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elliotl/Desktop/"/>
    </mc:Choice>
  </mc:AlternateContent>
  <bookViews>
    <workbookView xWindow="2380" yWindow="560" windowWidth="41640" windowHeight="26100"/>
  </bookViews>
  <sheets>
    <sheet name="Version" sheetId="2" r:id="rId1"/>
    <sheet name="Column Definitions" sheetId="3" r:id="rId2"/>
    <sheet name="ICTV 2016 Master Species #31" sheetId="1" r:id="rId3"/>
  </sheets>
  <definedNames>
    <definedName name="_xlnm._FilterDatabase" localSheetId="2" hidden="1">'ICTV 2016 Master Species #31'!$B$1:$N$3705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 2016 Master Species #31'!$1:$1</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108" i="1" l="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66" i="1"/>
  <c r="N67" i="1"/>
  <c r="N68" i="1"/>
  <c r="N69" i="1"/>
  <c r="N53" i="1"/>
  <c r="N54" i="1"/>
  <c r="N55" i="1"/>
  <c r="N56" i="1"/>
  <c r="N57" i="1"/>
  <c r="N58" i="1"/>
  <c r="N59" i="1"/>
  <c r="N60" i="1"/>
  <c r="N61" i="1"/>
  <c r="N62" i="1"/>
  <c r="N63" i="1"/>
  <c r="N64" i="1"/>
  <c r="N65"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E4" i="2"/>
</calcChain>
</file>

<file path=xl/sharedStrings.xml><?xml version="1.0" encoding="utf-8"?>
<sst xmlns="http://schemas.openxmlformats.org/spreadsheetml/2006/main" count="36680" uniqueCount="10711">
  <si>
    <t>Deltacoronavirus</t>
  </si>
  <si>
    <t>Bulbul coronavirus HKU11</t>
  </si>
  <si>
    <t>Thrush coronavirus HKU12</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</si>
  <si>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</si>
  <si>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</si>
  <si>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</si>
  <si>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</si>
  <si>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</si>
  <si>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</si>
  <si>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</si>
  <si>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</si>
  <si>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</si>
  <si>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</si>
  <si>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</si>
  <si>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</si>
  <si>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</si>
  <si>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</si>
  <si>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</si>
  <si>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</si>
  <si>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</si>
  <si>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</si>
  <si>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</si>
  <si>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</si>
  <si>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</si>
  <si>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</si>
  <si>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</si>
  <si>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</si>
  <si>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</si>
  <si>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</si>
  <si>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</si>
  <si>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</si>
  <si>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</si>
  <si>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</si>
  <si>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</si>
  <si>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</si>
  <si>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</si>
  <si>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</si>
  <si>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</si>
  <si>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</si>
  <si>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</si>
  <si>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</si>
  <si>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</si>
  <si>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</si>
  <si>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</si>
  <si>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</si>
  <si>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</si>
  <si>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</si>
  <si>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</si>
  <si>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</si>
  <si>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</si>
  <si>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</si>
  <si>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</si>
  <si>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</si>
  <si>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</si>
  <si>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</si>
  <si>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</si>
  <si>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</si>
  <si>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</si>
  <si>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</si>
  <si>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</si>
  <si>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</si>
  <si>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</si>
  <si>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</si>
  <si>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</si>
  <si>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</si>
  <si>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</si>
  <si>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</si>
  <si>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</si>
  <si>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</si>
  <si>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</si>
  <si>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</si>
  <si>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</si>
  <si>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</si>
  <si>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</si>
  <si>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</si>
  <si>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</si>
  <si>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</si>
  <si>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</si>
  <si>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</si>
  <si>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</si>
  <si>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</si>
  <si>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</si>
  <si>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</si>
  <si>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</si>
  <si>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</si>
  <si>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</si>
  <si>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</si>
  <si>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</si>
  <si>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</si>
  <si>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</si>
  <si>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</si>
  <si>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</si>
  <si>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</si>
  <si>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</si>
  <si>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</si>
  <si>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</si>
  <si>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</si>
  <si>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</si>
  <si>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</si>
  <si>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Glossina hytrovirus</t>
  </si>
  <si>
    <t>Muscavirus</t>
  </si>
  <si>
    <t>Musca hytrovirus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</si>
  <si>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</si>
  <si>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</si>
  <si>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</si>
  <si>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</si>
  <si>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</si>
  <si>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</si>
  <si>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</si>
  <si>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</si>
  <si>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</si>
  <si>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</si>
  <si>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</si>
  <si>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</si>
  <si>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</si>
  <si>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</si>
  <si>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</si>
  <si>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</si>
  <si>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</si>
  <si>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</si>
  <si>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</si>
  <si>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</si>
  <si>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</si>
  <si>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</si>
  <si>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</si>
  <si>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</si>
  <si>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</si>
  <si>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</si>
  <si>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</si>
  <si>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</si>
  <si>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</si>
  <si>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</si>
  <si>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</si>
  <si>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</si>
  <si>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</si>
  <si>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</si>
  <si>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</si>
  <si>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</si>
  <si>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</si>
  <si>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</si>
  <si>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</si>
  <si>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</si>
  <si>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</si>
  <si>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</si>
  <si>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</si>
  <si>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</si>
  <si>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</si>
  <si>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</si>
  <si>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</si>
  <si>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</si>
  <si>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</si>
  <si>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</si>
  <si>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</si>
  <si>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</si>
  <si>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</si>
  <si>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</si>
  <si>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</si>
  <si>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</si>
  <si>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</si>
  <si>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</si>
  <si>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</si>
  <si>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</si>
  <si>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</si>
  <si>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</si>
  <si>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</si>
  <si>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</si>
  <si>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</si>
  <si>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</si>
  <si>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</si>
  <si>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</si>
  <si>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</si>
  <si>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</si>
  <si>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</si>
  <si>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</si>
  <si>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</si>
  <si>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</si>
  <si>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</si>
  <si>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</si>
  <si>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</si>
  <si>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</si>
  <si>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</si>
  <si>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</si>
  <si>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</si>
  <si>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</si>
  <si>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</si>
  <si>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</si>
  <si>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</si>
  <si>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</si>
  <si>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</si>
  <si>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</si>
  <si>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</si>
  <si>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</si>
  <si>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</si>
  <si>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</si>
  <si>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</si>
  <si>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</si>
  <si>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</si>
  <si>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</si>
  <si>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</si>
  <si>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</si>
  <si>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</si>
  <si>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</si>
  <si>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</si>
  <si>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</si>
  <si>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</si>
  <si>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</si>
  <si>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</si>
  <si>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</si>
  <si>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</si>
  <si>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</si>
  <si>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</si>
  <si>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</si>
  <si>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</si>
  <si>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</si>
  <si>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Bacilladnavirus</t>
  </si>
  <si>
    <t>Chaetoceros salsugineum DNA virus 01</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</si>
  <si>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</si>
  <si>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</si>
  <si>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</si>
  <si>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</si>
  <si>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</si>
  <si>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</si>
  <si>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</si>
  <si>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</si>
  <si>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</si>
  <si>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</si>
  <si>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</si>
  <si>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</si>
  <si>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</si>
  <si>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</si>
  <si>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</si>
  <si>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</si>
  <si>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</si>
  <si>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</si>
  <si>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</si>
  <si>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</si>
  <si>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</si>
  <si>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</si>
  <si>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</si>
  <si>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</si>
  <si>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</si>
  <si>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</si>
  <si>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</si>
  <si>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</si>
  <si>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</si>
  <si>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</si>
  <si>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</si>
  <si>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</si>
  <si>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</si>
  <si>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</si>
  <si>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</si>
  <si>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</si>
  <si>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</si>
  <si>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</si>
  <si>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</si>
  <si>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</si>
  <si>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</si>
  <si>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</si>
  <si>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</si>
  <si>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</si>
  <si>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</si>
  <si>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</si>
  <si>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</si>
  <si>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</si>
  <si>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</si>
  <si>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</si>
  <si>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</si>
  <si>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</si>
  <si>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</si>
  <si>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</si>
  <si>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</si>
  <si>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</si>
  <si>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</si>
  <si>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</si>
  <si>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</si>
  <si>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</si>
  <si>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</si>
  <si>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</si>
  <si>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</si>
  <si>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</si>
  <si>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</si>
  <si>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</si>
  <si>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</si>
  <si>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</si>
  <si>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</si>
  <si>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</si>
  <si>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</si>
  <si>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</si>
  <si>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</si>
  <si>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</si>
  <si>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</si>
  <si>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</si>
  <si>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</si>
  <si>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</si>
  <si>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</si>
  <si>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</si>
  <si>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Bovine viral diarrhea virus 1</t>
  </si>
  <si>
    <t>Cryptosporidium parvum virus 1</t>
  </si>
  <si>
    <t>Homalodisca coagulata virus-1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</si>
  <si>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</si>
  <si>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</si>
  <si>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</si>
  <si>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</si>
  <si>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</si>
  <si>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</si>
  <si>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</si>
  <si>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</si>
  <si>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</si>
  <si>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</si>
  <si>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</si>
  <si>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</si>
  <si>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</si>
  <si>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</si>
  <si>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</si>
  <si>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</si>
  <si>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</si>
  <si>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</si>
  <si>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</si>
  <si>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</si>
  <si>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</si>
  <si>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</si>
  <si>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</si>
  <si>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</si>
  <si>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</si>
  <si>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</si>
  <si>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</si>
  <si>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</si>
  <si>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</si>
  <si>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</si>
  <si>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</si>
  <si>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</si>
  <si>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</si>
  <si>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</si>
  <si>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</si>
  <si>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</si>
  <si>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</si>
  <si>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</si>
  <si>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</si>
  <si>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</si>
  <si>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</si>
  <si>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</si>
  <si>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</si>
  <si>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</si>
  <si>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</si>
  <si>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</si>
  <si>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</si>
  <si>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</si>
  <si>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</si>
  <si>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Pedilenthus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</si>
  <si>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</si>
  <si>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</si>
  <si>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</si>
  <si>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</si>
  <si>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</si>
  <si>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</si>
  <si>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</si>
  <si>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</si>
  <si>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</si>
  <si>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</si>
  <si>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</si>
  <si>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</si>
  <si>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Rotavirus E</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</si>
  <si>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</si>
  <si>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</si>
  <si>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</si>
  <si>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</si>
  <si>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</si>
  <si>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</si>
  <si>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</si>
  <si>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</si>
  <si>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</si>
  <si>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</si>
  <si>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</si>
  <si>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</si>
  <si>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</si>
  <si>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</si>
  <si>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</si>
  <si>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</si>
  <si>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</si>
  <si>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</si>
  <si>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</si>
  <si>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</si>
  <si>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</si>
  <si>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</si>
  <si>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</si>
  <si>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</si>
  <si>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</si>
  <si>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</si>
  <si>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</si>
  <si>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</si>
  <si>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</si>
  <si>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</si>
  <si>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</si>
  <si>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</si>
  <si>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</si>
  <si>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</si>
  <si>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</si>
  <si>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</si>
  <si>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</si>
  <si>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</si>
  <si>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</si>
  <si>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</si>
  <si>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</si>
  <si>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</si>
  <si>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</si>
  <si>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</si>
  <si>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</si>
  <si>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</si>
  <si>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</si>
  <si>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</si>
  <si>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</si>
  <si>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</si>
  <si>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</si>
  <si>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</si>
  <si>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</si>
  <si>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</si>
  <si>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</si>
  <si>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Bovine viral diarrhea virus 2</t>
  </si>
  <si>
    <t>Classical swine fever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</si>
  <si>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</si>
  <si>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</si>
  <si>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</si>
  <si>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</si>
  <si>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</si>
  <si>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</si>
  <si>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</si>
  <si>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</si>
  <si>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</si>
  <si>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</si>
  <si>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</si>
  <si>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</si>
  <si>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</si>
  <si>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</si>
  <si>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</si>
  <si>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</si>
  <si>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</si>
  <si>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</si>
  <si>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</si>
  <si>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</si>
  <si>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</si>
  <si>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</si>
  <si>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</si>
  <si>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</si>
  <si>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</si>
  <si>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</si>
  <si>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</si>
  <si>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</si>
  <si>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</si>
  <si>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</si>
  <si>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</si>
  <si>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</si>
  <si>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</si>
  <si>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</si>
  <si>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</si>
  <si>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</si>
  <si>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</si>
  <si>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</si>
  <si>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</si>
  <si>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</si>
  <si>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</si>
  <si>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</si>
  <si>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</si>
  <si>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</si>
  <si>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</si>
  <si>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</si>
  <si>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</si>
  <si>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</si>
  <si>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</si>
  <si>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</si>
  <si>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</si>
  <si>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Budgerigar fledgling disease polyomavirus</t>
  </si>
  <si>
    <t>Hamster polyomavirus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</si>
  <si>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</si>
  <si>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</si>
  <si>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</si>
  <si>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</si>
  <si>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</si>
  <si>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</si>
  <si>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</si>
  <si>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</si>
  <si>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</si>
  <si>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</si>
  <si>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</si>
  <si>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</si>
  <si>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</si>
  <si>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</si>
  <si>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</si>
  <si>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</si>
  <si>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</si>
  <si>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</si>
  <si>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</si>
  <si>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</si>
  <si>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</si>
  <si>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</si>
  <si>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</si>
  <si>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</si>
  <si>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</si>
  <si>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</si>
  <si>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</si>
  <si>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</si>
  <si>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</si>
  <si>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</si>
  <si>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</si>
  <si>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</si>
  <si>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</si>
  <si>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</si>
  <si>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</si>
  <si>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</si>
  <si>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</si>
  <si>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</si>
  <si>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</si>
  <si>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</si>
  <si>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</si>
  <si>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</si>
  <si>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</si>
  <si>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</si>
  <si>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</si>
  <si>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</si>
  <si>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</si>
  <si>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</si>
  <si>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</si>
  <si>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</si>
  <si>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</si>
  <si>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</si>
  <si>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</si>
  <si>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</si>
  <si>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</si>
  <si>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</si>
  <si>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</si>
  <si>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</si>
  <si>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</si>
  <si>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</si>
  <si>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</si>
  <si>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</si>
  <si>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</si>
  <si>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</si>
  <si>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</si>
  <si>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</si>
  <si>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</si>
  <si>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</si>
  <si>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</si>
  <si>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</si>
  <si>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</si>
  <si>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</si>
  <si>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</si>
  <si>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</si>
  <si>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</si>
  <si>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</si>
  <si>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</si>
  <si>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</si>
  <si>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</si>
  <si>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</si>
  <si>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</si>
  <si>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</si>
  <si>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</si>
  <si>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Freesia sneak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</si>
  <si>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</si>
  <si>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</si>
  <si>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</si>
  <si>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</si>
  <si>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</si>
  <si>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</si>
  <si>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</si>
  <si>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</si>
  <si>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</si>
  <si>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</si>
  <si>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</si>
  <si>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</si>
  <si>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</si>
  <si>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</si>
  <si>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</si>
  <si>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</si>
  <si>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</si>
  <si>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</si>
  <si>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</si>
  <si>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</si>
  <si>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</si>
  <si>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</si>
  <si>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</si>
  <si>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</si>
  <si>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</si>
  <si>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</si>
  <si>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</si>
  <si>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</si>
  <si>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</si>
  <si>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</si>
  <si>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</si>
  <si>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</si>
  <si>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</si>
  <si>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</si>
  <si>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</si>
  <si>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</si>
  <si>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</si>
  <si>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</si>
  <si>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</si>
  <si>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</si>
  <si>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</si>
  <si>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</si>
  <si>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</si>
  <si>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</si>
  <si>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</si>
  <si>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</si>
  <si>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</si>
  <si>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</si>
  <si>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</si>
  <si>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</si>
  <si>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</si>
  <si>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</si>
  <si>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</si>
  <si>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</si>
  <si>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</si>
  <si>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</si>
  <si>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</si>
  <si>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</si>
  <si>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</si>
  <si>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</si>
  <si>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</si>
  <si>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</si>
  <si>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</si>
  <si>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</si>
  <si>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</si>
  <si>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</si>
  <si>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</si>
  <si>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</si>
  <si>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</si>
  <si>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</si>
  <si>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</si>
  <si>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</si>
  <si>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</si>
  <si>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</si>
  <si>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</si>
  <si>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</si>
  <si>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</si>
  <si>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</si>
  <si>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</si>
  <si>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</si>
  <si>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</si>
  <si>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</si>
  <si>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</si>
  <si>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</si>
  <si>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</si>
  <si>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</si>
  <si>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</si>
  <si>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</si>
  <si>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</si>
  <si>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</si>
  <si>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</si>
  <si>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</si>
  <si>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</si>
  <si>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</si>
  <si>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</si>
  <si>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</si>
  <si>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</si>
  <si>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</si>
  <si>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</si>
  <si>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</si>
  <si>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</si>
  <si>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</si>
  <si>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</si>
  <si>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</si>
  <si>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</si>
  <si>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</si>
  <si>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</si>
  <si>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</si>
  <si>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</si>
  <si>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</si>
  <si>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</si>
  <si>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</si>
  <si>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</si>
  <si>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</si>
  <si>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</si>
  <si>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</si>
  <si>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</si>
  <si>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</si>
  <si>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</si>
  <si>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</si>
  <si>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</si>
  <si>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</si>
  <si>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</si>
  <si>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</si>
  <si>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</si>
  <si>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</si>
  <si>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</si>
  <si>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</si>
  <si>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</si>
  <si>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</si>
  <si>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</si>
  <si>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</si>
  <si>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</si>
  <si>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</si>
  <si>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</si>
  <si>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</si>
  <si>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</si>
  <si>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</si>
  <si>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</si>
  <si>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</si>
  <si>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</si>
  <si>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</si>
  <si>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</si>
  <si>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</si>
  <si>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</si>
  <si>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</si>
  <si>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</si>
  <si>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</si>
  <si>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</si>
  <si>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</si>
  <si>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</si>
  <si>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</si>
  <si>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</si>
  <si>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</si>
  <si>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</si>
  <si>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</si>
  <si>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</si>
  <si>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</si>
  <si>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</si>
  <si>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</si>
  <si>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</si>
  <si>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</si>
  <si>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</si>
  <si>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</si>
  <si>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</si>
  <si>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</si>
  <si>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</si>
  <si>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</si>
  <si>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</si>
  <si>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</si>
  <si>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</si>
  <si>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</si>
  <si>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</si>
  <si>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</si>
  <si>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</si>
  <si>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</si>
  <si>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</si>
  <si>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</si>
  <si>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</si>
  <si>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</si>
  <si>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</si>
  <si>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</si>
  <si>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</si>
  <si>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</si>
  <si>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</si>
  <si>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</si>
  <si>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</si>
  <si>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</si>
  <si>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</si>
  <si>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</si>
  <si>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</si>
  <si>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</si>
  <si>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Colorado tick fever virus</t>
  </si>
  <si>
    <t>Eyach 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</si>
  <si>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</si>
  <si>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</si>
  <si>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</si>
  <si>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</si>
  <si>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</si>
  <si>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</si>
  <si>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</si>
  <si>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</si>
  <si>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</si>
  <si>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</si>
  <si>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</si>
  <si>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</si>
  <si>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</si>
  <si>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</si>
  <si>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</si>
  <si>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</si>
  <si>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</si>
  <si>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</si>
  <si>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</si>
  <si>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Chrysovirus</t>
  </si>
  <si>
    <t>Helminthosporium victoriae 145S virus</t>
  </si>
  <si>
    <t>Penicillium brevicompactum virus</t>
  </si>
  <si>
    <t>Penicillium chrysogenum virus</t>
  </si>
  <si>
    <t>Penicillium cyaneo-fulvum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</si>
  <si>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</si>
  <si>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</si>
  <si>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</si>
  <si>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</si>
  <si>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</si>
  <si>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</si>
  <si>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</si>
  <si>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</si>
  <si>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</si>
  <si>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</si>
  <si>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</si>
  <si>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</si>
  <si>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</si>
  <si>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</si>
  <si>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</si>
  <si>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</si>
  <si>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</si>
  <si>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</si>
  <si>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</si>
  <si>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</si>
  <si>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</si>
  <si>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</si>
  <si>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</si>
  <si>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</si>
  <si>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</si>
  <si>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</si>
  <si>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</si>
  <si>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</si>
  <si>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</si>
  <si>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</si>
  <si>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</si>
  <si>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</si>
  <si>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</si>
  <si>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</si>
  <si>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</si>
  <si>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</si>
  <si>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</si>
  <si>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</si>
  <si>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</si>
  <si>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</si>
  <si>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</si>
  <si>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</si>
  <si>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</si>
  <si>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</si>
  <si>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</si>
  <si>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</si>
  <si>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</si>
  <si>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</si>
  <si>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</si>
  <si>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</si>
  <si>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</si>
  <si>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</si>
  <si>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</si>
  <si>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</si>
  <si>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</si>
  <si>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</si>
  <si>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</si>
  <si>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</si>
  <si>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</si>
  <si>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</si>
  <si>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</si>
  <si>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</si>
  <si>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</si>
  <si>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</si>
  <si>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</si>
  <si>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</si>
  <si>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Influenzavirus B</t>
  </si>
  <si>
    <t>Influenza B virus</t>
  </si>
  <si>
    <t>Influenzavirus C</t>
  </si>
  <si>
    <t>Influenza C virus</t>
  </si>
  <si>
    <t>Isavirus</t>
  </si>
  <si>
    <t>Infectious salmon anemia virus</t>
  </si>
  <si>
    <t>Thogotovirus</t>
  </si>
  <si>
    <t>Dhori virus</t>
  </si>
  <si>
    <t>Thogoto 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</si>
  <si>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</si>
  <si>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</si>
  <si>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</si>
  <si>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</si>
  <si>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</si>
  <si>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</si>
  <si>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</si>
  <si>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</si>
  <si>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</si>
  <si>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</si>
  <si>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</si>
  <si>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</si>
  <si>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</si>
  <si>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</si>
  <si>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</si>
  <si>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</si>
  <si>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</si>
  <si>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</si>
  <si>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</si>
  <si>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</si>
  <si>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</si>
  <si>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</si>
  <si>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</si>
  <si>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</si>
  <si>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</si>
  <si>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</si>
  <si>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</si>
  <si>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</si>
  <si>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</si>
  <si>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</si>
  <si>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</si>
  <si>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</si>
  <si>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</si>
  <si>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</si>
  <si>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</si>
  <si>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</si>
  <si>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</si>
  <si>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</si>
  <si>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Rabbit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</si>
  <si>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</si>
  <si>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</si>
  <si>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</si>
  <si>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</si>
  <si>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</si>
  <si>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</si>
  <si>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</si>
  <si>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</si>
  <si>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</si>
  <si>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</si>
  <si>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</si>
  <si>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</si>
  <si>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</si>
  <si>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</si>
  <si>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</si>
  <si>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</si>
  <si>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</si>
  <si>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</si>
  <si>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</si>
  <si>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</si>
  <si>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</si>
  <si>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</si>
  <si>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</si>
  <si>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</si>
  <si>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</si>
  <si>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</si>
  <si>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</si>
  <si>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</si>
  <si>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</si>
  <si>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</si>
  <si>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</si>
  <si>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</si>
  <si>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</si>
  <si>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BK polyomavirus</t>
  </si>
  <si>
    <t>Bovine polyomavirus</t>
  </si>
  <si>
    <t>Herpesvirales</t>
  </si>
  <si>
    <t>Alloherpesviridae</t>
  </si>
  <si>
    <t>Ictalurid herpesvirus 1</t>
  </si>
  <si>
    <t>Unassigned</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</si>
  <si>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</si>
  <si>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</si>
  <si>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</si>
  <si>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</si>
  <si>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</si>
  <si>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</si>
  <si>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</si>
  <si>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</si>
  <si>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</si>
  <si>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</si>
  <si>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</si>
  <si>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</si>
  <si>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</si>
  <si>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</si>
  <si>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</si>
  <si>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</si>
  <si>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</si>
  <si>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</si>
  <si>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</si>
  <si>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</si>
  <si>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</si>
  <si>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</si>
  <si>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</si>
  <si>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</si>
  <si>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</si>
  <si>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</si>
  <si>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</si>
  <si>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</si>
  <si>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</si>
  <si>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</si>
  <si>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</si>
  <si>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</si>
  <si>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</si>
  <si>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</si>
  <si>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</si>
  <si>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</si>
  <si>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</si>
  <si>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</si>
  <si>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</si>
  <si>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</si>
  <si>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</si>
  <si>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</si>
  <si>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</si>
  <si>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</si>
  <si>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</si>
  <si>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</si>
  <si>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</si>
  <si>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</si>
  <si>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</si>
  <si>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</si>
  <si>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</si>
  <si>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</si>
  <si>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</si>
  <si>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</si>
  <si>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</si>
  <si>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</si>
  <si>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</si>
  <si>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</si>
  <si>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</si>
  <si>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</si>
  <si>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</si>
  <si>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</si>
  <si>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</si>
  <si>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</si>
  <si>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</si>
  <si>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</si>
  <si>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</si>
  <si>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</si>
  <si>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</si>
  <si>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</si>
  <si>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</si>
  <si>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</si>
  <si>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</si>
  <si>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</si>
  <si>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</si>
  <si>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</si>
  <si>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</si>
  <si>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</si>
  <si>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</si>
  <si>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</si>
  <si>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</si>
  <si>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</si>
  <si>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</si>
  <si>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</si>
  <si>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</si>
  <si>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</si>
  <si>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</si>
  <si>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</si>
  <si>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</si>
  <si>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</si>
  <si>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</si>
  <si>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</si>
  <si>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</si>
  <si>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</si>
  <si>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</si>
  <si>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</si>
  <si>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</si>
  <si>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</si>
  <si>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</si>
  <si>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</si>
  <si>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</si>
  <si>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</si>
  <si>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</si>
  <si>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His 1 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</si>
  <si>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</si>
  <si>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</si>
  <si>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</si>
  <si>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</si>
  <si>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</si>
  <si>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</si>
  <si>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</si>
  <si>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</si>
  <si>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</si>
  <si>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</si>
  <si>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</si>
  <si>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</si>
  <si>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</si>
  <si>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</si>
  <si>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</si>
  <si>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</si>
  <si>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</si>
  <si>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</si>
  <si>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</si>
  <si>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</si>
  <si>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</si>
  <si>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Bohle iridovirus</t>
  </si>
  <si>
    <t>Iridovirus</t>
  </si>
  <si>
    <t>Invertebrate iridescent virus 1</t>
  </si>
  <si>
    <t>Triatoma virus</t>
  </si>
  <si>
    <t>Acute bee paralysis virus</t>
  </si>
  <si>
    <t>Kashmir bee virus</t>
  </si>
  <si>
    <t>Solenopsis invicta virus-1</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</si>
  <si>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</si>
  <si>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</si>
  <si>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</si>
  <si>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</si>
  <si>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</si>
  <si>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</si>
  <si>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</si>
  <si>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</si>
  <si>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</si>
  <si>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</si>
  <si>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</si>
  <si>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</si>
  <si>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</si>
  <si>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</si>
  <si>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</si>
  <si>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</si>
  <si>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</si>
  <si>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</si>
  <si>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</si>
  <si>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</si>
  <si>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</si>
  <si>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</si>
  <si>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</si>
  <si>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</si>
  <si>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</si>
  <si>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</si>
  <si>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</si>
  <si>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</si>
  <si>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</si>
  <si>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</si>
  <si>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</si>
  <si>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</si>
  <si>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</si>
  <si>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</si>
  <si>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</si>
  <si>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</si>
  <si>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Human torovirus</t>
  </si>
  <si>
    <t>Porcine torovirus</t>
  </si>
  <si>
    <t>Roniviridae</t>
  </si>
  <si>
    <t>Okavirus</t>
  </si>
  <si>
    <t>Gill-associated virus</t>
  </si>
  <si>
    <t>Picornavirales</t>
  </si>
  <si>
    <t>Broad bean true mosaic virus</t>
  </si>
  <si>
    <t>Cowpea mosaic virus</t>
  </si>
  <si>
    <t>Sapelovirus</t>
  </si>
  <si>
    <t>Avian 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</si>
  <si>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</si>
  <si>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</si>
  <si>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</si>
  <si>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</si>
  <si>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</si>
  <si>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</si>
  <si>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</si>
  <si>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</si>
  <si>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</si>
  <si>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</si>
  <si>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</si>
  <si>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</si>
  <si>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</si>
  <si>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</si>
  <si>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</si>
  <si>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</si>
  <si>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</si>
  <si>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</si>
  <si>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</si>
  <si>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</si>
  <si>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</si>
  <si>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</si>
  <si>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</si>
  <si>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</si>
  <si>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</si>
  <si>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</si>
  <si>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</si>
  <si>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European catfish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</si>
  <si>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</si>
  <si>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</si>
  <si>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</si>
  <si>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</si>
  <si>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</si>
  <si>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</si>
  <si>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</si>
  <si>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</si>
  <si>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</si>
  <si>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</si>
  <si>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</si>
  <si>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Varroa destructor virus-1</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</si>
  <si>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</si>
  <si>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</si>
  <si>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</si>
  <si>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</si>
  <si>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</si>
  <si>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</si>
  <si>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</si>
  <si>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</si>
  <si>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</si>
  <si>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</si>
  <si>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</si>
  <si>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</si>
  <si>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</si>
  <si>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</si>
  <si>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</si>
  <si>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</si>
  <si>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</si>
  <si>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</si>
  <si>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</si>
  <si>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</si>
  <si>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</si>
  <si>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</si>
  <si>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</si>
  <si>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</si>
  <si>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</si>
  <si>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</si>
  <si>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</si>
  <si>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</si>
  <si>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</si>
  <si>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</si>
  <si>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</si>
  <si>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</si>
  <si>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</si>
  <si>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</si>
  <si>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</si>
  <si>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</si>
  <si>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</si>
  <si>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</si>
  <si>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</si>
  <si>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</si>
  <si>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</si>
  <si>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</si>
  <si>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</si>
  <si>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</si>
  <si>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</si>
  <si>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</si>
  <si>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</si>
  <si>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</si>
  <si>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</si>
  <si>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</si>
  <si>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</si>
  <si>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</si>
  <si>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</si>
  <si>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</si>
  <si>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</si>
  <si>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</si>
  <si>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</si>
  <si>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</si>
  <si>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</si>
  <si>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</si>
  <si>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</si>
  <si>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</si>
  <si>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</si>
  <si>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</si>
  <si>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</si>
  <si>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</si>
  <si>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</si>
  <si>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</si>
  <si>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</si>
  <si>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</si>
  <si>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</si>
  <si>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</si>
  <si>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</si>
  <si>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</si>
  <si>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</si>
  <si>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</si>
  <si>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</si>
  <si>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Border disease 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</si>
  <si>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</si>
  <si>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</si>
  <si>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</si>
  <si>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</si>
  <si>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</si>
  <si>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</si>
  <si>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</si>
  <si>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</si>
  <si>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</si>
  <si>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</si>
  <si>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</si>
  <si>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</si>
  <si>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</si>
  <si>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</si>
  <si>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</si>
  <si>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</si>
  <si>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</si>
  <si>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</si>
  <si>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</si>
  <si>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</si>
  <si>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Visna/maedi virus</t>
  </si>
  <si>
    <t>Spumaretrovirinae</t>
  </si>
  <si>
    <t>Spumavirus</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</si>
  <si>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</si>
  <si>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</si>
  <si>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</si>
  <si>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</si>
  <si>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</si>
  <si>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</si>
  <si>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</si>
  <si>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</si>
  <si>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</si>
  <si>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</si>
  <si>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</si>
  <si>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</si>
  <si>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</si>
  <si>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</si>
  <si>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</si>
  <si>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</si>
  <si>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</si>
  <si>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</si>
  <si>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</si>
  <si>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Parapoxvirus of red deer in New Zealand</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</si>
  <si>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</si>
  <si>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</si>
  <si>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</si>
  <si>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</si>
  <si>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</si>
  <si>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</si>
  <si>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</si>
  <si>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</si>
  <si>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</si>
  <si>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</si>
  <si>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</si>
  <si>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</si>
  <si>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</si>
  <si>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</si>
  <si>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</si>
  <si>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</si>
  <si>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</si>
  <si>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</si>
  <si>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</si>
  <si>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</si>
  <si>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</si>
  <si>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</si>
  <si>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</si>
  <si>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</si>
  <si>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</si>
  <si>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</si>
  <si>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</si>
  <si>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</si>
  <si>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</si>
  <si>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</si>
  <si>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</si>
  <si>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</si>
  <si>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</si>
  <si>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</si>
  <si>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</si>
  <si>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</si>
  <si>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</si>
  <si>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</si>
  <si>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</si>
  <si>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</si>
  <si>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</si>
  <si>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</si>
  <si>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</si>
  <si>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</si>
  <si>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</si>
  <si>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</si>
  <si>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</si>
  <si>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</si>
  <si>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</si>
  <si>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</si>
  <si>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</si>
  <si>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</si>
  <si>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</si>
  <si>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</si>
  <si>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</si>
  <si>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</si>
  <si>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</si>
  <si>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</si>
  <si>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</si>
  <si>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</si>
  <si>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</si>
  <si>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</si>
  <si>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Macaque simian foamy virus</t>
  </si>
  <si>
    <t>Simian foamy 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</si>
  <si>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</si>
  <si>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</si>
  <si>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</si>
  <si>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</si>
  <si>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</si>
  <si>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</si>
  <si>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</si>
  <si>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</si>
  <si>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</si>
  <si>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</si>
  <si>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</si>
  <si>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</si>
  <si>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</si>
  <si>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</si>
  <si>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</si>
  <si>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</si>
  <si>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</si>
  <si>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</si>
  <si>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</si>
  <si>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</si>
  <si>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</si>
  <si>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</si>
  <si>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</si>
  <si>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</si>
  <si>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</si>
  <si>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</si>
  <si>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</si>
  <si>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</si>
  <si>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</si>
  <si>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</si>
  <si>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</si>
  <si>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</si>
  <si>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</si>
  <si>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</si>
  <si>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</si>
  <si>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</si>
  <si>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</si>
  <si>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</si>
  <si>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</si>
  <si>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</si>
  <si>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Saccharomyces cerevisiae virus L-BC (La)</t>
  </si>
  <si>
    <t>Ustilago maydis virus H1</t>
  </si>
  <si>
    <t>Tymoviridae</t>
  </si>
  <si>
    <t>Maculavirus</t>
  </si>
  <si>
    <t>Grapevine fleck virus</t>
  </si>
  <si>
    <t>Marafivirus</t>
  </si>
  <si>
    <t>Peduovirinae</t>
  </si>
  <si>
    <t>Spounavirinae</t>
  </si>
  <si>
    <t>Listeria phage P100</t>
  </si>
  <si>
    <t>Tevenvirinae</t>
  </si>
  <si>
    <t>Aeromonas phage 25</t>
  </si>
  <si>
    <t>Scutavirus</t>
  </si>
  <si>
    <t>Bundibugyo ebolavirus</t>
  </si>
  <si>
    <t>Marburg marburgvirus</t>
  </si>
  <si>
    <t>Aquaparamyxovirus</t>
  </si>
  <si>
    <t>Ferlavirus</t>
  </si>
  <si>
    <t>Moussa virus</t>
  </si>
  <si>
    <t>Ictalurivirus</t>
  </si>
  <si>
    <t>Phycodnaviridae</t>
  </si>
  <si>
    <t>Chlorovirus</t>
  </si>
  <si>
    <t>Hydra viridis Chlorella virus 1</t>
  </si>
  <si>
    <t>Paramecium bursaria Chlorella virus 1</t>
  </si>
  <si>
    <t>Paramecium bursaria Chlorella virus A1</t>
  </si>
  <si>
    <t>Paramecium bursaria Chlorella virus AL1A</t>
  </si>
  <si>
    <t>Autographivirinae</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</si>
  <si>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</si>
  <si>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</si>
  <si>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</si>
  <si>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</si>
  <si>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</si>
  <si>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</si>
  <si>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</si>
  <si>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</si>
  <si>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</si>
  <si>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</si>
  <si>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</si>
  <si>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</si>
  <si>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African green monkey simian foamy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</si>
  <si>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</si>
  <si>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</si>
  <si>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</si>
  <si>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</si>
  <si>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</si>
  <si>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</si>
  <si>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</si>
  <si>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</si>
  <si>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</si>
  <si>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</si>
  <si>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</si>
  <si>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</si>
  <si>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</si>
  <si>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Simian hemorrhagic fever 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</si>
  <si>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</si>
  <si>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</si>
  <si>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</si>
  <si>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</si>
  <si>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</si>
  <si>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</si>
  <si>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</si>
  <si>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</si>
  <si>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</si>
  <si>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</si>
  <si>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</si>
  <si>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</si>
  <si>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</si>
  <si>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</si>
  <si>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</si>
  <si>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</si>
  <si>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</si>
  <si>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</si>
  <si>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</si>
  <si>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</si>
  <si>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</si>
  <si>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</si>
  <si>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Bornavirus</t>
  </si>
  <si>
    <t>Filoviridae</t>
  </si>
  <si>
    <t>Ebolavirus</t>
  </si>
  <si>
    <t>Reston ebolavirus</t>
  </si>
  <si>
    <t>Sudan ebolavirus</t>
  </si>
  <si>
    <t>Zaire ebolavirus</t>
  </si>
  <si>
    <t>Marburgvirus</t>
  </si>
  <si>
    <t>Paramyxoviridae</t>
  </si>
  <si>
    <t>Avulavirus</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</si>
  <si>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</si>
  <si>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</si>
  <si>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</si>
  <si>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</si>
  <si>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</si>
  <si>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</si>
  <si>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</si>
  <si>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</si>
  <si>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</si>
  <si>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</si>
  <si>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</si>
  <si>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</si>
  <si>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</si>
  <si>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</si>
  <si>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</si>
  <si>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</si>
  <si>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</si>
  <si>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</si>
  <si>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</si>
  <si>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</si>
  <si>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</si>
  <si>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Rubulavirus</t>
  </si>
  <si>
    <t>Porcine rubulavirus</t>
  </si>
  <si>
    <t>Avian metapneumovirus</t>
  </si>
  <si>
    <t>Human metapneumovirus</t>
  </si>
  <si>
    <t>Nucleorhabdovirus</t>
  </si>
  <si>
    <t>Rhabdoviridae</t>
  </si>
  <si>
    <t>Cytorhabdovirus</t>
  </si>
  <si>
    <t>Vesiculovirus</t>
  </si>
  <si>
    <t>Nidovirales</t>
  </si>
  <si>
    <t>Arteriviridae</t>
  </si>
  <si>
    <t>Equine arteritis virus</t>
  </si>
  <si>
    <t>Lactate dehydrogenase-elevating virus</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</si>
  <si>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</si>
  <si>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</si>
  <si>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</si>
  <si>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</si>
  <si>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</si>
  <si>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</si>
  <si>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</si>
  <si>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</si>
  <si>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</si>
  <si>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</si>
  <si>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</si>
  <si>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</si>
  <si>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</si>
  <si>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</si>
  <si>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</si>
  <si>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</si>
  <si>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</si>
  <si>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</si>
  <si>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</si>
  <si>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</si>
  <si>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</si>
  <si>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</si>
  <si>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</si>
  <si>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</si>
  <si>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</si>
  <si>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</si>
  <si>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</si>
  <si>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</si>
  <si>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</si>
  <si>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</si>
  <si>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</si>
  <si>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</si>
  <si>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</si>
  <si>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</si>
  <si>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</si>
  <si>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</si>
  <si>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</si>
  <si>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</si>
  <si>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</si>
  <si>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</si>
  <si>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</si>
  <si>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</si>
  <si>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</si>
  <si>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</si>
  <si>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</si>
  <si>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</si>
  <si>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</si>
  <si>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</si>
  <si>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</si>
  <si>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</si>
  <si>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</si>
  <si>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</si>
  <si>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</si>
  <si>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</si>
  <si>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</si>
  <si>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</si>
  <si>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</si>
  <si>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</si>
  <si>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</si>
  <si>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</si>
  <si>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</si>
  <si>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</si>
  <si>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</si>
  <si>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</si>
  <si>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</si>
  <si>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</si>
  <si>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</si>
  <si>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</si>
  <si>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</si>
  <si>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</si>
  <si>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</si>
  <si>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</si>
  <si>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</si>
  <si>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</si>
  <si>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Barley yellow dwarf virus-MAV</t>
  </si>
  <si>
    <t>Barley yellow dwarf virus-PAS</t>
  </si>
  <si>
    <t>Barley yellow dwarf virus-PAV</t>
  </si>
  <si>
    <t>Cereal yellow dwarf virus-RPS</t>
  </si>
  <si>
    <t>Cereal yellow dwarf virus-RPV</t>
  </si>
  <si>
    <t>Barley yellow dwarf virus-GPV</t>
  </si>
  <si>
    <t>Barley yellow dwarf virus-SGV</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</si>
  <si>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</si>
  <si>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</si>
  <si>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</si>
  <si>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</si>
  <si>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</si>
  <si>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</si>
  <si>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</si>
  <si>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</si>
  <si>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</si>
  <si>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</si>
  <si>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</si>
  <si>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</si>
  <si>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</si>
  <si>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</si>
  <si>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</si>
  <si>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</si>
  <si>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</si>
  <si>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</si>
  <si>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</si>
  <si>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</si>
  <si>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</si>
  <si>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</si>
  <si>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</si>
  <si>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</si>
  <si>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</si>
  <si>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</si>
  <si>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</si>
  <si>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</si>
  <si>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</si>
  <si>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</si>
  <si>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</si>
  <si>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</si>
  <si>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</si>
  <si>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</si>
  <si>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</si>
  <si>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</si>
  <si>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</si>
  <si>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</si>
  <si>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</si>
  <si>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</si>
  <si>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</si>
  <si>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</si>
  <si>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</si>
  <si>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</si>
  <si>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</si>
  <si>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</si>
  <si>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</si>
  <si>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</si>
  <si>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</si>
  <si>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</si>
  <si>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</si>
  <si>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</si>
  <si>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</si>
  <si>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</si>
  <si>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</si>
  <si>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</si>
  <si>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</si>
  <si>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</si>
  <si>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</si>
  <si>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</si>
  <si>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</si>
  <si>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</si>
  <si>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</si>
  <si>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</si>
  <si>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</si>
  <si>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</si>
  <si>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</si>
  <si>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</si>
  <si>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</si>
  <si>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</si>
  <si>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</si>
  <si>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</si>
  <si>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</si>
  <si>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Tectivirus</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</si>
  <si>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</si>
  <si>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</si>
  <si>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</si>
  <si>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</si>
  <si>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</si>
  <si>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</si>
  <si>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</si>
  <si>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</si>
  <si>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</si>
  <si>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</si>
  <si>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</si>
  <si>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</si>
  <si>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</si>
  <si>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</si>
  <si>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</si>
  <si>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</si>
  <si>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</si>
  <si>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</si>
  <si>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</si>
  <si>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</si>
  <si>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Gaeumannomyces graminis virus 019/6-A</t>
  </si>
  <si>
    <t>Rice black streaked dwarf virus</t>
  </si>
  <si>
    <t>Idnoreovirus</t>
  </si>
  <si>
    <t>Tobacco leaf curl Cuba virus</t>
  </si>
  <si>
    <t>Tobacco leaf curl Japan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</si>
  <si>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</si>
  <si>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</si>
  <si>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</si>
  <si>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</si>
  <si>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</si>
  <si>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</si>
  <si>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</si>
  <si>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</si>
  <si>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</si>
  <si>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</si>
  <si>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</si>
  <si>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Ophioviridae</t>
  </si>
  <si>
    <t>Ophiovirus</t>
  </si>
  <si>
    <t>Citrus psorosis virus</t>
  </si>
  <si>
    <t>Lettuce ring necrosis virus</t>
  </si>
  <si>
    <t>Mirafiori lettuce big-vein virus</t>
  </si>
  <si>
    <t>Ranunculus white mottle virus</t>
  </si>
  <si>
    <t>Tulip mild mottle mosaic 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</si>
  <si>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</si>
  <si>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</si>
  <si>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</si>
  <si>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</si>
  <si>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</si>
  <si>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</si>
  <si>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</si>
  <si>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</si>
  <si>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</si>
  <si>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</si>
  <si>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</si>
  <si>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</si>
  <si>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</si>
  <si>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</si>
  <si>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</si>
  <si>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</si>
  <si>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</si>
  <si>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</si>
  <si>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</si>
  <si>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</si>
  <si>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</si>
  <si>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</si>
  <si>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</si>
  <si>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</si>
  <si>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</si>
  <si>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</si>
  <si>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</si>
  <si>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</si>
  <si>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</si>
  <si>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</si>
  <si>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</si>
  <si>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</si>
  <si>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</si>
  <si>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</si>
  <si>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</si>
  <si>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</si>
  <si>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</si>
  <si>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</si>
  <si>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</si>
  <si>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</si>
  <si>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</si>
  <si>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</si>
  <si>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</si>
  <si>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</si>
  <si>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</si>
  <si>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</si>
  <si>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</si>
  <si>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</si>
  <si>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</si>
  <si>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</si>
  <si>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</si>
  <si>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</si>
  <si>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</si>
  <si>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</si>
  <si>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</si>
  <si>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</si>
  <si>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</si>
  <si>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</si>
  <si>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</si>
  <si>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Fugu rubripes Suzu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</si>
  <si>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</si>
  <si>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</si>
  <si>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</si>
  <si>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</si>
  <si>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</si>
  <si>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</si>
  <si>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</si>
  <si>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</si>
  <si>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mosaic 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</si>
  <si>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</si>
  <si>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</si>
  <si>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</si>
  <si>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</si>
  <si>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</si>
  <si>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</si>
  <si>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</si>
  <si>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</si>
  <si>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</si>
  <si>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</si>
  <si>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</si>
  <si>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</si>
  <si>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</si>
  <si>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</si>
  <si>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</si>
  <si>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</si>
  <si>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</si>
  <si>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</si>
  <si>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</si>
  <si>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</si>
  <si>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</si>
  <si>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</si>
  <si>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</si>
  <si>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</si>
  <si>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</si>
  <si>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</si>
  <si>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Mesta yellow vein mosaic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</si>
  <si>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</si>
  <si>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</si>
  <si>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</si>
  <si>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</si>
  <si>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</si>
  <si>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</si>
  <si>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</si>
  <si>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</si>
  <si>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</si>
  <si>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</si>
  <si>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</si>
  <si>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</si>
  <si>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</si>
  <si>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</si>
  <si>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</si>
  <si>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</si>
  <si>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</si>
  <si>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</si>
  <si>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</si>
  <si>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</si>
  <si>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</si>
  <si>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</si>
  <si>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</si>
  <si>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</si>
  <si>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</si>
  <si>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</si>
  <si>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</si>
  <si>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</si>
  <si>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</si>
  <si>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</si>
  <si>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</si>
  <si>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</si>
  <si>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</si>
  <si>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</si>
  <si>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</si>
  <si>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</si>
  <si>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</si>
  <si>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</si>
  <si>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</si>
  <si>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</si>
  <si>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</si>
  <si>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</si>
  <si>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Triticum aestivum WIS-2 virus</t>
  </si>
  <si>
    <t>Zea mays Hopscotch virus</t>
  </si>
  <si>
    <t>Zea mays Sto-4 virus</t>
  </si>
  <si>
    <t>Pseudalatia unipuncta granulovirus</t>
  </si>
  <si>
    <t>Trichoplusia ni granulovirus</t>
  </si>
  <si>
    <t>Xestia c-nigrum granulovirus</t>
  </si>
  <si>
    <t>Deltabaculovirus</t>
  </si>
  <si>
    <t>Zea mays Opie-2 virus</t>
  </si>
  <si>
    <t>Zea mays Prem-2 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</si>
  <si>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</si>
  <si>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</si>
  <si>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</si>
  <si>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</si>
  <si>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</si>
  <si>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</si>
  <si>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</si>
  <si>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</si>
  <si>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</si>
  <si>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</si>
  <si>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</si>
  <si>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</si>
  <si>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</si>
  <si>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</si>
  <si>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</si>
  <si>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</si>
  <si>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</si>
  <si>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</si>
  <si>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</si>
  <si>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</si>
  <si>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</si>
  <si>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</si>
  <si>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</si>
  <si>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</si>
  <si>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</si>
  <si>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</si>
  <si>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</si>
  <si>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</si>
  <si>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</si>
  <si>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</si>
  <si>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</si>
  <si>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</si>
  <si>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</si>
  <si>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</si>
  <si>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</si>
  <si>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</si>
  <si>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</si>
  <si>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</si>
  <si>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</si>
  <si>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</si>
  <si>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</si>
  <si>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</si>
  <si>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</si>
  <si>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O'nyong-nyong virus</t>
  </si>
  <si>
    <t>Sammons's Opuntia 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</si>
  <si>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</si>
  <si>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</si>
  <si>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</si>
  <si>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</si>
  <si>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</si>
  <si>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</si>
  <si>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</si>
  <si>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</si>
  <si>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</si>
  <si>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</si>
  <si>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</si>
  <si>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</si>
  <si>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</si>
  <si>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</si>
  <si>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</si>
  <si>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</si>
  <si>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</si>
  <si>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</si>
  <si>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</si>
  <si>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</si>
  <si>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</si>
  <si>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</si>
  <si>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</si>
  <si>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</si>
  <si>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</si>
  <si>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</si>
  <si>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</si>
  <si>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</si>
  <si>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</si>
  <si>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</si>
  <si>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</si>
  <si>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</si>
  <si>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</si>
  <si>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</si>
  <si>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</si>
  <si>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Newbury-1 virus</t>
  </si>
  <si>
    <t>Coronavirinae</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</si>
  <si>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</si>
  <si>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</si>
  <si>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</si>
  <si>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</si>
  <si>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</si>
  <si>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</si>
  <si>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</si>
  <si>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</si>
  <si>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</si>
  <si>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</si>
  <si>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</si>
  <si>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</si>
  <si>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</si>
  <si>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</si>
  <si>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</si>
  <si>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</si>
  <si>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</si>
  <si>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</si>
  <si>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</si>
  <si>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</si>
  <si>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</si>
  <si>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</si>
  <si>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</si>
  <si>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</si>
  <si>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</si>
  <si>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</si>
  <si>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</si>
  <si>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</si>
  <si>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</si>
  <si>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</si>
  <si>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</si>
  <si>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</si>
  <si>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</si>
  <si>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</si>
  <si>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</si>
  <si>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</si>
  <si>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</si>
  <si>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</si>
  <si>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</si>
  <si>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</si>
  <si>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</si>
  <si>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</si>
  <si>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</si>
  <si>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</si>
  <si>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</si>
  <si>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</si>
  <si>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</si>
  <si>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</si>
  <si>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</si>
  <si>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</si>
  <si>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</si>
  <si>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</si>
  <si>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</si>
  <si>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</si>
  <si>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</si>
  <si>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</si>
  <si>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</si>
  <si>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</si>
  <si>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</si>
  <si>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Bulgarian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</si>
  <si>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</si>
  <si>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</si>
  <si>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</si>
  <si>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</si>
  <si>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</si>
  <si>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</si>
  <si>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</si>
  <si>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</si>
  <si>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</si>
  <si>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</si>
  <si>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</si>
  <si>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</si>
  <si>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</si>
  <si>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</si>
  <si>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</si>
  <si>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</si>
  <si>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</si>
  <si>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</si>
  <si>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</si>
  <si>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</si>
  <si>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Brevidensovirus</t>
  </si>
  <si>
    <t>Gaeumannomyces graminis virus T1-A</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</si>
  <si>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</si>
  <si>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</si>
  <si>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</si>
  <si>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</si>
  <si>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</si>
  <si>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</si>
  <si>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</si>
  <si>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</si>
  <si>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</si>
  <si>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</si>
  <si>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</si>
  <si>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</si>
  <si>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</si>
  <si>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</si>
  <si>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</si>
  <si>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</si>
  <si>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</si>
  <si>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</si>
  <si>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</si>
  <si>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</si>
  <si>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</si>
  <si>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</si>
  <si>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</si>
  <si>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</si>
  <si>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</si>
  <si>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</si>
  <si>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</si>
  <si>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</si>
  <si>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</si>
  <si>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</si>
  <si>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</si>
  <si>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</si>
  <si>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</si>
  <si>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</si>
  <si>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</si>
  <si>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</si>
  <si>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Sint-Jan's onion latent virus</t>
  </si>
  <si>
    <t>Starling circovirus</t>
  </si>
  <si>
    <t>Gyrovirus</t>
  </si>
  <si>
    <t>Chicken anemia virus</t>
  </si>
  <si>
    <t>Closteroviridae</t>
  </si>
  <si>
    <t>Ampelovirus</t>
  </si>
  <si>
    <t>Tobacco streak virus</t>
  </si>
  <si>
    <t>Tulare apple mosaic virus</t>
  </si>
  <si>
    <t>Oleavirus</t>
  </si>
  <si>
    <t>Olive latent virus 2</t>
  </si>
  <si>
    <t>Influenzavirus A</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</si>
  <si>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</si>
  <si>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</si>
  <si>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</si>
  <si>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</si>
  <si>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</si>
  <si>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</si>
  <si>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</si>
  <si>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</si>
  <si>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</si>
  <si>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</si>
  <si>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</si>
  <si>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</si>
  <si>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</si>
  <si>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</si>
  <si>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</si>
  <si>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</si>
  <si>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</si>
  <si>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</si>
  <si>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</si>
  <si>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</si>
  <si>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</si>
  <si>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</si>
  <si>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</si>
  <si>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</si>
  <si>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</si>
  <si>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</si>
  <si>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</si>
  <si>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</si>
  <si>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</si>
  <si>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</si>
  <si>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</si>
  <si>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</si>
  <si>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</si>
  <si>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</si>
  <si>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</si>
  <si>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</si>
  <si>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</si>
  <si>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</si>
  <si>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</si>
  <si>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</si>
  <si>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</si>
  <si>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</si>
  <si>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</si>
  <si>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</si>
  <si>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</si>
  <si>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</si>
  <si>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</si>
  <si>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</si>
  <si>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</si>
  <si>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</si>
  <si>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</si>
  <si>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</si>
  <si>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</si>
  <si>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</si>
  <si>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</si>
  <si>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</si>
  <si>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</si>
  <si>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</si>
  <si>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</si>
  <si>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</si>
  <si>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</si>
  <si>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</si>
  <si>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</si>
  <si>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</si>
  <si>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</si>
  <si>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</si>
  <si>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</si>
  <si>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</si>
  <si>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</si>
  <si>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</si>
  <si>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</si>
  <si>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</si>
  <si>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</si>
  <si>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</si>
  <si>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</si>
  <si>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JC polyomavirus</t>
  </si>
  <si>
    <t>Murine pneumotropic virus</t>
  </si>
  <si>
    <t>Murine polyomavirus</t>
  </si>
  <si>
    <t>Simian virus 40</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</si>
  <si>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</si>
  <si>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</si>
  <si>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</si>
  <si>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</si>
  <si>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</si>
  <si>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</si>
  <si>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</si>
  <si>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</si>
  <si>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</si>
  <si>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</si>
  <si>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</si>
  <si>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</si>
  <si>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</si>
  <si>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</si>
  <si>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</si>
  <si>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</si>
  <si>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</si>
  <si>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</si>
  <si>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</si>
  <si>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</si>
  <si>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</si>
  <si>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</si>
  <si>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</si>
  <si>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</si>
  <si>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</si>
  <si>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</si>
  <si>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</si>
  <si>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</si>
  <si>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</si>
  <si>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</si>
  <si>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</si>
  <si>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</si>
  <si>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</si>
  <si>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</si>
  <si>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</si>
  <si>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</si>
  <si>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</si>
  <si>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</si>
  <si>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</si>
  <si>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</si>
  <si>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</si>
  <si>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</si>
  <si>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</si>
  <si>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</si>
  <si>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</si>
  <si>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</si>
  <si>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</si>
  <si>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</si>
  <si>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</si>
  <si>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</si>
  <si>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</si>
  <si>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</si>
  <si>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</si>
  <si>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</si>
  <si>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</si>
  <si>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</si>
  <si>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</si>
  <si>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</si>
  <si>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</si>
  <si>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</si>
  <si>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</si>
  <si>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</si>
  <si>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</si>
  <si>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</si>
  <si>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</si>
  <si>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</si>
  <si>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</si>
  <si>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</si>
  <si>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</si>
  <si>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</si>
  <si>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</si>
  <si>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</si>
  <si>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</si>
  <si>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</si>
  <si>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</si>
  <si>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</si>
  <si>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</si>
  <si>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</si>
  <si>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</si>
  <si>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</si>
  <si>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</si>
  <si>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</si>
  <si>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</si>
  <si>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</si>
  <si>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</si>
  <si>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</si>
  <si>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</si>
  <si>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Cacao swollen shoot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</si>
  <si>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</si>
  <si>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</si>
  <si>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</si>
  <si>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</si>
  <si>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</si>
  <si>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</si>
  <si>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</si>
  <si>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</si>
  <si>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</si>
  <si>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</si>
  <si>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</si>
  <si>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</si>
  <si>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</si>
  <si>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</si>
  <si>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</si>
  <si>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</si>
  <si>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</si>
  <si>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</si>
  <si>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</si>
  <si>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</si>
  <si>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</si>
  <si>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</si>
  <si>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</si>
  <si>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</si>
  <si>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</si>
  <si>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</si>
  <si>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Escherichia phage Rogue1</t>
  </si>
  <si>
    <t>Escherichia phage Rtp</t>
  </si>
  <si>
    <t>Escherichia phage Tls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</si>
  <si>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</si>
  <si>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</si>
  <si>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</si>
  <si>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</si>
  <si>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</si>
  <si>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</si>
  <si>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</si>
  <si>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</si>
  <si>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</si>
  <si>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</si>
  <si>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</si>
  <si>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</si>
  <si>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</si>
  <si>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</si>
  <si>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</si>
  <si>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</si>
  <si>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</si>
  <si>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</si>
  <si>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</si>
  <si>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</si>
  <si>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</si>
  <si>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</si>
  <si>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</si>
  <si>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</si>
  <si>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</si>
  <si>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</si>
  <si>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</si>
  <si>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</si>
  <si>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</si>
  <si>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</si>
  <si>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</si>
  <si>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</si>
  <si>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</si>
  <si>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</si>
  <si>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</si>
  <si>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</si>
  <si>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</si>
  <si>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</si>
  <si>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Melegrivirus A</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</si>
  <si>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</si>
  <si>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</si>
  <si>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</si>
  <si>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</si>
  <si>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</si>
  <si>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</si>
  <si>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</si>
  <si>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</si>
  <si>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</si>
  <si>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</si>
  <si>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</si>
  <si>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</si>
  <si>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</si>
  <si>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</si>
  <si>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</si>
  <si>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</si>
  <si>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</si>
  <si>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</si>
  <si>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</si>
  <si>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</si>
  <si>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</si>
  <si>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</si>
  <si>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</si>
  <si>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</si>
  <si>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</si>
  <si>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</si>
  <si>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</si>
  <si>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</si>
  <si>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</si>
  <si>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</si>
  <si>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</si>
  <si>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</si>
  <si>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</si>
  <si>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</si>
  <si>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</si>
  <si>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</si>
  <si>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</si>
  <si>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</si>
  <si>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</si>
  <si>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</si>
  <si>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</si>
  <si>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</si>
  <si>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</si>
  <si>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</si>
  <si>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</si>
  <si>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</si>
  <si>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</si>
  <si>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</si>
  <si>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</si>
  <si>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</si>
  <si>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</si>
  <si>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</si>
  <si>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</si>
  <si>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</si>
  <si>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</si>
  <si>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</si>
  <si>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</si>
  <si>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</si>
  <si>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</si>
  <si>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</si>
  <si>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</si>
  <si>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</si>
  <si>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</si>
  <si>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</si>
  <si>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</si>
  <si>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</si>
  <si>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</si>
  <si>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</si>
  <si>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</si>
  <si>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Sporolobus striate mosaic virus 1</t>
  </si>
  <si>
    <t>Sporolobus striate mosaic virus 2</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</si>
  <si>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</si>
  <si>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</si>
  <si>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</si>
  <si>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</si>
  <si>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</si>
  <si>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</si>
  <si>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</si>
  <si>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</si>
  <si>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</si>
  <si>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</si>
  <si>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Johnston Atoll virus</t>
  </si>
  <si>
    <t>Quaranfil virus</t>
  </si>
  <si>
    <t>Yellow oat-grass mosaic 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</si>
  <si>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</si>
  <si>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</si>
  <si>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</si>
  <si>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</si>
  <si>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</si>
  <si>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</si>
  <si>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</si>
  <si>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</si>
  <si>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</si>
  <si>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</si>
  <si>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</si>
  <si>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</si>
  <si>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</si>
  <si>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</si>
  <si>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</si>
  <si>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</si>
  <si>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</si>
  <si>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</si>
  <si>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</si>
  <si>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</si>
  <si>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</si>
  <si>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</si>
  <si>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</si>
  <si>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</si>
  <si>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</si>
  <si>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</si>
  <si>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</si>
  <si>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</si>
  <si>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</si>
  <si>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</si>
  <si>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</si>
  <si>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</si>
  <si>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</si>
  <si>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</si>
  <si>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</si>
  <si>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</si>
  <si>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</si>
  <si>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</si>
  <si>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</si>
  <si>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</si>
  <si>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</si>
  <si>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</si>
  <si>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</si>
  <si>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</si>
  <si>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</si>
  <si>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</si>
  <si>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</si>
  <si>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</si>
  <si>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</si>
  <si>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</si>
  <si>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</si>
  <si>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</si>
  <si>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</si>
  <si>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</si>
  <si>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</si>
  <si>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</si>
  <si>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</si>
  <si>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</si>
  <si>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</si>
  <si>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</si>
  <si>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</si>
  <si>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</si>
  <si>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</si>
  <si>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</si>
  <si>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</si>
  <si>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</si>
  <si>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</si>
  <si>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</si>
  <si>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</si>
  <si>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</si>
  <si>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</si>
  <si>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</si>
  <si>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</si>
  <si>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</si>
  <si>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</si>
  <si>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</si>
  <si>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</si>
  <si>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</si>
  <si>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</si>
  <si>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</si>
  <si>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</si>
  <si>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</si>
  <si>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</si>
  <si>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</si>
  <si>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</si>
  <si>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</si>
  <si>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</si>
  <si>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</si>
  <si>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</si>
  <si>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</si>
  <si>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</si>
  <si>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</si>
  <si>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</si>
  <si>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</si>
  <si>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</si>
  <si>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</si>
  <si>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</si>
  <si>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</si>
  <si>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</si>
  <si>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</si>
  <si>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</si>
  <si>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</si>
  <si>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</si>
  <si>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</si>
  <si>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</si>
  <si>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</si>
  <si>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</si>
  <si>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</si>
  <si>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</si>
  <si>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</si>
  <si>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</si>
  <si>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</si>
  <si>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</si>
  <si>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</si>
  <si>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</si>
  <si>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</si>
  <si>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</si>
  <si>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</si>
  <si>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</si>
  <si>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</si>
  <si>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</si>
  <si>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</si>
  <si>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</si>
  <si>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</si>
  <si>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</si>
  <si>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</si>
  <si>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</si>
  <si>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</si>
  <si>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</si>
  <si>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</si>
  <si>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</si>
  <si>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</si>
  <si>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</si>
  <si>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</si>
  <si>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</si>
  <si>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</si>
  <si>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</si>
  <si>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</si>
  <si>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</si>
  <si>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</si>
  <si>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</si>
  <si>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</si>
  <si>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</si>
  <si>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</si>
  <si>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</si>
  <si>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</si>
  <si>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golden mosaic Yucatan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</si>
  <si>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</si>
  <si>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</si>
  <si>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</si>
  <si>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</si>
  <si>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</si>
  <si>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</si>
  <si>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</si>
  <si>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</si>
  <si>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</si>
  <si>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</si>
  <si>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</si>
  <si>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</si>
  <si>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</si>
  <si>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</si>
  <si>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</si>
  <si>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</si>
  <si>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</si>
  <si>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</si>
  <si>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</si>
  <si>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leaf curl Uganda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</si>
  <si>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</si>
  <si>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</si>
  <si>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</si>
  <si>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</si>
  <si>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</si>
  <si>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</si>
  <si>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</si>
  <si>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</si>
  <si>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</si>
  <si>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</si>
  <si>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</si>
  <si>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</si>
  <si>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</si>
  <si>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</si>
  <si>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</si>
  <si>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</si>
  <si>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</si>
  <si>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</si>
  <si>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</si>
  <si>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</si>
  <si>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</si>
  <si>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Oman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</si>
  <si>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</si>
  <si>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</si>
  <si>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</si>
  <si>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</si>
  <si>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</si>
  <si>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</si>
  <si>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</si>
  <si>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</si>
  <si>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</si>
  <si>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</si>
  <si>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</si>
  <si>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</si>
  <si>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Barley yellow dwarf virus-kerII</t>
  </si>
  <si>
    <t>Barley yellow dwarf virus-kerIII</t>
  </si>
  <si>
    <t>Cotton leafroll dwarf virus</t>
  </si>
  <si>
    <t>Maize yellow dwarf virus-RMV</t>
  </si>
  <si>
    <t>Pepper vein yellows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</si>
  <si>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</si>
  <si>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</si>
  <si>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</si>
  <si>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</si>
  <si>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</si>
  <si>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</si>
  <si>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</si>
  <si>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</si>
  <si>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</si>
  <si>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</si>
  <si>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</si>
  <si>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</si>
  <si>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</si>
  <si>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</si>
  <si>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</si>
  <si>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</si>
  <si>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</si>
  <si>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</si>
  <si>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</si>
  <si>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</si>
  <si>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</si>
  <si>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</si>
  <si>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</si>
  <si>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</si>
  <si>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</si>
  <si>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</si>
  <si>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</si>
  <si>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</si>
  <si>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</si>
  <si>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</si>
  <si>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</si>
  <si>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</si>
  <si>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</si>
  <si>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</si>
  <si>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</si>
  <si>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</si>
  <si>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</si>
  <si>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</si>
  <si>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</si>
  <si>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</si>
  <si>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</si>
  <si>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</si>
  <si>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</si>
  <si>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</si>
  <si>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</si>
  <si>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</si>
  <si>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</si>
  <si>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</si>
  <si>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</si>
  <si>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</si>
  <si>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</si>
  <si>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</si>
  <si>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</si>
  <si>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</si>
  <si>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</si>
  <si>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</si>
  <si>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</si>
  <si>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</si>
  <si>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</si>
  <si>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</si>
  <si>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</si>
  <si>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</si>
  <si>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</si>
  <si>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</si>
  <si>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Ambidensovirus</t>
  </si>
  <si>
    <t>Blattodean ambidensovirus 1</t>
  </si>
  <si>
    <t>Blattodean ambidensovirus 2</t>
  </si>
  <si>
    <t>Dipteran ambidensovirus 1</t>
  </si>
  <si>
    <t>Hemipteran ambidensovirus 1</t>
  </si>
  <si>
    <t>Lepidopteran ambidensovirus 1</t>
  </si>
  <si>
    <t>Orthopteran ambidensovirus 1</t>
  </si>
  <si>
    <t>Dipteran brevidensovirus 1</t>
  </si>
  <si>
    <t>Dipteran brevidensovirus 2</t>
  </si>
  <si>
    <t>Hepandensovirus</t>
  </si>
  <si>
    <t>Decapod hepandensovirus 1</t>
  </si>
  <si>
    <t>Iteradensovirus</t>
  </si>
  <si>
    <t>Lepidopteran iteradensovirus 1</t>
  </si>
  <si>
    <t>Lepidopteran iteradensovirus 2</t>
  </si>
  <si>
    <t>Lepidopteran iteradensovirus 3</t>
  </si>
  <si>
    <t>Lepidopteran iteradensovirus 4</t>
  </si>
  <si>
    <t>Lepidopteran iteradensovirus 5</t>
  </si>
  <si>
    <t>Penstyldensovirus</t>
  </si>
  <si>
    <t>Decapod penstyldensovirus 1</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</si>
  <si>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</si>
  <si>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</si>
  <si>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</si>
  <si>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</si>
  <si>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</si>
  <si>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</si>
  <si>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</si>
  <si>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</si>
  <si>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</si>
  <si>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</si>
  <si>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</si>
  <si>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</si>
  <si>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</si>
  <si>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</si>
  <si>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</si>
  <si>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</si>
  <si>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</si>
  <si>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</si>
  <si>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</si>
  <si>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</si>
  <si>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</si>
  <si>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</si>
  <si>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</si>
  <si>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</si>
  <si>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</si>
  <si>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</si>
  <si>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</si>
  <si>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</si>
  <si>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</si>
  <si>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</si>
  <si>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</si>
  <si>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</si>
  <si>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</si>
  <si>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</si>
  <si>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</si>
  <si>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</si>
  <si>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</si>
  <si>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</si>
  <si>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</si>
  <si>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</si>
  <si>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</si>
  <si>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</si>
  <si>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</si>
  <si>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</si>
  <si>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</si>
  <si>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</si>
  <si>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</si>
  <si>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</si>
  <si>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</si>
  <si>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</si>
  <si>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</si>
  <si>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</si>
  <si>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</si>
  <si>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</si>
  <si>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</si>
  <si>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</si>
  <si>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</si>
  <si>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</si>
  <si>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</si>
  <si>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</si>
  <si>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</si>
  <si>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</si>
  <si>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</si>
  <si>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</si>
  <si>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</si>
  <si>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</si>
  <si>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</si>
  <si>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</si>
  <si>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</si>
  <si>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</si>
  <si>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</si>
  <si>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</si>
  <si>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</si>
  <si>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</si>
  <si>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Mammalian 1 bornavirus</t>
  </si>
  <si>
    <t>Passeriform 1 bornavirus</t>
  </si>
  <si>
    <t>Passeriform 2 bornavirus</t>
  </si>
  <si>
    <t>Psittaciform 1 bornavirus</t>
  </si>
  <si>
    <t>Waterbird 1 bornavirus</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</si>
  <si>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</si>
  <si>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</si>
  <si>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</si>
  <si>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</si>
  <si>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</si>
  <si>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</si>
  <si>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</si>
  <si>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</si>
  <si>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</si>
  <si>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</si>
  <si>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</si>
  <si>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</si>
  <si>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</si>
  <si>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</si>
  <si>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</si>
  <si>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</si>
  <si>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</si>
  <si>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</si>
  <si>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</si>
  <si>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</si>
  <si>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</si>
  <si>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</si>
  <si>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</si>
  <si>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</si>
  <si>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</si>
  <si>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</si>
  <si>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</si>
  <si>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</si>
  <si>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</si>
  <si>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</si>
  <si>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</si>
  <si>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</si>
  <si>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</si>
  <si>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</si>
  <si>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</si>
  <si>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</si>
  <si>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</si>
  <si>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</si>
  <si>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</si>
  <si>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</si>
  <si>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</si>
  <si>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</si>
  <si>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</si>
  <si>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</si>
  <si>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</si>
  <si>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Alethinophid 1 reptarenavirus</t>
  </si>
  <si>
    <t>Alethinophid 2 reptarenavirus</t>
  </si>
  <si>
    <t>Alethinophid 3 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</si>
  <si>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</si>
  <si>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</si>
  <si>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</si>
  <si>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</si>
  <si>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</si>
  <si>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</si>
  <si>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</si>
  <si>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</si>
  <si>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</si>
  <si>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</si>
  <si>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</si>
  <si>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</si>
  <si>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</si>
  <si>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</si>
  <si>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</si>
  <si>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</si>
  <si>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</si>
  <si>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</si>
  <si>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</si>
  <si>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</si>
  <si>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</si>
  <si>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</si>
  <si>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</si>
  <si>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</si>
  <si>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</si>
  <si>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</si>
  <si>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</si>
  <si>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</si>
  <si>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</si>
  <si>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</si>
  <si>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</si>
  <si>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</si>
  <si>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</si>
  <si>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</si>
  <si>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</si>
  <si>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</si>
  <si>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</si>
  <si>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</si>
  <si>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</si>
  <si>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</si>
  <si>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</si>
  <si>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</si>
  <si>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</si>
  <si>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</si>
  <si>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</si>
  <si>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</si>
  <si>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</si>
  <si>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</si>
  <si>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</si>
  <si>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</si>
  <si>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</si>
  <si>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</si>
  <si>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</si>
  <si>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</si>
  <si>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</si>
  <si>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</si>
  <si>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</si>
  <si>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</si>
  <si>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</si>
  <si>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</si>
  <si>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</si>
  <si>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</si>
  <si>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</si>
  <si>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</si>
  <si>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</si>
  <si>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</si>
  <si>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</si>
  <si>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</si>
  <si>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</si>
  <si>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</si>
  <si>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</si>
  <si>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</si>
  <si>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</si>
  <si>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</si>
  <si>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</si>
  <si>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Proposal</t>
  </si>
  <si>
    <t>HE815464</t>
  </si>
  <si>
    <t>FN667788</t>
  </si>
  <si>
    <t>FN667789</t>
  </si>
  <si>
    <t>HM246720</t>
  </si>
  <si>
    <t>FR823450</t>
  </si>
  <si>
    <t>JN132397</t>
  </si>
  <si>
    <t>GU296433</t>
  </si>
  <si>
    <t>dsDNA</t>
  </si>
  <si>
    <t>AY349011</t>
  </si>
  <si>
    <t>FJ937737</t>
  </si>
  <si>
    <t>JX104231</t>
  </si>
  <si>
    <t>JN662425</t>
  </si>
  <si>
    <t>AY625898</t>
  </si>
  <si>
    <t>KC262634</t>
  </si>
  <si>
    <t>AY954957</t>
  </si>
  <si>
    <t>AY954956</t>
  </si>
  <si>
    <t>AY954955</t>
  </si>
  <si>
    <t>EU861005</t>
  </si>
  <si>
    <t>AF424782</t>
  </si>
  <si>
    <t>AB045978</t>
  </si>
  <si>
    <t>AF424783</t>
  </si>
  <si>
    <t>AY508486</t>
  </si>
  <si>
    <t>AB243556</t>
  </si>
  <si>
    <t>KC330684</t>
  </si>
  <si>
    <t>KF669648</t>
  </si>
  <si>
    <t>KC330679</t>
  </si>
  <si>
    <t>KC330680</t>
  </si>
  <si>
    <t>KC330683</t>
  </si>
  <si>
    <t>KF669651</t>
  </si>
  <si>
    <t>KF669659</t>
  </si>
  <si>
    <t>KC330682</t>
  </si>
  <si>
    <t>AY129339</t>
  </si>
  <si>
    <t>FJ174691</t>
  </si>
  <si>
    <t>JN412589</t>
  </si>
  <si>
    <t>EU770222</t>
  </si>
  <si>
    <t>JN412591</t>
  </si>
  <si>
    <t>JN572061</t>
  </si>
  <si>
    <t>HM152763</t>
  </si>
  <si>
    <t>JF744988</t>
  </si>
  <si>
    <t>JF704108</t>
  </si>
  <si>
    <t>JN680858</t>
  </si>
  <si>
    <t>EU340421</t>
  </si>
  <si>
    <t>AY739900</t>
  </si>
  <si>
    <t>JN256079</t>
  </si>
  <si>
    <t>JN624851</t>
  </si>
  <si>
    <t>GU060500</t>
  </si>
  <si>
    <t>JQ809702</t>
  </si>
  <si>
    <t>EU816590</t>
  </si>
  <si>
    <t>AY129330</t>
  </si>
  <si>
    <t>AY129336</t>
  </si>
  <si>
    <t>JN698996</t>
  </si>
  <si>
    <t>JF937093</t>
  </si>
  <si>
    <t>JX411620</t>
  </si>
  <si>
    <t>JN859129</t>
  </si>
  <si>
    <t>JN542517</t>
  </si>
  <si>
    <t>FJ174690</t>
  </si>
  <si>
    <t>JN398368</t>
  </si>
  <si>
    <t>JF937098</t>
  </si>
  <si>
    <t>DQ398045</t>
  </si>
  <si>
    <t>JF937102</t>
  </si>
  <si>
    <t>JN020142</t>
  </si>
  <si>
    <t>FJ174692</t>
  </si>
  <si>
    <t>DQ398050</t>
  </si>
  <si>
    <t>FJ174693</t>
  </si>
  <si>
    <t>JF704117</t>
  </si>
  <si>
    <t>JN699012</t>
  </si>
  <si>
    <t>JN020141</t>
  </si>
  <si>
    <t>JN020143</t>
  </si>
  <si>
    <t>JQ300538</t>
  </si>
  <si>
    <t>JX121091</t>
  </si>
  <si>
    <t>EF536069</t>
  </si>
  <si>
    <t>HQ728524</t>
  </si>
  <si>
    <t>JF704115</t>
  </si>
  <si>
    <t>JN699001</t>
  </si>
  <si>
    <t>FJ168659</t>
  </si>
  <si>
    <t>AY129333</t>
  </si>
  <si>
    <t>JX094499</t>
  </si>
  <si>
    <t>KC139519</t>
  </si>
  <si>
    <t>KC139512</t>
  </si>
  <si>
    <t>KC677662</t>
  </si>
  <si>
    <t>JN871591</t>
  </si>
  <si>
    <t>DQ398041</t>
  </si>
  <si>
    <t>JF937091</t>
  </si>
  <si>
    <t>AY129331</t>
  </si>
  <si>
    <t>JN412590</t>
  </si>
  <si>
    <t>EU816591</t>
  </si>
  <si>
    <t>EU816588</t>
  </si>
  <si>
    <t>GQ303265</t>
  </si>
  <si>
    <t>JF937106</t>
  </si>
  <si>
    <t>JN006061</t>
  </si>
  <si>
    <t>AY129335</t>
  </si>
  <si>
    <t>JN698993</t>
  </si>
  <si>
    <t>AY394005</t>
  </si>
  <si>
    <t>DQ631426</t>
  </si>
  <si>
    <t>JN808773</t>
  </si>
  <si>
    <t>HE584812</t>
  </si>
  <si>
    <t>DQ873690</t>
  </si>
  <si>
    <t>EU272036</t>
  </si>
  <si>
    <t>EU272037</t>
  </si>
  <si>
    <t>HM624080</t>
  </si>
  <si>
    <t>AF165214</t>
  </si>
  <si>
    <t>HQ711985</t>
  </si>
  <si>
    <t>DQ398042</t>
  </si>
  <si>
    <t>JN412593</t>
  </si>
  <si>
    <t xml:space="preserve">JX865427 </t>
  </si>
  <si>
    <t>FJ750948</t>
  </si>
  <si>
    <t>JQ086375</t>
  </si>
  <si>
    <t xml:space="preserve">JN984867 </t>
  </si>
  <si>
    <t xml:space="preserve">GQ502199 </t>
  </si>
  <si>
    <t>GU229986</t>
  </si>
  <si>
    <t>EU874396</t>
  </si>
  <si>
    <t xml:space="preserve">HE775250 </t>
  </si>
  <si>
    <t>KF148055</t>
  </si>
  <si>
    <t xml:space="preserve">JQ007353 </t>
  </si>
  <si>
    <t xml:space="preserve">EF177456 </t>
  </si>
  <si>
    <t>AY730274</t>
  </si>
  <si>
    <t xml:space="preserve">JX202565 </t>
  </si>
  <si>
    <t>JN699005</t>
  </si>
  <si>
    <t>JX307702</t>
  </si>
  <si>
    <t>JX015524</t>
  </si>
  <si>
    <t>JF704093</t>
  </si>
  <si>
    <t>JF957057</t>
  </si>
  <si>
    <t>JN083852</t>
  </si>
  <si>
    <t>AY500153</t>
  </si>
  <si>
    <t>JN699000</t>
  </si>
  <si>
    <t>JN698998</t>
  </si>
  <si>
    <t>AF271693</t>
  </si>
  <si>
    <t>AY129332</t>
  </si>
  <si>
    <t>DQ398043</t>
  </si>
  <si>
    <t>JN408459</t>
  </si>
  <si>
    <t>JN153085</t>
  </si>
  <si>
    <t>JN049605</t>
  </si>
  <si>
    <t>JN153086</t>
  </si>
  <si>
    <t>JF704107</t>
  </si>
  <si>
    <t>JF704097</t>
  </si>
  <si>
    <t>JX307704</t>
  </si>
  <si>
    <t>JF937094</t>
  </si>
  <si>
    <t>JF957058</t>
  </si>
  <si>
    <t>EU744251</t>
  </si>
  <si>
    <t>JF937099</t>
  </si>
  <si>
    <t>JN699019</t>
  </si>
  <si>
    <t>JF704098</t>
  </si>
  <si>
    <t>EU744248</t>
  </si>
  <si>
    <t>JF937110</t>
  </si>
  <si>
    <t>JN699016</t>
  </si>
  <si>
    <t>JF937100</t>
  </si>
  <si>
    <t>JN699015</t>
  </si>
  <si>
    <t>EU744249</t>
  </si>
  <si>
    <t>JX307705</t>
  </si>
  <si>
    <t>JF704101</t>
  </si>
  <si>
    <t>JN020140</t>
  </si>
  <si>
    <t>JF937103</t>
  </si>
  <si>
    <t>JQ698665</t>
  </si>
  <si>
    <t>JF704110</t>
  </si>
  <si>
    <t>GQ303263</t>
  </si>
  <si>
    <t>JN572689</t>
  </si>
  <si>
    <t>EU744250</t>
  </si>
  <si>
    <t>JX411619</t>
  </si>
  <si>
    <t>GU339467</t>
  </si>
  <si>
    <t>JN398369</t>
  </si>
  <si>
    <t>JF704111</t>
  </si>
  <si>
    <t>JN831654</t>
  </si>
  <si>
    <t>GU247132</t>
  </si>
  <si>
    <t>EU826470</t>
  </si>
  <si>
    <t>JF937108</t>
  </si>
  <si>
    <t>JF946695</t>
  </si>
  <si>
    <t>JN400277</t>
  </si>
  <si>
    <t>JQ684677</t>
  </si>
  <si>
    <t>JF957060</t>
  </si>
  <si>
    <t>JN408461</t>
  </si>
  <si>
    <t>JN408460</t>
  </si>
  <si>
    <t>JQ512844</t>
  </si>
  <si>
    <t>AY500152</t>
  </si>
  <si>
    <t>JN687951</t>
  </si>
  <si>
    <t>HM755814</t>
  </si>
  <si>
    <t>JN116827</t>
  </si>
  <si>
    <t>JN116826</t>
  </si>
  <si>
    <t>JF937090</t>
  </si>
  <si>
    <t>JN698997</t>
  </si>
  <si>
    <t>JF937101</t>
  </si>
  <si>
    <t>AY129338</t>
  </si>
  <si>
    <t>JF957059</t>
  </si>
  <si>
    <t>JN201525</t>
  </si>
  <si>
    <t>EU100883</t>
  </si>
  <si>
    <t>EU100884</t>
  </si>
  <si>
    <t>DQ398047</t>
  </si>
  <si>
    <t>JN699007</t>
  </si>
  <si>
    <t>JN699003</t>
  </si>
  <si>
    <t>JF704094</t>
  </si>
  <si>
    <t>DQ398044</t>
  </si>
  <si>
    <t>JN698992</t>
  </si>
  <si>
    <t>EU770221</t>
  </si>
  <si>
    <t>JN192463</t>
  </si>
  <si>
    <t>AF547430</t>
  </si>
  <si>
    <t>DQ398049</t>
  </si>
  <si>
    <t>AY129334</t>
  </si>
  <si>
    <t>JN699011</t>
  </si>
  <si>
    <t>JF704104</t>
  </si>
  <si>
    <t>AJ550940</t>
  </si>
  <si>
    <t>JX182372</t>
  </si>
  <si>
    <t>JX100811</t>
  </si>
  <si>
    <t>JX100812</t>
  </si>
  <si>
    <t>JX100813</t>
  </si>
  <si>
    <t>JX100814</t>
  </si>
  <si>
    <t>JX100809</t>
  </si>
  <si>
    <t>CP000625</t>
  </si>
  <si>
    <t xml:space="preserve">AY453853 </t>
  </si>
  <si>
    <t xml:space="preserve">AF447491 </t>
  </si>
  <si>
    <t>AF424781</t>
  </si>
  <si>
    <t>AY954964</t>
  </si>
  <si>
    <t>AY954958</t>
  </si>
  <si>
    <t>AY954952</t>
  </si>
  <si>
    <t>AY954963</t>
  </si>
  <si>
    <t>AY954951</t>
  </si>
  <si>
    <t>AY954962</t>
  </si>
  <si>
    <t>DQ908929</t>
  </si>
  <si>
    <t>AY954953</t>
  </si>
  <si>
    <t>AY954966</t>
  </si>
  <si>
    <t>AY954967</t>
  </si>
  <si>
    <t>AY954960</t>
  </si>
  <si>
    <t>AY954950</t>
  </si>
  <si>
    <t>AY954965</t>
  </si>
  <si>
    <t>DQ517338</t>
  </si>
  <si>
    <t>DQ831957</t>
  </si>
  <si>
    <t>AY954959</t>
  </si>
  <si>
    <t>JN192400</t>
  </si>
  <si>
    <t>JN192401</t>
  </si>
  <si>
    <t>EU861004</t>
  </si>
  <si>
    <t>DQ834250</t>
  </si>
  <si>
    <t>AP001553</t>
  </si>
  <si>
    <t>AP008953</t>
  </si>
  <si>
    <t>AP008954</t>
  </si>
  <si>
    <t>AB370268</t>
  </si>
  <si>
    <t>AB370205</t>
  </si>
  <si>
    <t>DQ530359</t>
  </si>
  <si>
    <t>DQ530360</t>
  </si>
  <si>
    <t>DQ530362</t>
  </si>
  <si>
    <t>GU477322</t>
  </si>
  <si>
    <t>AY954968</t>
  </si>
  <si>
    <t>GQ478081</t>
  </si>
  <si>
    <t>GQ478084</t>
  </si>
  <si>
    <t>GQ478086</t>
  </si>
  <si>
    <t>JX486087</t>
  </si>
  <si>
    <t>AY236756</t>
  </si>
  <si>
    <t>JN051154</t>
  </si>
  <si>
    <t>JN699628</t>
  </si>
  <si>
    <t>JF937105</t>
  </si>
  <si>
    <t>AB712291</t>
  </si>
  <si>
    <t>KF192053</t>
  </si>
  <si>
    <t>JF731128</t>
  </si>
  <si>
    <t>KJ094032</t>
  </si>
  <si>
    <t>HE962497</t>
  </si>
  <si>
    <t>EF529515</t>
  </si>
  <si>
    <t>AY699705</t>
  </si>
  <si>
    <t>FJ226752</t>
  </si>
  <si>
    <t>U88974</t>
  </si>
  <si>
    <t>AF158600</t>
  </si>
  <si>
    <t>AF145054</t>
  </si>
  <si>
    <t>FJ236310</t>
  </si>
  <si>
    <t>AF085222</t>
  </si>
  <si>
    <t>AF115102</t>
  </si>
  <si>
    <t>AF115103</t>
  </si>
  <si>
    <t>DQ227763</t>
  </si>
  <si>
    <t>JQ740813</t>
  </si>
  <si>
    <t>JQ740788</t>
  </si>
  <si>
    <t>JQ740787</t>
  </si>
  <si>
    <t>JQ740804</t>
  </si>
  <si>
    <t>JQ740789</t>
  </si>
  <si>
    <t>EU221285</t>
  </si>
  <si>
    <t>AF009630</t>
  </si>
  <si>
    <t>FJ848882</t>
  </si>
  <si>
    <t>FJ848883</t>
  </si>
  <si>
    <t>FJ848884</t>
  </si>
  <si>
    <t>FJ848885</t>
  </si>
  <si>
    <t>DQ227764</t>
  </si>
  <si>
    <t>GQ979703</t>
  </si>
  <si>
    <t>DQ054536</t>
  </si>
  <si>
    <t>AF011378</t>
  </si>
  <si>
    <t>FJ848881</t>
  </si>
  <si>
    <t>JF704106</t>
  </si>
  <si>
    <t>HM152764</t>
  </si>
  <si>
    <t>HM152767</t>
  </si>
  <si>
    <t>JN831653</t>
  </si>
  <si>
    <t>JN185608</t>
  </si>
  <si>
    <t>JN243855</t>
  </si>
  <si>
    <t>JX042579</t>
  </si>
  <si>
    <t>JF937104</t>
  </si>
  <si>
    <t>AF068845</t>
  </si>
  <si>
    <t>JX887877</t>
  </si>
  <si>
    <t>EU887664</t>
  </si>
  <si>
    <t>DQ289555</t>
  </si>
  <si>
    <t>AB720063</t>
  </si>
  <si>
    <t>AP008979</t>
  </si>
  <si>
    <t>EU717894</t>
  </si>
  <si>
    <t>DQ777876</t>
  </si>
  <si>
    <t>AY299121</t>
  </si>
  <si>
    <t>ssRNA(-)</t>
  </si>
  <si>
    <t>KC464471</t>
  </si>
  <si>
    <t>canary bornavirus 1</t>
  </si>
  <si>
    <t>KF680099</t>
  </si>
  <si>
    <t>estrildid finch bornavirus 1</t>
  </si>
  <si>
    <t>GU249595</t>
  </si>
  <si>
    <t>parrot bornavirus 1</t>
  </si>
  <si>
    <t>KF578398</t>
  </si>
  <si>
    <t>aquatic bird bornavirus 1</t>
  </si>
  <si>
    <t>KF530058</t>
  </si>
  <si>
    <t>BA-T</t>
  </si>
  <si>
    <t>ssRNA(+)</t>
  </si>
  <si>
    <t>JQ864242</t>
  </si>
  <si>
    <t>KC935379</t>
  </si>
  <si>
    <t>KF387721</t>
  </si>
  <si>
    <t>KF741227</t>
  </si>
  <si>
    <t>ssDNA</t>
  </si>
  <si>
    <t>L segment: AB693151, S segment: AB693150</t>
  </si>
  <si>
    <t>Lunk virus, isolate NKS-1</t>
  </si>
  <si>
    <t>L segment: GU078661, S segment: GU078660</t>
  </si>
  <si>
    <t>Merino Walk virus, isolate Merino Walk</t>
  </si>
  <si>
    <t>JQ717263, JQ717264</t>
  </si>
  <si>
    <t>Golden Gate virus</t>
  </si>
  <si>
    <t>JQ717262, JQ717261</t>
  </si>
  <si>
    <t>California Academy of Sciences virus</t>
  </si>
  <si>
    <t>KC508669, KC508670</t>
  </si>
  <si>
    <t>Boa AV NL B3</t>
  </si>
  <si>
    <t>dsRNA</t>
  </si>
  <si>
    <t>L segment: (HM745930), M segment: (HM745931), S segment: (HM745932)</t>
  </si>
  <si>
    <t>ssRNA-RT</t>
  </si>
  <si>
    <t>HQ593107</t>
  </si>
  <si>
    <t>HQ593108</t>
  </si>
  <si>
    <t>HQ593109</t>
  </si>
  <si>
    <t>HQ593110</t>
  </si>
  <si>
    <t>JF411989</t>
  </si>
  <si>
    <t>KJ013302</t>
  </si>
  <si>
    <t>JQ926983</t>
  </si>
  <si>
    <t>JX028536</t>
  </si>
  <si>
    <t>JX941466</t>
  </si>
  <si>
    <t>GU345042</t>
  </si>
  <si>
    <t>R63</t>
  </si>
  <si>
    <t>JQ001749</t>
  </si>
  <si>
    <t>BatHEV/BS7/GE/2009</t>
  </si>
  <si>
    <t>HQ731075</t>
  </si>
  <si>
    <t>JX263426</t>
  </si>
  <si>
    <t>KF649336</t>
  </si>
  <si>
    <t>EF105297</t>
  </si>
  <si>
    <t>JQ723475</t>
  </si>
  <si>
    <t>AB818538</t>
  </si>
  <si>
    <t>JF838187</t>
  </si>
  <si>
    <t>EU847625</t>
  </si>
  <si>
    <t>GQ916624</t>
  </si>
  <si>
    <t>JQ314463</t>
  </si>
  <si>
    <t>EU564817</t>
  </si>
  <si>
    <t>KC345605</t>
  </si>
  <si>
    <t>KF260962</t>
  </si>
  <si>
    <t>HF679131</t>
  </si>
  <si>
    <t>HF769133</t>
  </si>
  <si>
    <t>HF679134</t>
  </si>
  <si>
    <t>Seg1: JN596591, Seg2: JQ919995, Seg3: JQ919997, Seg4: JQ919996, Seg5: JQ919999, Seg6: HQ403603, Seg7: JQ920001, Seg8: JQ920000, Seg9: JQ919998, Seg10: JQ920003, Seg11: JQ920002</t>
  </si>
  <si>
    <t>RVF/Chicken-wt/DEU/03V0568/2003/GXP[X]</t>
  </si>
  <si>
    <t>Seg1: JN596592, Seg2: JQ920004, Seg3: JQ920006, Seg4: JQ920005, Seg5: JQ920008, Seg6: HQ403604, Seg7: JQ920010, Seg8: JQ920009, Seg9: JQ920007, Seg10: JQ920011, Seg11: JQ920012</t>
  </si>
  <si>
    <t>RVG/Chicken-wt/DEU/03V0567/2003/GXP[X]</t>
  </si>
  <si>
    <t>Seg1: DQ113897, Seg2: DQ113898, Seg3: DQ113899, Seg4: DQ113900, Seg5: DQ113901, Seg6: DQ113902, Seg7: DQ113903, Seg8: DQ113904, Seg9: DQ113905, Seg10: DQ113906, Seg11: DQ113907</t>
  </si>
  <si>
    <t>RVX/Human-tc/CHN/NADRV-J19/1997/GXP[X]</t>
  </si>
  <si>
    <t>JN968479</t>
  </si>
  <si>
    <t>KC252997</t>
  </si>
  <si>
    <t>AY950802</t>
  </si>
  <si>
    <t>AY048850</t>
  </si>
  <si>
    <t>GQ403789</t>
  </si>
  <si>
    <t>AB063393</t>
  </si>
  <si>
    <t>JX848617</t>
  </si>
  <si>
    <t>AY038066</t>
  </si>
  <si>
    <t>AY038069</t>
  </si>
  <si>
    <t>AY038068</t>
  </si>
  <si>
    <t>KC166238</t>
  </si>
  <si>
    <t>HM640935</t>
  </si>
  <si>
    <t>06TGP01091</t>
  </si>
  <si>
    <t>KF477193</t>
  </si>
  <si>
    <t>KF495564</t>
  </si>
  <si>
    <t>Mosso das Pedras virus</t>
  </si>
  <si>
    <t>HQ128706</t>
  </si>
  <si>
    <t>EF442780</t>
  </si>
  <si>
    <t>EU371896</t>
  </si>
  <si>
    <t>Melanoplus sanguinipes entomopoxvirus 'O'</t>
  </si>
  <si>
    <t>Exemplar Accession Number</t>
  </si>
  <si>
    <t>Exemplar Isolate</t>
  </si>
  <si>
    <t>Genome Composition</t>
  </si>
  <si>
    <t>Type Species?</t>
  </si>
  <si>
    <t>Taxon History URL</t>
  </si>
  <si>
    <t>Last Change</t>
  </si>
  <si>
    <t>Spiraea yellow leafspot virus</t>
  </si>
  <si>
    <t>Arabidopsis thaliana evelknievel virus</t>
  </si>
  <si>
    <t>Cp220virus</t>
  </si>
  <si>
    <t>Campylobacter virus CP220</t>
  </si>
  <si>
    <t>Campylobacter virus CPt10</t>
  </si>
  <si>
    <t>Campylobacter virus IBB35</t>
  </si>
  <si>
    <t>Cp8virus</t>
  </si>
  <si>
    <t>Campylobacter virus CP81</t>
  </si>
  <si>
    <t>Campylobacter virus CPX</t>
  </si>
  <si>
    <t>Campylobacter virus NCTC12673</t>
  </si>
  <si>
    <t>Hp1virus</t>
  </si>
  <si>
    <t>Aeromonas virus phiO18P</t>
  </si>
  <si>
    <t>Haemophilus virus HP1</t>
  </si>
  <si>
    <t>Haemophilus virus HP2</t>
  </si>
  <si>
    <t>Pasteurella virus F108</t>
  </si>
  <si>
    <t>Vibrio virus K139</t>
  </si>
  <si>
    <t>Vibrio virus Kappa</t>
  </si>
  <si>
    <t>P2virus</t>
  </si>
  <si>
    <t>Burkholderia virus phi52237</t>
  </si>
  <si>
    <t>Burkholderia virus phiE122</t>
  </si>
  <si>
    <t>Burkholderia virus phiE202</t>
  </si>
  <si>
    <t>Escherichia virus 186</t>
  </si>
  <si>
    <t>Escherichia virus P2</t>
  </si>
  <si>
    <t>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</si>
  <si>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</si>
  <si>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</si>
  <si>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</si>
  <si>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</si>
  <si>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</si>
  <si>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</si>
  <si>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</si>
  <si>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</si>
  <si>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</si>
  <si>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</si>
  <si>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phage G15</t>
  </si>
  <si>
    <t>Staphylococcus virus JD7</t>
  </si>
  <si>
    <t>Staphylococcus phage JD007</t>
  </si>
  <si>
    <t>Staphylococcus virus K</t>
  </si>
  <si>
    <t>Staphylococcus virus MCE2014</t>
  </si>
  <si>
    <t>Staphylococcus phage MCE-2014</t>
  </si>
  <si>
    <t>Staphylococcus virus P108</t>
  </si>
  <si>
    <t>Staphylococcus phage P108</t>
  </si>
  <si>
    <t>Staphylococcus virus S253</t>
  </si>
  <si>
    <t>Staphylococcus phage S25-3</t>
  </si>
  <si>
    <t>Staphylococcus virus SA12</t>
  </si>
  <si>
    <t>Staphylococcus phage phiSA12</t>
  </si>
  <si>
    <t>P100virus</t>
  </si>
  <si>
    <t>Listeria virus A511</t>
  </si>
  <si>
    <t>Listeria virus P100</t>
  </si>
  <si>
    <t>Silviavirus</t>
  </si>
  <si>
    <t>Staphylococcus virus Remus</t>
  </si>
  <si>
    <t>Staphylococcus phage vB_SauM_Remus</t>
  </si>
  <si>
    <t>Staphylococcus virus SA11</t>
  </si>
  <si>
    <t>Staphylococcus phage SA11</t>
  </si>
  <si>
    <t>Spo1virus</t>
  </si>
  <si>
    <t>Bacillus virus SPO1</t>
  </si>
  <si>
    <t>Twortvirus</t>
  </si>
  <si>
    <t>Staphylococcus virus Twort</t>
  </si>
  <si>
    <t>Enterococcus virus phiEC24C</t>
  </si>
  <si>
    <t>Lactobacillus virus LP65</t>
  </si>
  <si>
    <t>Cc31virus</t>
  </si>
  <si>
    <t>Enterobacter phage CC31</t>
  </si>
  <si>
    <t>Enterobacter virus PG7</t>
  </si>
  <si>
    <t>Enterobacter phage PG7</t>
  </si>
  <si>
    <t>Js98virus</t>
  </si>
  <si>
    <t>Escherichia virus Bp7</t>
  </si>
  <si>
    <t>Escherichia phage Bp7</t>
  </si>
  <si>
    <t>Escherichia virus IME08</t>
  </si>
  <si>
    <t>Escherichia phage IME08</t>
  </si>
  <si>
    <t>Escherichia virus JS10</t>
  </si>
  <si>
    <t>Escherichia phage JS10</t>
  </si>
  <si>
    <t>Escherichia virus JS98</t>
  </si>
  <si>
    <t>Escherichia virus VR5</t>
  </si>
  <si>
    <t>Escherichia phage vb_EcoM-VR5</t>
  </si>
  <si>
    <t>Rb49virus</t>
  </si>
  <si>
    <t>Escherichia virus phi1</t>
  </si>
  <si>
    <t>Escherichia virus RB49</t>
  </si>
  <si>
    <t>Rb69virus</t>
  </si>
  <si>
    <t>Escherichia virus HX01</t>
  </si>
  <si>
    <t>Escherichia phage HX01</t>
  </si>
  <si>
    <t>Escherichia virus JS09</t>
  </si>
  <si>
    <t>Escherichia phage vB_EcoM_JS09</t>
  </si>
  <si>
    <t>Escherichia virus RB69</t>
  </si>
  <si>
    <t>Shigella virus UTAM</t>
  </si>
  <si>
    <t>Shigella phage Shf125875</t>
  </si>
  <si>
    <t>S16virus</t>
  </si>
  <si>
    <t>Salmonella virus S16</t>
  </si>
  <si>
    <t>Salmonella phage vB_SenM-S16</t>
  </si>
  <si>
    <t>Salmonella virus STML198</t>
  </si>
  <si>
    <t>Salmonella phage STML-198</t>
  </si>
  <si>
    <t>Schizot4virus</t>
  </si>
  <si>
    <t>Vibrio virus KVP40</t>
  </si>
  <si>
    <t>Vibrio virus nt1</t>
  </si>
  <si>
    <t>Vibrio virus ValKK3</t>
  </si>
  <si>
    <t>Vibrio phage ValKK3</t>
  </si>
  <si>
    <t>Sp18virus</t>
  </si>
  <si>
    <t>Escherichia virus VR7</t>
  </si>
  <si>
    <t>Escherichia phage vB_EcoM_VR7</t>
  </si>
  <si>
    <t>Escherichia virus VR20</t>
  </si>
  <si>
    <t>Escherichia phage vB_EcoM_VR20</t>
  </si>
  <si>
    <t>Escherichia virus VR25</t>
  </si>
  <si>
    <t>Escherichia phage vB_EcoM_VR25</t>
  </si>
  <si>
    <t>Escherichia virus VR26</t>
  </si>
  <si>
    <t>Escherichia phage vB_EcoM_VR26</t>
  </si>
  <si>
    <t>Shigella virus SP18</t>
  </si>
  <si>
    <t>Shigella phage SP18</t>
  </si>
  <si>
    <t>T4virus</t>
  </si>
  <si>
    <t>Escherichia virus AR1</t>
  </si>
  <si>
    <t>Escherichia phage AR1</t>
  </si>
  <si>
    <t>Escherichia virus C40</t>
  </si>
  <si>
    <t>Escherichia phage vB_EcoM_ACG-C40</t>
  </si>
  <si>
    <t>Escherichia virus E112</t>
  </si>
  <si>
    <t>Escherichia phage vB_EcoM_112</t>
  </si>
  <si>
    <t>Escherichia virus ECML134</t>
  </si>
  <si>
    <t>Escherichia phage ECML-134</t>
  </si>
  <si>
    <t>Escherichia virus Ime09</t>
  </si>
  <si>
    <t>Escherichia phage ime09</t>
  </si>
  <si>
    <t>Escherichia virus RB3</t>
  </si>
  <si>
    <t>Escherichia phage RB3</t>
  </si>
  <si>
    <t>Escherichia virus RB14</t>
  </si>
  <si>
    <t>Escherichia virus T4</t>
  </si>
  <si>
    <t>Shigella virus Pss1</t>
  </si>
  <si>
    <t>Shigella phage pSs-1</t>
  </si>
  <si>
    <t>Shigella virus Shfl2</t>
  </si>
  <si>
    <t>Shigella phage Shfl2</t>
  </si>
  <si>
    <t>Yersinia virus D1</t>
  </si>
  <si>
    <t>Yersinia phage phiD1</t>
  </si>
  <si>
    <t>Yersinia virus PST</t>
  </si>
  <si>
    <t>Yersinia phage PST</t>
  </si>
  <si>
    <t>Acinetobacter virus 133</t>
  </si>
  <si>
    <t>Aeromonas virus 65</t>
  </si>
  <si>
    <t>Aeromonas virus Aeh1</t>
  </si>
  <si>
    <t>Escherichia virus RB16</t>
  </si>
  <si>
    <t>Escherichia virus RB32</t>
  </si>
  <si>
    <t>Escherichia virus RB43</t>
  </si>
  <si>
    <t>Pseudomonas virus 42</t>
  </si>
  <si>
    <t>Vequintavirinae</t>
  </si>
  <si>
    <t>Cr3virus</t>
  </si>
  <si>
    <t>Cronobacter virus CR3</t>
  </si>
  <si>
    <t>Cronobacter phage CR3</t>
  </si>
  <si>
    <t>Cronobacter virus CR8</t>
  </si>
  <si>
    <t>Cronobacter phage CR8</t>
  </si>
  <si>
    <t>Cronobacter virus CR9</t>
  </si>
  <si>
    <t>Cronobacter phage CR9</t>
  </si>
  <si>
    <t>Se1virus</t>
  </si>
  <si>
    <t>Cronobacter virus GAP31</t>
  </si>
  <si>
    <t>Cronobacter phage vB_CsaM_GAP31</t>
  </si>
  <si>
    <t>Escherichia virus 4MG</t>
  </si>
  <si>
    <t>Escherichia phage 4MG</t>
  </si>
  <si>
    <t>Salmonella virus SE1</t>
  </si>
  <si>
    <t>Salmonella phage SE1</t>
  </si>
  <si>
    <t>Salmonella virus SSE121</t>
  </si>
  <si>
    <t>Salmonella phage SSE121</t>
  </si>
  <si>
    <t>V5virus</t>
  </si>
  <si>
    <t>Escherichia virus FFH2</t>
  </si>
  <si>
    <t>Escherichia phage FFH2</t>
  </si>
  <si>
    <t>Escherichia virus FV3</t>
  </si>
  <si>
    <t>Escherichia phage FV3</t>
  </si>
  <si>
    <t>Escherichia virus JES2013</t>
  </si>
  <si>
    <t>Escherichia phage JES2013</t>
  </si>
  <si>
    <t>Escherichia virus V5</t>
  </si>
  <si>
    <t>Escherichia phage V5</t>
  </si>
  <si>
    <t>Agatevirus</t>
  </si>
  <si>
    <t>Bacillus virus Agate</t>
  </si>
  <si>
    <t>Bacillus phage phiAGATE</t>
  </si>
  <si>
    <t>Bacillus virus Bobb</t>
  </si>
  <si>
    <t>Bacillus phage Bobb</t>
  </si>
  <si>
    <t>Bacillus virus Bp8pC</t>
  </si>
  <si>
    <t>Bacillus phage Bp8p-C</t>
  </si>
  <si>
    <t>Ap22virus</t>
  </si>
  <si>
    <t>Acinetobacter virus AB1</t>
  </si>
  <si>
    <t>Acinetobacter phage AB1</t>
  </si>
  <si>
    <t>Acinetobacter virus AB2</t>
  </si>
  <si>
    <t>Acinetobacter phage vB_AbaM-IME-AB2</t>
  </si>
  <si>
    <t>Acinetobacter virus AbC62</t>
  </si>
  <si>
    <t>Acinetobacter phage YMC-13-01-C62</t>
  </si>
  <si>
    <t>Acinetobacter virus AP22</t>
  </si>
  <si>
    <t>Acinetobacter phage AP22</t>
  </si>
  <si>
    <t>B4virus</t>
  </si>
  <si>
    <t>Bacillus virus B4</t>
  </si>
  <si>
    <t>Bacillus phage B4</t>
  </si>
  <si>
    <t>Bacillus virus Bigbertha</t>
  </si>
  <si>
    <t>Bacillus phage BigBertha</t>
  </si>
  <si>
    <t>Bacillus virus Riley</t>
  </si>
  <si>
    <t>Bacillus phage Riley</t>
  </si>
  <si>
    <t>Bacillus virus Spock</t>
  </si>
  <si>
    <t>Bacillus phage Spock</t>
  </si>
  <si>
    <t>Bacillus virus Troll</t>
  </si>
  <si>
    <t>Bacillus phage Troll</t>
  </si>
  <si>
    <t>Bastillevirus</t>
  </si>
  <si>
    <t>Bacillus virus Bastille</t>
  </si>
  <si>
    <t>Bacillus phage Bastille</t>
  </si>
  <si>
    <t>Bacillus virus CAM003</t>
  </si>
  <si>
    <t>Bacillus phage CAM003</t>
  </si>
  <si>
    <t>Bc431virus</t>
  </si>
  <si>
    <t>Bacillus virus Bc431</t>
  </si>
  <si>
    <t>Bacillus phage vB_BceM_Bc431v3</t>
  </si>
  <si>
    <t>Bacillus virus Bcp1</t>
  </si>
  <si>
    <t>Bacillus phage Bcp1</t>
  </si>
  <si>
    <t>Bacillus virus BCP82</t>
  </si>
  <si>
    <t>Bacillus phage BCP8-2</t>
  </si>
  <si>
    <t>Bacillus virus JBP901</t>
  </si>
  <si>
    <t>Bacillus phage JBP901</t>
  </si>
  <si>
    <t>Bcep78virus</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</si>
  <si>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</si>
  <si>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</si>
  <si>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</si>
  <si>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</si>
  <si>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</si>
  <si>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</si>
  <si>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</si>
  <si>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</si>
  <si>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</si>
  <si>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</si>
  <si>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Bxz1virus</t>
  </si>
  <si>
    <t>Mycobacterium virus I3</t>
  </si>
  <si>
    <t>Cd119virus</t>
  </si>
  <si>
    <t>Clostridium virus phiC2</t>
  </si>
  <si>
    <t>Clostridium virus phiCD27</t>
  </si>
  <si>
    <t>Clostridium virus phiCD119</t>
  </si>
  <si>
    <t>Cp51virus</t>
  </si>
  <si>
    <t>Bacillus virus CP51</t>
  </si>
  <si>
    <t>Bacillus phage CP-51</t>
  </si>
  <si>
    <t>Bacillus virus JL</t>
  </si>
  <si>
    <t>Bacillus phage JL</t>
  </si>
  <si>
    <t>Bacillus virus Shanette</t>
  </si>
  <si>
    <t>Bacillus phage Shanette</t>
  </si>
  <si>
    <t>Cvm10virus</t>
  </si>
  <si>
    <t>Escherichia virus CVM10</t>
  </si>
  <si>
    <t>Escherichia phage vB_EcoM_ECO1230-10</t>
  </si>
  <si>
    <t>Escherichia virus ep3</t>
  </si>
  <si>
    <t>Escherichia phage vB_EcoM-ep3</t>
  </si>
  <si>
    <t>Felixo1virus</t>
  </si>
  <si>
    <t>Erwinia virus Ea214</t>
  </si>
  <si>
    <t>Escherichia virus AYO145A</t>
  </si>
  <si>
    <t>Escherichia phage vB_EcoM_AYO145A</t>
  </si>
  <si>
    <t>Escherichia virus EC6</t>
  </si>
  <si>
    <t>Escherichia phage EC6</t>
  </si>
  <si>
    <t>Escherichia virus JH2</t>
  </si>
  <si>
    <t>Escherichia phage JH2</t>
  </si>
  <si>
    <t>Escherichia virus VpaE1</t>
  </si>
  <si>
    <t>Escherichia phage vB_EcoM-VpaE1</t>
  </si>
  <si>
    <t>Escherichia virus wV8</t>
  </si>
  <si>
    <t>Salmonella virus FelixO1</t>
  </si>
  <si>
    <t>Salmonella virus HB2014</t>
  </si>
  <si>
    <t>Salmonella phage HB-2014</t>
  </si>
  <si>
    <t>Salmonella virus Mushroom</t>
  </si>
  <si>
    <t>Salmonella phage Mushroom</t>
  </si>
  <si>
    <t>Salmonella virus UAB87</t>
  </si>
  <si>
    <t>Enterobacteriaphage UAB_Phi87</t>
  </si>
  <si>
    <t>Hapunavirus</t>
  </si>
  <si>
    <t>Halomonas virus HAP1</t>
  </si>
  <si>
    <t>Vibrio virus VP882</t>
  </si>
  <si>
    <t>Kpp10virus</t>
  </si>
  <si>
    <t>Pseudomonas virus Ab03</t>
  </si>
  <si>
    <t>Pseudomonas phage vB_PaeM_PAO1_Ab03</t>
  </si>
  <si>
    <t>Pseudomonas virus KPP10</t>
  </si>
  <si>
    <t>Pseudomonas phage KPP10</t>
  </si>
  <si>
    <t>Pseudomonas virus PAKP3</t>
  </si>
  <si>
    <t>Pseudomonas phage PAK_P3</t>
  </si>
  <si>
    <t>Muvirus</t>
  </si>
  <si>
    <t>Escherichia virus Mu</t>
  </si>
  <si>
    <t>Myohalovirus</t>
  </si>
  <si>
    <t>Halobacterium virus phiH</t>
  </si>
  <si>
    <t>Nit1virus</t>
  </si>
  <si>
    <t>Bacillus virus Grass</t>
  </si>
  <si>
    <t>Bacillus phage Grass</t>
  </si>
  <si>
    <t>Bacillus virus NIT1</t>
  </si>
  <si>
    <t>Bacillus phage phiNIT1</t>
  </si>
  <si>
    <t>Bacillus virus SPG24</t>
  </si>
  <si>
    <t>Bacillus phage SPG24</t>
  </si>
  <si>
    <t>P1virus</t>
  </si>
  <si>
    <t>Aeromonas virus 43</t>
  </si>
  <si>
    <t>Escherichia virus P1</t>
  </si>
  <si>
    <t>Pakpunavirus</t>
  </si>
  <si>
    <t>Pseudomonas virus CAb1</t>
  </si>
  <si>
    <t>Pseudomonas phage vB_PaeM_C2-10_Ab1</t>
  </si>
  <si>
    <t>Pseudomonas virus CAb02</t>
  </si>
  <si>
    <t>Pseudomonas phage vB_PaeM_C2-10_Ab02</t>
  </si>
  <si>
    <t>Pseudomonas virus JG004</t>
  </si>
  <si>
    <t>Pseudomonas phage JG004</t>
  </si>
  <si>
    <t>Pseudomonas virus PAKP1</t>
  </si>
  <si>
    <t>Pseudomonas phage PAK_P1</t>
  </si>
  <si>
    <t>Pseudomonas virus PAKP4</t>
  </si>
  <si>
    <t>Pseudomonas phage PAK_P4</t>
  </si>
  <si>
    <t>Pseudomonas virus PaP1</t>
  </si>
  <si>
    <t>Pseudomonas phage PaP1</t>
  </si>
  <si>
    <t>Pbunavirus</t>
  </si>
  <si>
    <t>Burkholderia virus BcepF1</t>
  </si>
  <si>
    <t>Pseudomonas virus 141</t>
  </si>
  <si>
    <t>Pseudomonas virus Ab28</t>
  </si>
  <si>
    <t>Pseudomonas phage vB_PaeM_C1-14_Ab28</t>
  </si>
  <si>
    <t>Pseudomonas virus DL60</t>
  </si>
  <si>
    <t>Pseudomonas phage DL60</t>
  </si>
  <si>
    <t>Pseudomonas virus DL68</t>
  </si>
  <si>
    <t>Pseudomonas phage DL68</t>
  </si>
  <si>
    <t>Pseudomonas virus F8</t>
  </si>
  <si>
    <t>Pseudomonas virus JG024</t>
  </si>
  <si>
    <t>Pseudomonas phage JG024</t>
  </si>
  <si>
    <t>Pseudomonas virus KPP12</t>
  </si>
  <si>
    <t>Pseudomonas phage KPP12</t>
  </si>
  <si>
    <t>Pseudomonas virus LBL3</t>
  </si>
  <si>
    <t>Pseudomonas virus LMA2</t>
  </si>
  <si>
    <t>Pseudomonas virus PB1</t>
  </si>
  <si>
    <t>Pseudomonas virus SN</t>
  </si>
  <si>
    <t>Phikzvirus</t>
  </si>
  <si>
    <t>Pseudomonas virus EL</t>
  </si>
  <si>
    <t>Pseudomonas virus phiKZ</t>
  </si>
  <si>
    <t>Rheph4virus</t>
  </si>
  <si>
    <t>Rhizobium virus RHEph4</t>
  </si>
  <si>
    <t>Rhizobium phage RHEph04</t>
  </si>
  <si>
    <t>Secunda5virus</t>
  </si>
  <si>
    <t>Aeromonas virus 25</t>
  </si>
  <si>
    <t>Aeromonas virus 31</t>
  </si>
  <si>
    <t>Aeromonas virus Aes12</t>
  </si>
  <si>
    <t>Aeromonas phage Aes012</t>
  </si>
  <si>
    <t>Aeromonas virus Aes508</t>
  </si>
  <si>
    <t>Aeromonas phage Aes508</t>
  </si>
  <si>
    <t>Aeromonas virus AS4</t>
  </si>
  <si>
    <t>Aeromonas phage phiAS4</t>
  </si>
  <si>
    <t>Stenotrophomonas virus IME13</t>
  </si>
  <si>
    <t>Stenotrophomonas phage IME13</t>
  </si>
  <si>
    <t>Tg1virus</t>
  </si>
  <si>
    <t>Yersinia virus R1RT</t>
  </si>
  <si>
    <t>Yersinia phage phiR1-RT</t>
  </si>
  <si>
    <t>Yersinia virus TG1</t>
  </si>
  <si>
    <t>Yersinia phage vB_YenM_TG1</t>
  </si>
  <si>
    <t>Bacillus virus G</t>
  </si>
  <si>
    <t>Bacillus virus PBS1</t>
  </si>
  <si>
    <t>Microcystis virus Ma-LMM01</t>
  </si>
  <si>
    <t>Vhmlvirus</t>
  </si>
  <si>
    <t>Vibrio virus MAR</t>
  </si>
  <si>
    <t>Vibrio phage vB_VpaM_MAR</t>
  </si>
  <si>
    <t>Vibrio virus VHML</t>
  </si>
  <si>
    <t>Vibrio phage VHML</t>
  </si>
  <si>
    <t>Vibrio virus VP585</t>
  </si>
  <si>
    <t>Vibrio phage VP585</t>
  </si>
  <si>
    <t>Vi1virus</t>
  </si>
  <si>
    <t>Dickeya virus Limestone</t>
  </si>
  <si>
    <t>Escherichia virus CBA120</t>
  </si>
  <si>
    <t>Escherichia virus ECML4</t>
  </si>
  <si>
    <t>Escherichia phage ECML-4</t>
  </si>
  <si>
    <t>Escherichia virus PhaxI</t>
  </si>
  <si>
    <t>Salmonella virus Det7</t>
  </si>
  <si>
    <t>Salmonella phage Det7</t>
  </si>
  <si>
    <t>Salmonella virus Marshall</t>
  </si>
  <si>
    <t>Salmonella phage Marshall</t>
  </si>
  <si>
    <t>Salmonella virus Maynard</t>
  </si>
  <si>
    <t>Salmonella phage Maynard</t>
  </si>
  <si>
    <t>Salmonella virus SFP10</t>
  </si>
  <si>
    <t>Salmonella virus SH19</t>
  </si>
  <si>
    <t>Salmonella virus SJ2</t>
  </si>
  <si>
    <t>Salmonella phage vB_SalM_SJ2</t>
  </si>
  <si>
    <t>Salmonella virus SJ3</t>
  </si>
  <si>
    <t>Salmonella phage vB_SalM_SJ3</t>
  </si>
  <si>
    <t>Salmonella virus STML131</t>
  </si>
  <si>
    <t>Salmonella phage STML-13-1</t>
  </si>
  <si>
    <t>Salmonella virus ViI</t>
  </si>
  <si>
    <t>Shigella virus AG3</t>
  </si>
  <si>
    <t>Wphvirus</t>
  </si>
  <si>
    <t>Bacillus virus WPh</t>
  </si>
  <si>
    <t>Kp34virus</t>
  </si>
  <si>
    <t>Klebsiella virus F19</t>
  </si>
  <si>
    <t>Klebsiella phage F19</t>
  </si>
  <si>
    <t>Klebsiella virus K244</t>
  </si>
  <si>
    <t>Klebsiella phage NTUH-K2044-K1-1</t>
  </si>
  <si>
    <t>Klebsiella virus KP34</t>
  </si>
  <si>
    <t>Klebsiella phage KP34</t>
  </si>
  <si>
    <t>Klebsiella virus SU503</t>
  </si>
  <si>
    <t>Klebsiella phage vB_KpnP_SU503</t>
  </si>
  <si>
    <t>Klebsiella virus SU552A</t>
  </si>
  <si>
    <t>Klebsiella phage vB_KpnP_SU552A</t>
  </si>
  <si>
    <t>Phikmvvirus</t>
  </si>
  <si>
    <t>Pantoea virus Limelight</t>
  </si>
  <si>
    <t>Pantoea virus Limezero</t>
  </si>
  <si>
    <t>Pseudomonas virus LKA1</t>
  </si>
  <si>
    <t>Pseudomonas virus phiKMV</t>
  </si>
  <si>
    <t>Sp6virus</t>
  </si>
  <si>
    <t>Erwinia virus Era103</t>
  </si>
  <si>
    <t>Escherichia virus K5</t>
  </si>
  <si>
    <t>Escherichia virus K1-5</t>
  </si>
  <si>
    <t>Escherichia virus K1E</t>
  </si>
  <si>
    <t>Salmonella virus SP6</t>
  </si>
  <si>
    <t>T7virus</t>
  </si>
  <si>
    <t>Escherichia virus T7</t>
  </si>
  <si>
    <t>Kluyvera virus Kvp1</t>
  </si>
  <si>
    <t>Pseudomonas virus gh1</t>
  </si>
  <si>
    <t>Prochlorococcus virus PSSP7</t>
  </si>
  <si>
    <t>Synechococcus virus P60</t>
  </si>
  <si>
    <t>Synechococcus virus Syn5</t>
  </si>
  <si>
    <t>P68virus</t>
  </si>
  <si>
    <t>Staphylococcus virus 44AHJD</t>
  </si>
  <si>
    <t>Streptococcus virus C1</t>
  </si>
  <si>
    <t>C1</t>
  </si>
  <si>
    <t>Phi29virus</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</si>
  <si>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</si>
  <si>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</si>
  <si>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</si>
  <si>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</si>
  <si>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</si>
  <si>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</si>
  <si>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</si>
  <si>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</si>
  <si>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</si>
  <si>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</si>
  <si>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</si>
  <si>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Bpp1virus</t>
  </si>
  <si>
    <t>Bordetella virus BPP1</t>
  </si>
  <si>
    <t>Burkholderia virus BcepC6B</t>
  </si>
  <si>
    <t>Cba41virus</t>
  </si>
  <si>
    <t>Cellulophaga virus Cba41</t>
  </si>
  <si>
    <t>Cellulophaga phage phi4:1</t>
  </si>
  <si>
    <t>Cellulophaga virus Cba172</t>
  </si>
  <si>
    <t>Cellulophaga phage phi17:2</t>
  </si>
  <si>
    <t>Epsilon15virus</t>
  </si>
  <si>
    <t>Escherichia virus phiV10</t>
  </si>
  <si>
    <t>Salmonella virus Epsilon15</t>
  </si>
  <si>
    <t>F116virus</t>
  </si>
  <si>
    <t>Pseudomonas virus F116</t>
  </si>
  <si>
    <t>Pseudomonas virus H66</t>
  </si>
  <si>
    <t>Ff47virus</t>
  </si>
  <si>
    <t>Mycobacterium virus Ff47</t>
  </si>
  <si>
    <t>Mycobacterium virus FF47</t>
  </si>
  <si>
    <t>Mycobacterium virus Muddy</t>
  </si>
  <si>
    <t>G7cvirus</t>
  </si>
  <si>
    <t>Escherichia virus APEC5</t>
  </si>
  <si>
    <t>Escherichia phage vB_EcoP_PhAPEC5</t>
  </si>
  <si>
    <t>Escherichia virus APEC7</t>
  </si>
  <si>
    <t>Escherichia phage vB_EcoP_PhAPEC7</t>
  </si>
  <si>
    <t>Escherichia virus Bp4</t>
  </si>
  <si>
    <t>Escherichia phage Bp4</t>
  </si>
  <si>
    <t>Escherichia virus EC1UPM</t>
  </si>
  <si>
    <t>Escherichia phage EC1-UPM</t>
  </si>
  <si>
    <t>Escherichia virus ECBP1</t>
  </si>
  <si>
    <t>Escherichia phage ECBP1</t>
  </si>
  <si>
    <t>Escherichia virus G7C</t>
  </si>
  <si>
    <t>Escherichia phage vB_EcoP_G7C</t>
  </si>
  <si>
    <t>Escherichia virus IME11</t>
  </si>
  <si>
    <t>Escherichia phage IME11</t>
  </si>
  <si>
    <t>Shigella virus Sb1</t>
  </si>
  <si>
    <t>Shigella phage pSb-1</t>
  </si>
  <si>
    <t>Lit1virus</t>
  </si>
  <si>
    <t>Pseudomonas virus Ab09</t>
  </si>
  <si>
    <t>Pseudomonas phage vB_PaeP_C2-10_Ab09</t>
  </si>
  <si>
    <t>Pseudomonas virus LIT1</t>
  </si>
  <si>
    <t>Pseudomonas phage LIT1</t>
  </si>
  <si>
    <t>Pseudomonas virus PA26</t>
  </si>
  <si>
    <t>Pseudomonas phage PA26</t>
  </si>
  <si>
    <t>Luz24virus</t>
  </si>
  <si>
    <t>Pseudomonas virus Ab22</t>
  </si>
  <si>
    <t>Pseudomonas phage vB_PaeP_C2-10_Ab22</t>
  </si>
  <si>
    <t>Pseudomonas virus CHU</t>
  </si>
  <si>
    <t>Pseudomonas phage PhiCHU</t>
  </si>
  <si>
    <t>Pseudomonas virus LUZ24</t>
  </si>
  <si>
    <t>Pseudomonas virus PAA2</t>
  </si>
  <si>
    <t>Pseudomonas phage phiIBB-PAA2</t>
  </si>
  <si>
    <t>Pseudomonas virus PaP3</t>
  </si>
  <si>
    <t>Pseudomonas virus PaP4</t>
  </si>
  <si>
    <t>Pseudomonas phage PaP4</t>
  </si>
  <si>
    <t>Pseudomonas virus TL</t>
  </si>
  <si>
    <t>Pseudomonas phage TL</t>
  </si>
  <si>
    <t>N4virus</t>
  </si>
  <si>
    <t>Escherichia virus N4</t>
  </si>
  <si>
    <t>Nonanavirus</t>
  </si>
  <si>
    <t>Salmonella virus 9NA</t>
  </si>
  <si>
    <t>Salmonella phage 9NA</t>
  </si>
  <si>
    <t>Salmonella virus SP069</t>
  </si>
  <si>
    <t>Salmonella phage SP069</t>
  </si>
  <si>
    <t>P22virus</t>
  </si>
  <si>
    <t>Salmonella virus HK620</t>
  </si>
  <si>
    <t>Salmonella virus P22</t>
  </si>
  <si>
    <t>Salmonella virus ST64T</t>
  </si>
  <si>
    <t>Shigella virus Sf6</t>
  </si>
  <si>
    <t>Pagevirus</t>
  </si>
  <si>
    <t>Bacillus virus Page</t>
  </si>
  <si>
    <t>Bacillus phage Page</t>
  </si>
  <si>
    <t>Bacillus virus Palmer</t>
  </si>
  <si>
    <t>Bacillus phage Palmer</t>
  </si>
  <si>
    <t>Bacillus virus Pascal</t>
  </si>
  <si>
    <t>Bacillus phage Pascal</t>
  </si>
  <si>
    <t>Bacillus virus Pony</t>
  </si>
  <si>
    <t>Bacillus phage Pony</t>
  </si>
  <si>
    <t>Bacillus virus Pookie</t>
  </si>
  <si>
    <t>Bacillus phage Pookie</t>
  </si>
  <si>
    <t>Phieco32virus</t>
  </si>
  <si>
    <t>Escherichia virus ECB2</t>
  </si>
  <si>
    <t>Escherichia phage ECBP2</t>
  </si>
  <si>
    <t>Escherichia virus NJ01</t>
  </si>
  <si>
    <t>Escherichia phage NJ01</t>
  </si>
  <si>
    <t>Escherichia virus phiEco32</t>
  </si>
  <si>
    <t>Escherichia virus Septima11</t>
  </si>
  <si>
    <t>Escherichia phage KBNP1711</t>
  </si>
  <si>
    <t>Escherichia virus SU10</t>
  </si>
  <si>
    <t>Escherichia phage vB_EcoP_SU10</t>
  </si>
  <si>
    <t>Hamiltonella virus APSE1</t>
  </si>
  <si>
    <t>Lactococcus virus KSY1</t>
  </si>
  <si>
    <t>Phormidium virus WMP3</t>
  </si>
  <si>
    <t>Phormidium virus WMP4</t>
  </si>
  <si>
    <t>Pseudomonas virus 119X</t>
  </si>
  <si>
    <t>Roseobacter virus SIO1</t>
  </si>
  <si>
    <t>Vibrio virus VpV262</t>
  </si>
  <si>
    <t>Vp5virus</t>
  </si>
  <si>
    <t>Vibrio virus VC8</t>
  </si>
  <si>
    <t>Vibrio phage phiVC8</t>
  </si>
  <si>
    <t>Vibrio virus VP2</t>
  </si>
  <si>
    <t>Vibriophage VP2</t>
  </si>
  <si>
    <t>Vibrio virus VP5</t>
  </si>
  <si>
    <t>Vibriophage VP5</t>
  </si>
  <si>
    <t>Guernseyvirinae</t>
  </si>
  <si>
    <t>Jerseyvirus</t>
  </si>
  <si>
    <t>Salmonella phage L13</t>
  </si>
  <si>
    <t>Salmonella phage LSPA1</t>
  </si>
  <si>
    <t>Salmonella virus AG11</t>
  </si>
  <si>
    <t>Salmonella phage vB_SenS_AG11</t>
  </si>
  <si>
    <t>Salmonella virus Ent1</t>
  </si>
  <si>
    <t>Salmonella virus Jersey</t>
  </si>
  <si>
    <t>Salmonella virus SE2</t>
  </si>
  <si>
    <t>Salmonella virus SETP3</t>
  </si>
  <si>
    <t>Salmonella virus SETP7</t>
  </si>
  <si>
    <t>Salmonella phage SETP7</t>
  </si>
  <si>
    <t>Salmonella virus SETP13</t>
  </si>
  <si>
    <t>Salmonella phage SETP13</t>
  </si>
  <si>
    <t>Salmonella virus SP101</t>
  </si>
  <si>
    <t>Salmonella phage FSL SP-101</t>
  </si>
  <si>
    <t>Salmonella virus SS3e</t>
  </si>
  <si>
    <t>Salmonella virus wksl3</t>
  </si>
  <si>
    <t>K1gvirus</t>
  </si>
  <si>
    <t>Escherichia virus K1G</t>
  </si>
  <si>
    <t>Escherichia phage K1G</t>
  </si>
  <si>
    <t>Escherichia virus K1H</t>
  </si>
  <si>
    <t>Escherichia phage K1H</t>
  </si>
  <si>
    <t>Escherichia virus K1ind1</t>
  </si>
  <si>
    <t>Escherichia phage K1ind1</t>
  </si>
  <si>
    <t>Escherichia virus K1ind2</t>
  </si>
  <si>
    <t>Escherichia phage K1ind2</t>
  </si>
  <si>
    <t>Sp31virus</t>
  </si>
  <si>
    <t>Salmonella virus SP31</t>
  </si>
  <si>
    <t>Salmonella phage FSL SP-031</t>
  </si>
  <si>
    <t>Tunavirinae</t>
  </si>
  <si>
    <t>Kp36virus</t>
  </si>
  <si>
    <t>Enterobacter virus F20</t>
  </si>
  <si>
    <t>Klebsiella virus 1513</t>
  </si>
  <si>
    <t>Klebsiella phage 1513</t>
  </si>
  <si>
    <t>Klebsiella virus KP36</t>
  </si>
  <si>
    <t>Klebsiella phage KP36</t>
  </si>
  <si>
    <t>Rogue1virus</t>
  </si>
  <si>
    <t>Escherichia virus AHP42</t>
  </si>
  <si>
    <t>Escherichia phage vB_EcoS_AHP42</t>
  </si>
  <si>
    <t>Escherichia virus AHS24</t>
  </si>
  <si>
    <t>Escherichia phage vB_EcoS_AHS24</t>
  </si>
  <si>
    <t>Escherichia virus AKS96</t>
  </si>
  <si>
    <t>Escherichia phage vB_EcoS_AKS96</t>
  </si>
  <si>
    <t>Escherichia virus E41c</t>
  </si>
  <si>
    <t>Escherichia phage e4/1c</t>
  </si>
  <si>
    <t>Escherichia virus Eb49</t>
  </si>
  <si>
    <t>Escherichia virus Jk06</t>
  </si>
  <si>
    <t>Escherichia virus KP26</t>
  </si>
  <si>
    <t>Escherichia phage phiKP26</t>
  </si>
  <si>
    <t>Escherichia virus Rogue1</t>
  </si>
  <si>
    <t>Rtpvirus</t>
  </si>
  <si>
    <t>Escherichia virus ACGM12</t>
  </si>
  <si>
    <t>Escherichia phage vB_Eco_ACG-M12</t>
  </si>
  <si>
    <t>Escherichia virus Rtp</t>
  </si>
  <si>
    <t>T1virus</t>
  </si>
  <si>
    <t>Escherichia virus ADB2</t>
  </si>
  <si>
    <t>Escherichia phage ADB-2</t>
  </si>
  <si>
    <t>Escherichia virus T1</t>
  </si>
  <si>
    <t>T1</t>
  </si>
  <si>
    <t>Shigella virus PSf2</t>
  </si>
  <si>
    <t>Shigella phage pSf-2</t>
  </si>
  <si>
    <t>Shigella virus Shfl1</t>
  </si>
  <si>
    <t>Tlsvirus</t>
  </si>
  <si>
    <t>Citrobacter virus Stevie</t>
  </si>
  <si>
    <t>Citrobacter phage Stevie</t>
  </si>
  <si>
    <t>Escherichia virus TLS</t>
  </si>
  <si>
    <t>Salmonella virus SP126</t>
  </si>
  <si>
    <t>Salmonella phage FSL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</si>
  <si>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</si>
  <si>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</si>
  <si>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</si>
  <si>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</si>
  <si>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</si>
  <si>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</si>
  <si>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</si>
  <si>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</si>
  <si>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</si>
  <si>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</si>
  <si>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</si>
  <si>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</si>
  <si>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</si>
  <si>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</si>
  <si>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</si>
  <si>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</si>
  <si>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</si>
  <si>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</si>
  <si>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</si>
  <si>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</si>
  <si>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</si>
  <si>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</si>
  <si>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</si>
  <si>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</si>
  <si>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</si>
  <si>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Joedirt</t>
  </si>
  <si>
    <t>Mycobacterium virus Rumpelstiltskin</t>
  </si>
  <si>
    <t>C2virus</t>
  </si>
  <si>
    <t>Lactococcus virus bIL67</t>
  </si>
  <si>
    <t>Lactococcus virus c2</t>
  </si>
  <si>
    <t>C5virus</t>
  </si>
  <si>
    <t>Lactobacillus virus c5</t>
  </si>
  <si>
    <t>Lactobacillus virus LLKu</t>
  </si>
  <si>
    <t>Cba181virus</t>
  </si>
  <si>
    <t>Cellulophaga virus Cba121</t>
  </si>
  <si>
    <t>Cellulophaga phage phi12:1</t>
  </si>
  <si>
    <t>Cellulophaga virus Cba171</t>
  </si>
  <si>
    <t>Cellulophaga phage phi17:1</t>
  </si>
  <si>
    <t>Cellulophaga virus Cba181</t>
  </si>
  <si>
    <t>Cellulophaga phage phi18:1</t>
  </si>
  <si>
    <t>Cbastvirus</t>
  </si>
  <si>
    <t>Cellulophaga virus ST</t>
  </si>
  <si>
    <t>Cellulophaga phage phiST</t>
  </si>
  <si>
    <t>Cecivirus</t>
  </si>
  <si>
    <t>Bacillus virus 250</t>
  </si>
  <si>
    <t>Bacillus virus IEBH</t>
  </si>
  <si>
    <t>Charlievirus</t>
  </si>
  <si>
    <t>Mycobacterium virus Charlie</t>
  </si>
  <si>
    <t>Mycobacterium virus Redi</t>
  </si>
  <si>
    <t>Che8virus</t>
  </si>
  <si>
    <t>Mycobacterium virus Ardmore</t>
  </si>
  <si>
    <t>Mycobacterium virus Avani</t>
  </si>
  <si>
    <t>Mycobacterium virus Boomer</t>
  </si>
  <si>
    <t>Mycobacterium virus Che8</t>
  </si>
  <si>
    <t>Mycobacterium virus Che9d</t>
  </si>
  <si>
    <t>Mycobacterium virus Deadp</t>
  </si>
  <si>
    <t>Mycobacterium virus Dlane</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</si>
  <si>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</si>
  <si>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</si>
  <si>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</si>
  <si>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</si>
  <si>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</si>
  <si>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</si>
  <si>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</si>
  <si>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</si>
  <si>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</si>
  <si>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Pacc40</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</si>
  <si>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</si>
  <si>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</si>
  <si>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</si>
  <si>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</si>
  <si>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</si>
  <si>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</si>
  <si>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</si>
  <si>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</si>
  <si>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</si>
  <si>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</si>
  <si>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</si>
  <si>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Che9cvirus</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</si>
  <si>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</si>
  <si>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</si>
  <si>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</si>
  <si>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</si>
  <si>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</si>
  <si>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</si>
  <si>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</si>
  <si>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</si>
  <si>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</si>
  <si>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Cjw1virus</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</si>
  <si>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</si>
  <si>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</si>
  <si>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</si>
  <si>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</si>
  <si>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</si>
  <si>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</si>
  <si>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</si>
  <si>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</si>
  <si>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</si>
  <si>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</si>
  <si>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</si>
  <si>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</si>
  <si>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D3112virus</t>
  </si>
  <si>
    <t>Pseudomonas virus D3112</t>
  </si>
  <si>
    <t>Pseudomonas virus DMS3</t>
  </si>
  <si>
    <t>Pseudomonas virus FHA0480</t>
  </si>
  <si>
    <t>Pseudomonas virus LPB1</t>
  </si>
  <si>
    <t>Pseudomonas virus MP22</t>
  </si>
  <si>
    <t>Pseudomonas virus MP29</t>
  </si>
  <si>
    <t>Pseudomonas virus MP38</t>
  </si>
  <si>
    <t>Pseudomonas virus PA1KOR</t>
  </si>
  <si>
    <t>D3virus</t>
  </si>
  <si>
    <t>Pseudomonas virus D3</t>
  </si>
  <si>
    <t>Pseudomonas virus PMG1</t>
  </si>
  <si>
    <t>E125virus</t>
  </si>
  <si>
    <t>Burkholderia virus phi6442</t>
  </si>
  <si>
    <t>Burkholderia virus phi1026b</t>
  </si>
  <si>
    <t>Burkholderia virus phiE125</t>
  </si>
  <si>
    <t>Hk578virus</t>
  </si>
  <si>
    <t>Escherichia virus HK578</t>
  </si>
  <si>
    <t>Escherichia virus JL1</t>
  </si>
  <si>
    <t>Escherichia virus SSL2009a</t>
  </si>
  <si>
    <t>Shigella virus EP23</t>
  </si>
  <si>
    <t>Sodalis virus SO1</t>
  </si>
  <si>
    <t>L5virus</t>
  </si>
  <si>
    <t>Mycobacterium virus Alma</t>
  </si>
  <si>
    <t>Mycobacterium virus Arturo</t>
  </si>
  <si>
    <t>Mycobacterium virus Astro</t>
  </si>
  <si>
    <t>Mycobacterium virus Backyardigan</t>
  </si>
  <si>
    <t>Mycobacterium virus BBPiebs31</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</si>
  <si>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</si>
  <si>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</si>
  <si>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</si>
  <si>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</si>
  <si>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</si>
  <si>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</si>
  <si>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</si>
  <si>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</si>
  <si>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</si>
  <si>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</si>
  <si>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</si>
  <si>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</si>
  <si>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</si>
  <si>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</si>
  <si>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</si>
  <si>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</si>
  <si>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</si>
  <si>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</si>
  <si>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</si>
  <si>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</si>
  <si>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</si>
  <si>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</si>
  <si>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</si>
  <si>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</si>
  <si>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</si>
  <si>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</si>
  <si>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</si>
  <si>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</si>
  <si>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</si>
  <si>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</si>
  <si>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</si>
  <si>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</si>
  <si>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</si>
  <si>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</si>
  <si>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</si>
  <si>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</si>
  <si>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</si>
  <si>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</si>
  <si>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</si>
  <si>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</si>
  <si>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</si>
  <si>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</si>
  <si>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</si>
  <si>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</si>
  <si>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</si>
  <si>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</si>
  <si>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Ta17a</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</si>
  <si>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</si>
  <si>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</si>
  <si>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</si>
  <si>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</si>
  <si>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</si>
  <si>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</si>
  <si>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</si>
  <si>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</si>
  <si>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</si>
  <si>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</si>
  <si>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</si>
  <si>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</si>
  <si>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</si>
  <si>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</si>
  <si>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</si>
  <si>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</si>
  <si>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</si>
  <si>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N15virus</t>
  </si>
  <si>
    <t>Escherichia virus N15</t>
  </si>
  <si>
    <t>Nonagvirus</t>
  </si>
  <si>
    <t>Escherichia virus 9g</t>
  </si>
  <si>
    <t>Enterobacteria phage 9g</t>
  </si>
  <si>
    <t>Escherichia virus JenK1</t>
  </si>
  <si>
    <t>Enterobacteria phage JenK1</t>
  </si>
  <si>
    <t>Escherichia virus JenP1</t>
  </si>
  <si>
    <t>Enterobacteria phage JenP1</t>
  </si>
  <si>
    <t>Escherichia virus JenP2</t>
  </si>
  <si>
    <t>Enterobacteria phage JenP2</t>
  </si>
  <si>
    <t>Omegavirus</t>
  </si>
  <si>
    <t>Mycobacterium virus Baka</t>
  </si>
  <si>
    <t>Mycobacterium virus Courthouse</t>
  </si>
  <si>
    <t>Mycobacterium virus Littlee</t>
  </si>
  <si>
    <t>Mycobacterium virus Omega</t>
  </si>
  <si>
    <t>Mycobacterium virus Optimus</t>
  </si>
  <si>
    <t>Mycobacterium virus Thibault</t>
  </si>
  <si>
    <t>P23virus</t>
  </si>
  <si>
    <t>Thermus virus P23-45</t>
  </si>
  <si>
    <t>Thermus virus P74-26</t>
  </si>
  <si>
    <t>P70virus</t>
  </si>
  <si>
    <t>Listeria virus LP26</t>
  </si>
  <si>
    <t>Listeria phage LP-026</t>
  </si>
  <si>
    <t>Listeria virus LP37</t>
  </si>
  <si>
    <t>Listeria phage LP-037</t>
  </si>
  <si>
    <t>Listeria virus LP110</t>
  </si>
  <si>
    <t>Listeria phage LP-110</t>
  </si>
  <si>
    <t>Listeria virus LP114</t>
  </si>
  <si>
    <t>Listeria phage LP-114</t>
  </si>
  <si>
    <t>Listeria virus P70</t>
  </si>
  <si>
    <t>Listeria phage P70</t>
  </si>
  <si>
    <t>Pbi1virus</t>
  </si>
  <si>
    <t>Mycobacterium virus PBI1</t>
  </si>
  <si>
    <t>Pg1virus</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</si>
  <si>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</si>
  <si>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</si>
  <si>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</si>
  <si>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</si>
  <si>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</si>
  <si>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</si>
  <si>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</si>
  <si>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</si>
  <si>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</si>
  <si>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</si>
  <si>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</si>
  <si>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</si>
  <si>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Phic31virus</t>
  </si>
  <si>
    <t>Streptomyces virus phiBT1</t>
  </si>
  <si>
    <t>Streptomyces virus phiC31</t>
  </si>
  <si>
    <t>Streptomyces virus TG1</t>
  </si>
  <si>
    <t>Phicbkvirus</t>
  </si>
  <si>
    <t>Caulobacter virus Karma</t>
  </si>
  <si>
    <t>Caulobacter virus Magneto</t>
  </si>
  <si>
    <t>Caulobacter virus phiCbK</t>
  </si>
  <si>
    <t>Caulobacter virus Rogue</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</si>
  <si>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</si>
  <si>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</si>
  <si>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</si>
  <si>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</si>
  <si>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</si>
  <si>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</si>
  <si>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</si>
  <si>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</si>
  <si>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</si>
  <si>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</si>
  <si>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</si>
  <si>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</si>
  <si>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</si>
  <si>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</si>
  <si>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</si>
  <si>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</si>
  <si>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</si>
  <si>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</si>
  <si>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</si>
  <si>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</si>
  <si>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</si>
  <si>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</si>
  <si>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</si>
  <si>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</si>
  <si>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</si>
  <si>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</si>
  <si>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</si>
  <si>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</si>
  <si>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</si>
  <si>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</si>
  <si>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</si>
  <si>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</si>
  <si>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</si>
  <si>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</si>
  <si>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</si>
  <si>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</si>
  <si>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</si>
  <si>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Phijl1virus</t>
  </si>
  <si>
    <t>Lactobacillus virus ATCC8014</t>
  </si>
  <si>
    <t>Lactobacillus virus phiJL1</t>
  </si>
  <si>
    <t>Pediococcus virus cIP1</t>
  </si>
  <si>
    <t>Psavirus</t>
  </si>
  <si>
    <t>Listeria virus LP302</t>
  </si>
  <si>
    <t>Listeria phage LP-030-2</t>
  </si>
  <si>
    <t>Listeria virus PSA</t>
  </si>
  <si>
    <t>Listeria phage PSA</t>
  </si>
  <si>
    <t>Psimunavirus</t>
  </si>
  <si>
    <t>Methanobacterium virus psiM1</t>
  </si>
  <si>
    <t>Reyvirus</t>
  </si>
  <si>
    <t>Mycobacterium virus Bongo</t>
  </si>
  <si>
    <t>Mycobacterium virus Rey</t>
  </si>
  <si>
    <t>Sap6virus</t>
  </si>
  <si>
    <t>Enterococcus virus BC611</t>
  </si>
  <si>
    <t>Enterococcus virus IMEEF1</t>
  </si>
  <si>
    <t>Enterococcus virus SAP6</t>
  </si>
  <si>
    <t>Enterococcus virus VD13</t>
  </si>
  <si>
    <t>Streptococcus virus SPQS1</t>
  </si>
  <si>
    <t>Septima3virus</t>
  </si>
  <si>
    <t>Burkholderia virus KL1</t>
  </si>
  <si>
    <t>Burkholderia phage vB_BceS_KL1</t>
  </si>
  <si>
    <t>Pseudomonas virus 73</t>
  </si>
  <si>
    <t>Pseudomonas phage 73</t>
  </si>
  <si>
    <t>Pseudomonas virus Ab26</t>
  </si>
  <si>
    <t>Pseudomonas phage vB_PaeS_SCH_Ab26</t>
  </si>
  <si>
    <t>Pseudomonas virus Kakheti25</t>
  </si>
  <si>
    <t>Pseudomonas phage vB_Pae-Kakheti25</t>
  </si>
  <si>
    <t>Seuratvirus</t>
  </si>
  <si>
    <t>Escherichia virus Cajan</t>
  </si>
  <si>
    <t>Escherichia phage CAjan</t>
  </si>
  <si>
    <t>Escherichia virus Seurat</t>
  </si>
  <si>
    <t>Escherichia phage Seurat</t>
  </si>
  <si>
    <t>Sextaecvirus</t>
  </si>
  <si>
    <t>Staphylococcus virus SEP9</t>
  </si>
  <si>
    <t>Staphylococcus phage vB_SepS_SEP9</t>
  </si>
  <si>
    <t>Staphylococcus virus Sextaec</t>
  </si>
  <si>
    <t>Staphylococcus phage 6ec</t>
  </si>
  <si>
    <t>Sfi11virus</t>
  </si>
  <si>
    <t>Streptococcus virus 858</t>
  </si>
  <si>
    <t>Streptococcus virus 2972</t>
  </si>
  <si>
    <t>Streptococcus virus ALQ132</t>
  </si>
  <si>
    <t>Streptococcus virus O1205</t>
  </si>
  <si>
    <t>Streptococcus virus Sfi11</t>
  </si>
  <si>
    <t>Sfi21dt1virus</t>
  </si>
  <si>
    <t>Streptococcus virus 7201</t>
  </si>
  <si>
    <t>Streptococcus virus DT1</t>
  </si>
  <si>
    <t>Streptococcus virus phiAbc2</t>
  </si>
  <si>
    <t>Streptococcus virus Sfi19</t>
  </si>
  <si>
    <t>Streptococcus virus Sfi21</t>
  </si>
  <si>
    <t>Sitaravirus</t>
  </si>
  <si>
    <t>Paenibacillus virus Diva</t>
  </si>
  <si>
    <t>Paenibacillus phage Diva</t>
  </si>
  <si>
    <t>Paenibacillus virus Hb10c2</t>
  </si>
  <si>
    <t>Paenibacillus phage HB10c2</t>
  </si>
  <si>
    <t>Paenibacillus virus Rani</t>
  </si>
  <si>
    <t>Paenibacillus phage Rani</t>
  </si>
  <si>
    <t>Paenibacillus virus Shelly</t>
  </si>
  <si>
    <t>Paenibacillus phage Shelly</t>
  </si>
  <si>
    <t>Paenibacillus virus Sitara</t>
  </si>
  <si>
    <t>Paenibacillus phage Sitara</t>
  </si>
  <si>
    <t>Sk1virus</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</si>
  <si>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</si>
  <si>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</si>
  <si>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</si>
  <si>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</si>
  <si>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</si>
  <si>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</si>
  <si>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</si>
  <si>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</si>
  <si>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</si>
  <si>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</si>
  <si>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</si>
  <si>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</si>
  <si>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</si>
  <si>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</si>
  <si>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</si>
  <si>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</si>
  <si>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</si>
  <si>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</si>
  <si>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</si>
  <si>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phage Slash</t>
  </si>
  <si>
    <t>Bacillus virus Stahl</t>
  </si>
  <si>
    <t>Bacillus phage Stahl</t>
  </si>
  <si>
    <t>Bacillus virus Staley</t>
  </si>
  <si>
    <t>Bacillus phage Staley</t>
  </si>
  <si>
    <t>Bacillus virus Stills</t>
  </si>
  <si>
    <t>Bacillus phage Stills</t>
  </si>
  <si>
    <t>Spbetavirus</t>
  </si>
  <si>
    <t>Bacillus virus SPbeta</t>
  </si>
  <si>
    <t>Ssp2virus</t>
  </si>
  <si>
    <t>Vibrio virus MAR10</t>
  </si>
  <si>
    <t>Vibrio phage vB_VpaS_ MAR10</t>
  </si>
  <si>
    <t>Vibrio virus SSP002</t>
  </si>
  <si>
    <t>Vibrio phage SSP002</t>
  </si>
  <si>
    <t>T5virus</t>
  </si>
  <si>
    <t>Escherichia virus AKFV33</t>
  </si>
  <si>
    <t>Escherichia virus BF23</t>
  </si>
  <si>
    <t>Escherichia virus DT57C</t>
  </si>
  <si>
    <t>Escherichia phage DT57C</t>
  </si>
  <si>
    <t>Escherichia virus EPS7</t>
  </si>
  <si>
    <t>Escherichia virus FFH1</t>
  </si>
  <si>
    <t>Escherichia phage vB_EcoS_FFH_1</t>
  </si>
  <si>
    <t>Escherichia virus H8</t>
  </si>
  <si>
    <t>Escherichia virus T5</t>
  </si>
  <si>
    <t>Salmonella virus Shivani</t>
  </si>
  <si>
    <t>Salmonella phage Shivani</t>
  </si>
  <si>
    <t>Salmonella virus SPC35</t>
  </si>
  <si>
    <t>Salmonella virus Stitch</t>
  </si>
  <si>
    <t>Salmonella phage Stitch</t>
  </si>
  <si>
    <t>Tm4virus</t>
  </si>
  <si>
    <t>Mycobacterium virus Anaya</t>
  </si>
  <si>
    <t>Mycobacterium virus Angelica</t>
  </si>
  <si>
    <t>Mycobacterium virus Crimd</t>
  </si>
  <si>
    <t>Mycobacterium virus Jaws</t>
  </si>
  <si>
    <t>Mycobacterium virus Larva</t>
  </si>
  <si>
    <t>Mycobacterium virus Macncheese</t>
  </si>
  <si>
    <t>Mycobacterium virus Pixie</t>
  </si>
  <si>
    <t>Mycobacterium virus TM4</t>
  </si>
  <si>
    <t>Tp21virus</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</si>
  <si>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</si>
  <si>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</si>
  <si>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</si>
  <si>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</si>
  <si>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</si>
  <si>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</si>
  <si>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</si>
  <si>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</si>
  <si>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</si>
  <si>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</si>
  <si>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</si>
  <si>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Xp10virus</t>
  </si>
  <si>
    <t>Xanthomonas virus CP1</t>
  </si>
  <si>
    <t>Xanthomonas virus OP1</t>
  </si>
  <si>
    <t>Xanthomonas virus phil7</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</si>
  <si>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</si>
  <si>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</si>
  <si>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</si>
  <si>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</si>
  <si>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</si>
  <si>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</si>
  <si>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</si>
  <si>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</si>
  <si>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</si>
  <si>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</si>
  <si>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</si>
  <si>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</si>
  <si>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</si>
  <si>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</si>
  <si>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</si>
  <si>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</si>
  <si>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</si>
  <si>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</si>
  <si>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</si>
  <si>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</si>
  <si>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</si>
  <si>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</si>
  <si>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</si>
  <si>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</si>
  <si>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Chimpanzee herpesvirus strain 105640</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</si>
  <si>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</si>
  <si>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</si>
  <si>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</si>
  <si>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</si>
  <si>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</si>
  <si>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</si>
  <si>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</si>
  <si>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</si>
  <si>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</si>
  <si>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</si>
  <si>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</si>
  <si>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</si>
  <si>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</si>
  <si>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</si>
  <si>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</si>
  <si>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</si>
  <si>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</si>
  <si>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</si>
  <si>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</si>
  <si>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</si>
  <si>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</si>
  <si>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</si>
  <si>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</si>
  <si>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</si>
  <si>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</si>
  <si>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</si>
  <si>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</si>
  <si>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</si>
  <si>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</si>
  <si>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</si>
  <si>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</si>
  <si>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</si>
  <si>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</si>
  <si>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</si>
  <si>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</si>
  <si>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</si>
  <si>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</si>
  <si>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</si>
  <si>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</si>
  <si>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</si>
  <si>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</si>
  <si>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</si>
  <si>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</si>
  <si>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</si>
  <si>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</si>
  <si>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</si>
  <si>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</si>
  <si>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</si>
  <si>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</si>
  <si>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</si>
  <si>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</si>
  <si>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</si>
  <si>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</si>
  <si>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</si>
  <si>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</si>
  <si>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</si>
  <si>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</si>
  <si>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</si>
  <si>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</si>
  <si>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</si>
  <si>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</si>
  <si>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</si>
  <si>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</si>
  <si>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</si>
  <si>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</si>
  <si>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</si>
  <si>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</si>
  <si>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</si>
  <si>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</si>
  <si>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</si>
  <si>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X14855</t>
  </si>
  <si>
    <t>AM087120</t>
  </si>
  <si>
    <t>AM087121</t>
  </si>
  <si>
    <t>AM087122</t>
  </si>
  <si>
    <t>AM087123</t>
  </si>
  <si>
    <t>EU545650</t>
  </si>
  <si>
    <t>AF440571</t>
  </si>
  <si>
    <t>AJ854042</t>
  </si>
  <si>
    <t>AJ567472</t>
  </si>
  <si>
    <t>AJ875026</t>
  </si>
  <si>
    <t>AJ414696</t>
  </si>
  <si>
    <t>AJ344259</t>
  </si>
  <si>
    <t>Elapid 1 bornavirus</t>
  </si>
  <si>
    <t>Loveridge's garter snake virus 1 [ex RBV-1]</t>
  </si>
  <si>
    <t>Psittaciform 2 bornavirus</t>
  </si>
  <si>
    <t>Parrot bornavirus 5</t>
  </si>
  <si>
    <t>Mymonaviridae</t>
  </si>
  <si>
    <t>Sclerotimonavirus</t>
  </si>
  <si>
    <t>Sclerotinia sclerotimonavirus</t>
  </si>
  <si>
    <t>Sclerotinia sclerotiorum negative-stranded RNA virus 1 AH-98</t>
  </si>
  <si>
    <t>Socyvirus</t>
  </si>
  <si>
    <t>Soybean cyst nematode socyvirus</t>
  </si>
  <si>
    <t>avian paramyxovirus 10/Rockhopper Penguin/Falkland Islands/324/2007</t>
  </si>
  <si>
    <t>avian paramyxovirus 11/Common snipe/France/100212/2010</t>
  </si>
  <si>
    <t>avian paramyxovirus 12/Wigeon/Italy/3920-1/2005</t>
  </si>
  <si>
    <t>Cedar henipavirus</t>
  </si>
  <si>
    <t>Cedar virus</t>
  </si>
  <si>
    <t>Ghanaian bat henipavirus</t>
  </si>
  <si>
    <t>Kumasi virus</t>
  </si>
  <si>
    <t>Mojiang henipavirus</t>
  </si>
  <si>
    <t>Feline morbillivirus</t>
  </si>
  <si>
    <t>feline morbillivirus 761U</t>
  </si>
  <si>
    <t>porcine parainfluenza virus 1 strain S206N</t>
  </si>
  <si>
    <t>Pneumoviridae</t>
  </si>
  <si>
    <t>Orthopneumovirus</t>
  </si>
  <si>
    <t>Alfalfa dwarf cytorhabdovirus</t>
  </si>
  <si>
    <t>alfalfa dwarf virus</t>
  </si>
  <si>
    <t>Barley yellow striate mosaic cytorhabdovirus</t>
  </si>
  <si>
    <t xml:space="preserve">barley yellow striate mosaic virus </t>
  </si>
  <si>
    <t>Broccoli necrotic yellows cytorhabdovirus</t>
  </si>
  <si>
    <t xml:space="preserve">broccoli necrotic yellows virus </t>
  </si>
  <si>
    <t>Festuca leaf streak cytorhabdovirus</t>
  </si>
  <si>
    <t xml:space="preserve">Festuca leaf streak virus </t>
  </si>
  <si>
    <t>Lettuce necrotic yellows cytorhabdovirus</t>
  </si>
  <si>
    <t>AJ867584</t>
  </si>
  <si>
    <t xml:space="preserve">lettuce necrotic yellows virus </t>
  </si>
  <si>
    <t>Lettuce yellow mottle cytorhabdovirus</t>
  </si>
  <si>
    <t>EF687738</t>
  </si>
  <si>
    <t xml:space="preserve">lettuce yellow mottle virus </t>
  </si>
  <si>
    <t>Northern cereal mosaic cytorhabdovirus</t>
  </si>
  <si>
    <t xml:space="preserve">northern cereal mosaic virus </t>
  </si>
  <si>
    <t>Sonchus cytorhabdovirus 1</t>
  </si>
  <si>
    <t xml:space="preserve">sonchus virus </t>
  </si>
  <si>
    <t>Strawberry crinkle cytorhabdovirus</t>
  </si>
  <si>
    <t xml:space="preserve">strawberry crinkle virus </t>
  </si>
  <si>
    <t>Wheat American striate mosaic cytorhabdovirus</t>
  </si>
  <si>
    <t xml:space="preserve">wheat American striate mosaic virus </t>
  </si>
  <si>
    <t>Dichorhavirus</t>
  </si>
  <si>
    <t>Coffee ringspot dichorhavirus</t>
  </si>
  <si>
    <t>coffee ringspot virus isolate Lavras</t>
  </si>
  <si>
    <t>Orchid fleck dichorhavirus</t>
  </si>
  <si>
    <t>orchid fleck virus isolate So</t>
  </si>
  <si>
    <t>Adelaide River ephemerovirus</t>
  </si>
  <si>
    <t xml:space="preserve">Adelaide River virus </t>
  </si>
  <si>
    <t>Berrimah ephemerovirus</t>
  </si>
  <si>
    <t xml:space="preserve">Berrimah virus </t>
  </si>
  <si>
    <t>Bovine fever ephemerovirus</t>
  </si>
  <si>
    <t xml:space="preserve">bovine ephemeral fever virus </t>
  </si>
  <si>
    <t xml:space="preserve">kotonkan virus </t>
  </si>
  <si>
    <t>Obodhiang ephemerovirus</t>
  </si>
  <si>
    <t xml:space="preserve">Obodhiang virus </t>
  </si>
  <si>
    <t>Aravan lyssavirus</t>
  </si>
  <si>
    <t xml:space="preserve">Aravan virus </t>
  </si>
  <si>
    <t>Duvenhage lyssavirus</t>
  </si>
  <si>
    <t xml:space="preserve">Duvenhage virus </t>
  </si>
  <si>
    <t>European bat 1 lyssavirus</t>
  </si>
  <si>
    <t>European bat 2 lyssavirus</t>
  </si>
  <si>
    <t>Irkut lyssavirus</t>
  </si>
  <si>
    <t xml:space="preserve">Irkut virus </t>
  </si>
  <si>
    <t>Khujand lyssavirus</t>
  </si>
  <si>
    <t xml:space="preserve">Khujand virus </t>
  </si>
  <si>
    <t>Lagos bat lyssavirus</t>
  </si>
  <si>
    <t xml:space="preserve">Lagos bat virus </t>
  </si>
  <si>
    <t>Mokola lyssavirus</t>
  </si>
  <si>
    <t xml:space="preserve">Mokola virus </t>
  </si>
  <si>
    <t>Rabies lyssavirus</t>
  </si>
  <si>
    <t xml:space="preserve">rabies virus </t>
  </si>
  <si>
    <t>Shimoni bat lyssavirus</t>
  </si>
  <si>
    <t xml:space="preserve">Shimoni bat virus </t>
  </si>
  <si>
    <t>West Caucasian bat lyssavirus</t>
  </si>
  <si>
    <t xml:space="preserve">West Caucasian bat virus </t>
  </si>
  <si>
    <t>Hirame novirhabdovirus</t>
  </si>
  <si>
    <t xml:space="preserve">Hirame rhabdovirus </t>
  </si>
  <si>
    <t xml:space="preserve">infectious hematopoietic necrosis virus </t>
  </si>
  <si>
    <t xml:space="preserve">viral hemorrhagic septicemia virus </t>
  </si>
  <si>
    <t>Snakehead novirhabdovirus</t>
  </si>
  <si>
    <t xml:space="preserve">snakehead rhabdovirus </t>
  </si>
  <si>
    <t>Datura yellow vein nucleorhabdovirus</t>
  </si>
  <si>
    <t xml:space="preserve">datura yellow vein virus </t>
  </si>
  <si>
    <t>Eggplant mottled dwarf nucleorhabdovirus</t>
  </si>
  <si>
    <t xml:space="preserve">eggplant mottled dwarf virus </t>
  </si>
  <si>
    <t>Maize fine streak nucleorhabdovirus</t>
  </si>
  <si>
    <t>AY618417</t>
  </si>
  <si>
    <t xml:space="preserve">maize fine streak virus </t>
  </si>
  <si>
    <t>Maize Iranian mosaic nucleorhabdovirus</t>
  </si>
  <si>
    <t>DQ186554</t>
  </si>
  <si>
    <t xml:space="preserve">maize Iranian mosaic virus </t>
  </si>
  <si>
    <t>Maize mosaic nucleorhabdovirus</t>
  </si>
  <si>
    <t>AY618418</t>
  </si>
  <si>
    <t xml:space="preserve">maize mosaic virus </t>
  </si>
  <si>
    <t>Potato yellow dwarf nucleorhabdovirus</t>
  </si>
  <si>
    <t>GU734660</t>
  </si>
  <si>
    <t xml:space="preserve">potato yellow dwarf virus </t>
  </si>
  <si>
    <t>Rice yellow stunt nucleorhabdovirus</t>
  </si>
  <si>
    <t xml:space="preserve">rice yellow stunt virus, rice transitory yellowing virus </t>
  </si>
  <si>
    <t>Sonchus yellow net nucleorhabdovirus</t>
  </si>
  <si>
    <t>L32603</t>
  </si>
  <si>
    <t xml:space="preserve">sonchus yellow net virus </t>
  </si>
  <si>
    <t>Sowthistle yellow vein nucleorhabdovirus</t>
  </si>
  <si>
    <t xml:space="preserve">sowthistle yellow vein virus </t>
  </si>
  <si>
    <t>Taro vein chlorosis nucleorhabdovirus</t>
  </si>
  <si>
    <t>AY674964</t>
  </si>
  <si>
    <t xml:space="preserve">taro vein chlorosis virus </t>
  </si>
  <si>
    <t>Anguillid perhabdovirus</t>
  </si>
  <si>
    <t xml:space="preserve">eel virus European X, eel virus American </t>
  </si>
  <si>
    <t>Perch perhabdovirus</t>
  </si>
  <si>
    <t xml:space="preserve">perch rhabdovirus </t>
  </si>
  <si>
    <t>Sea trout perhabdovirus</t>
  </si>
  <si>
    <t xml:space="preserve">lake trout rhabdovirus </t>
  </si>
  <si>
    <t>Carp sprivivirus</t>
  </si>
  <si>
    <t xml:space="preserve">spring viremia of carp virus </t>
  </si>
  <si>
    <t>Pike fry sprivivirus</t>
  </si>
  <si>
    <t xml:space="preserve">pike fry rhabdovirus, grass carp virus, Tench rhabdovirus </t>
  </si>
  <si>
    <t>Coastal Plains tibrovirus</t>
  </si>
  <si>
    <t xml:space="preserve">Coastal Plains virus </t>
  </si>
  <si>
    <t>Tibrogargan tibrovirus</t>
  </si>
  <si>
    <t xml:space="preserve">Bivens Arm virus , Tibrogargan virus </t>
  </si>
  <si>
    <t>Durham tupavirus</t>
  </si>
  <si>
    <t xml:space="preserve">Durham virus </t>
  </si>
  <si>
    <t>Tupaia tupavirus</t>
  </si>
  <si>
    <t xml:space="preserve">Tupaia virus </t>
  </si>
  <si>
    <t>Lettuce big-vein associated varicosavirus</t>
  </si>
  <si>
    <t>lettuce big vein-associated virus (LBVaV)</t>
  </si>
  <si>
    <t>Alagoas vesiculovirus</t>
  </si>
  <si>
    <t xml:space="preserve">vesicular stomatitis Alagoas virus </t>
  </si>
  <si>
    <t>Carajas vesiculovirus</t>
  </si>
  <si>
    <t xml:space="preserve">Carajas virus </t>
  </si>
  <si>
    <t>Chandipura vesiculovirus</t>
  </si>
  <si>
    <t xml:space="preserve">Chandipura virus </t>
  </si>
  <si>
    <t>Cocal vesiculovirus</t>
  </si>
  <si>
    <t xml:space="preserve">Cocal virus </t>
  </si>
  <si>
    <t>Indiana vesiculovirus</t>
  </si>
  <si>
    <t xml:space="preserve">vesicular stomatitis Indiana virus </t>
  </si>
  <si>
    <t>Isfahan vesiculovirus</t>
  </si>
  <si>
    <t xml:space="preserve">Isfahan virus </t>
  </si>
  <si>
    <t>Maraba vesiculovirus</t>
  </si>
  <si>
    <t xml:space="preserve">Maraba virus </t>
  </si>
  <si>
    <t>New Jersey vesiculovirus</t>
  </si>
  <si>
    <t xml:space="preserve">vesicular stomatitis New Jersey virus </t>
  </si>
  <si>
    <t>Piry vesiculovirus</t>
  </si>
  <si>
    <t xml:space="preserve">Piry virus </t>
  </si>
  <si>
    <t>Sunviridae</t>
  </si>
  <si>
    <t>Sunshinevirus</t>
  </si>
  <si>
    <t>Reptile sunshinevirus 1</t>
  </si>
  <si>
    <t>Sunshine Coast virus (formerly Sunshine virus)</t>
  </si>
  <si>
    <t>Anphevirus</t>
  </si>
  <si>
    <t>Xincheng anphevirus</t>
  </si>
  <si>
    <t>Arlivirus</t>
  </si>
  <si>
    <t>Lishi arlivirus</t>
  </si>
  <si>
    <t>Chengtivirus</t>
  </si>
  <si>
    <t>Tacheng chengtivirus</t>
  </si>
  <si>
    <t>Crustavirus</t>
  </si>
  <si>
    <t>Wenzhou crustavirus</t>
  </si>
  <si>
    <t>Wastrivirus</t>
  </si>
  <si>
    <t>Sanxia wastrivirus</t>
  </si>
  <si>
    <t>Forest pouched giant rat arterivirus</t>
  </si>
  <si>
    <t>Kibale red colobus virus 1</t>
  </si>
  <si>
    <t>Kibale red colobus virus 2</t>
  </si>
  <si>
    <t>Kibale red-tailed guenon virus 1</t>
  </si>
  <si>
    <t>Mikumi yellow baboon virus 1</t>
  </si>
  <si>
    <t>Pebjah virus</t>
  </si>
  <si>
    <t>Porcine reproductive and respiratory syndrome virus 1</t>
  </si>
  <si>
    <t>Porcine reproductive and respiratory syndrome virus 2</t>
  </si>
  <si>
    <t>Porcine reproductive and respiratory syndrome virus (American)</t>
  </si>
  <si>
    <t>Simian hemorrhagic encephalitis virus</t>
  </si>
  <si>
    <t>Wobbly possum disease virus</t>
  </si>
  <si>
    <t>Bat coronavirus CDPHE15</t>
  </si>
  <si>
    <t>Bat coronavirus CDPHE15/USA/2006</t>
  </si>
  <si>
    <t>Bat coronavirus HKU10</t>
  </si>
  <si>
    <t>Rousettus bat coronavirus HKU10</t>
  </si>
  <si>
    <t>Mink coronavirus 1</t>
  </si>
  <si>
    <t>Mink coronavirus strain WD1127</t>
  </si>
  <si>
    <t>Hedgehog coronavirus 1</t>
  </si>
  <si>
    <t>Betacoronavirus Erinaceus/VMC/DEU/2012</t>
  </si>
  <si>
    <t>Middle East respiratory syndrome-related coronavirus</t>
  </si>
  <si>
    <t>MERS coronavirus EMC/2012</t>
  </si>
  <si>
    <t>Common moorhen coronavirus HKU21</t>
  </si>
  <si>
    <t>Coronavirus HKU15</t>
  </si>
  <si>
    <t>Porcine coronavirus HKU15</t>
  </si>
  <si>
    <t>Night heron coronavirus HKU19</t>
  </si>
  <si>
    <t>White-eye coronavirus HKU16</t>
  </si>
  <si>
    <t>Wigeon coronavirus HKU20</t>
  </si>
  <si>
    <t>Fathead minnow nidovirus 1</t>
  </si>
  <si>
    <t>Fathead minnow nidovirus</t>
  </si>
  <si>
    <t>Ball python nidovirus 1</t>
  </si>
  <si>
    <t>Ball python nidovirus strain 07-53</t>
  </si>
  <si>
    <t>Alphamesonivirus 2</t>
  </si>
  <si>
    <t>Karang Sari virus</t>
  </si>
  <si>
    <t>Alphamesonivirus 3</t>
  </si>
  <si>
    <t>Dak Nong virus</t>
  </si>
  <si>
    <t>Alphamesonivirus 4</t>
  </si>
  <si>
    <t>Casuarina virus</t>
  </si>
  <si>
    <t>Alphamesonivirus 5</t>
  </si>
  <si>
    <t>Hana virus</t>
  </si>
  <si>
    <t>Mesonivirus 1</t>
  </si>
  <si>
    <t>Mesonivirus 2</t>
  </si>
  <si>
    <t>Triatovirus</t>
  </si>
  <si>
    <t>Antheraea pernyi iflavirus</t>
  </si>
  <si>
    <t>LnApIV-02</t>
  </si>
  <si>
    <t>Dinocampus coccinellae paralysis virus</t>
  </si>
  <si>
    <t>From Dinocampus coccinellae, Canada</t>
  </si>
  <si>
    <t>Lymantria dispar iflavirus 1</t>
  </si>
  <si>
    <t>Lymantria dispar iflavirus 1-Ames</t>
  </si>
  <si>
    <t>Spodoptera exigua iflavirus 1</t>
  </si>
  <si>
    <t>SeIV-1 Spanish isolate</t>
  </si>
  <si>
    <t>Spodoptera exigua iflavirus 2</t>
  </si>
  <si>
    <t>SeIV-2 Spanish isolate</t>
  </si>
  <si>
    <t>AY337486</t>
  </si>
  <si>
    <t>HaRNAV-SOG263</t>
  </si>
  <si>
    <t>Limnipivirus</t>
  </si>
  <si>
    <t>Limnipivirus A</t>
  </si>
  <si>
    <t>Limnipivirus B</t>
  </si>
  <si>
    <t>Limnipivirus C</t>
  </si>
  <si>
    <t>Potamipivirus</t>
  </si>
  <si>
    <t>Potamipivirus A</t>
  </si>
  <si>
    <t>RNA2: L16239</t>
  </si>
  <si>
    <t>C</t>
  </si>
  <si>
    <t>K-Hancock1</t>
  </si>
  <si>
    <t>RNA2: FJ028650</t>
  </si>
  <si>
    <t xml:space="preserve">EV-11 </t>
  </si>
  <si>
    <t>van Wezenbeek</t>
  </si>
  <si>
    <t>Chen</t>
  </si>
  <si>
    <t>Japan</t>
  </si>
  <si>
    <t>Shanks</t>
  </si>
  <si>
    <t xml:space="preserve">CH 99/211 </t>
  </si>
  <si>
    <t>ATCC PV132</t>
  </si>
  <si>
    <t>ME</t>
  </si>
  <si>
    <t>N-1</t>
  </si>
  <si>
    <t xml:space="preserve">DSMZ PV-0454 </t>
  </si>
  <si>
    <t>Aeonium ringspot virus</t>
  </si>
  <si>
    <t>Scafati-2011</t>
  </si>
  <si>
    <t>NW</t>
  </si>
  <si>
    <t>Tomato black ring -S</t>
  </si>
  <si>
    <t>Latvala</t>
  </si>
  <si>
    <t xml:space="preserve">Japan:Iwate, Takizawa-mura </t>
  </si>
  <si>
    <t xml:space="preserve">E395 </t>
  </si>
  <si>
    <t>Iwanami</t>
  </si>
  <si>
    <t xml:space="preserve">A34 </t>
  </si>
  <si>
    <t xml:space="preserve">Serb1 </t>
  </si>
  <si>
    <t>Brault</t>
  </si>
  <si>
    <t xml:space="preserve">N66 </t>
  </si>
  <si>
    <t>F13</t>
  </si>
  <si>
    <t xml:space="preserve">Japan:Tottori </t>
  </si>
  <si>
    <t>Mulberry mosaic leaf roll associated virus</t>
  </si>
  <si>
    <t>zj</t>
  </si>
  <si>
    <t>RNA2: AJ277435</t>
  </si>
  <si>
    <t>Italy</t>
  </si>
  <si>
    <t>RNA1: AF016626</t>
  </si>
  <si>
    <t>Michigan grapevine</t>
  </si>
  <si>
    <t xml:space="preserve">PRI-Ec </t>
  </si>
  <si>
    <t>cherry</t>
  </si>
  <si>
    <t xml:space="preserve">SK </t>
  </si>
  <si>
    <t>MJ</t>
  </si>
  <si>
    <t>Raspberry</t>
  </si>
  <si>
    <t>Yoshikawa</t>
  </si>
  <si>
    <t xml:space="preserve">Peru </t>
  </si>
  <si>
    <t>USA</t>
  </si>
  <si>
    <t>S-58</t>
  </si>
  <si>
    <t>EU980442</t>
  </si>
  <si>
    <t xml:space="preserve">Anthriscus </t>
  </si>
  <si>
    <t>D14066</t>
  </si>
  <si>
    <t>P121</t>
  </si>
  <si>
    <t>Carrot torradovirus 1</t>
  </si>
  <si>
    <t>H6</t>
  </si>
  <si>
    <t>Motherwort yellow mottle virus</t>
  </si>
  <si>
    <t>AD01</t>
  </si>
  <si>
    <t xml:space="preserve">PRI-TMarV0601 </t>
  </si>
  <si>
    <t xml:space="preserve">PRI-ToTV0301 </t>
  </si>
  <si>
    <t xml:space="preserve">BRDaV-1 </t>
  </si>
  <si>
    <t>Thompson</t>
  </si>
  <si>
    <t>U67839</t>
  </si>
  <si>
    <t>TN</t>
  </si>
  <si>
    <t>M95497</t>
  </si>
  <si>
    <t>Shen</t>
  </si>
  <si>
    <t>AB469874</t>
  </si>
  <si>
    <t>Hiroshima Bay</t>
  </si>
  <si>
    <t>AB375474</t>
  </si>
  <si>
    <t xml:space="preserve">CtenRNAV01 </t>
  </si>
  <si>
    <t>AB243297</t>
  </si>
  <si>
    <t>RsRNAV06</t>
  </si>
  <si>
    <t>AB193726</t>
  </si>
  <si>
    <t>Japan:Hyogo,Kobe, Kobe Harbor</t>
  </si>
  <si>
    <t>AB010300</t>
  </si>
  <si>
    <t>Sumi</t>
  </si>
  <si>
    <t>KM379144</t>
  </si>
  <si>
    <t xml:space="preserve">Mesi 13 </t>
  </si>
  <si>
    <t>AB010302</t>
  </si>
  <si>
    <t>KF555653</t>
  </si>
  <si>
    <t xml:space="preserve">SW10 </t>
  </si>
  <si>
    <t>AJ292230</t>
  </si>
  <si>
    <t>YH</t>
  </si>
  <si>
    <t>U89243</t>
  </si>
  <si>
    <t>Korea</t>
  </si>
  <si>
    <t>M97264</t>
  </si>
  <si>
    <t>Kanyuka</t>
  </si>
  <si>
    <t>AY055762</t>
  </si>
  <si>
    <t>Howitt</t>
  </si>
  <si>
    <t>EU489641</t>
  </si>
  <si>
    <t xml:space="preserve">US1 </t>
  </si>
  <si>
    <t>JX040635</t>
  </si>
  <si>
    <t xml:space="preserve">Y1 </t>
  </si>
  <si>
    <t>AF406744</t>
  </si>
  <si>
    <t>K1</t>
  </si>
  <si>
    <t>Platypuvirus</t>
  </si>
  <si>
    <t>Donkey orchid symptomless virus</t>
  </si>
  <si>
    <t>Mariginiup11</t>
  </si>
  <si>
    <t>FJ670570</t>
  </si>
  <si>
    <t>Netherlands</t>
  </si>
  <si>
    <t>AB206396</t>
  </si>
  <si>
    <t xml:space="preserve">Japan </t>
  </si>
  <si>
    <t>AY863024</t>
  </si>
  <si>
    <t>Pennsylavania</t>
  </si>
  <si>
    <t>AB304848</t>
  </si>
  <si>
    <t xml:space="preserve">J </t>
  </si>
  <si>
    <t>D26017</t>
  </si>
  <si>
    <t>O</t>
  </si>
  <si>
    <t>AF308158</t>
  </si>
  <si>
    <t>Taiwan</t>
  </si>
  <si>
    <t>U23414</t>
  </si>
  <si>
    <t>Brazil</t>
  </si>
  <si>
    <t>D29630</t>
  </si>
  <si>
    <t>Sit</t>
  </si>
  <si>
    <t>U62963</t>
  </si>
  <si>
    <t>Singapore</t>
  </si>
  <si>
    <t>M62730</t>
  </si>
  <si>
    <t>Bancroft</t>
  </si>
  <si>
    <t>AJ620114</t>
  </si>
  <si>
    <t>Kr</t>
  </si>
  <si>
    <t>AY707100</t>
  </si>
  <si>
    <t>PD 109</t>
  </si>
  <si>
    <t>AM745758</t>
  </si>
  <si>
    <t>Karaj</t>
  </si>
  <si>
    <t>AJ633822</t>
  </si>
  <si>
    <t>DQ660333</t>
  </si>
  <si>
    <t>Cote</t>
  </si>
  <si>
    <t>AY789138</t>
  </si>
  <si>
    <t>NCGR MEN 454</t>
  </si>
  <si>
    <t>D13747</t>
  </si>
  <si>
    <t>Zuidema</t>
  </si>
  <si>
    <t>AB219105</t>
  </si>
  <si>
    <t>J</t>
  </si>
  <si>
    <t>AY366209</t>
  </si>
  <si>
    <t>CC10</t>
  </si>
  <si>
    <t>D13957</t>
  </si>
  <si>
    <t>AF484251</t>
  </si>
  <si>
    <t>Sp-13</t>
  </si>
  <si>
    <t>AB353071</t>
  </si>
  <si>
    <t>Z21647</t>
  </si>
  <si>
    <t>Solovyev</t>
  </si>
  <si>
    <t>S73580</t>
  </si>
  <si>
    <t>Xu</t>
  </si>
  <si>
    <t>D00344</t>
  </si>
  <si>
    <t>X3</t>
  </si>
  <si>
    <t>AY366207</t>
  </si>
  <si>
    <t xml:space="preserve">K11 </t>
  </si>
  <si>
    <t>D12517</t>
  </si>
  <si>
    <t>MY-18</t>
  </si>
  <si>
    <t>JN389521</t>
  </si>
  <si>
    <t xml:space="preserve">IT </t>
  </si>
  <si>
    <t>AB066288</t>
  </si>
  <si>
    <t>X06728</t>
  </si>
  <si>
    <t>Forster</t>
  </si>
  <si>
    <t>Yam virus X</t>
  </si>
  <si>
    <t>T551</t>
  </si>
  <si>
    <t>AY366208</t>
  </si>
  <si>
    <t>B1</t>
  </si>
  <si>
    <t>AY147260</t>
  </si>
  <si>
    <t>China</t>
  </si>
  <si>
    <t>JN053266</t>
  </si>
  <si>
    <t xml:space="preserve">BB_Ellis-1 </t>
  </si>
  <si>
    <t>Quinvirinae</t>
  </si>
  <si>
    <t>AB051848</t>
  </si>
  <si>
    <t>D</t>
  </si>
  <si>
    <t>JQ245696</t>
  </si>
  <si>
    <t xml:space="preserve">Bittergold </t>
  </si>
  <si>
    <t>L25658</t>
  </si>
  <si>
    <t>NJ-2</t>
  </si>
  <si>
    <t>AM493895</t>
  </si>
  <si>
    <t xml:space="preserve">Punjab </t>
  </si>
  <si>
    <t>EF527260</t>
  </si>
  <si>
    <t>HQ184471</t>
  </si>
  <si>
    <t xml:space="preserve">Ghana </t>
  </si>
  <si>
    <t>AJ620300</t>
  </si>
  <si>
    <t>type strain: K</t>
  </si>
  <si>
    <t>Gaillardia latent virus</t>
  </si>
  <si>
    <t>5/18-05-2010</t>
  </si>
  <si>
    <t>JF320810</t>
  </si>
  <si>
    <t xml:space="preserve">WA-1 </t>
  </si>
  <si>
    <t>FJ196835</t>
  </si>
  <si>
    <t xml:space="preserve">G5 </t>
  </si>
  <si>
    <t>DQ098905</t>
  </si>
  <si>
    <t>AB032469</t>
  </si>
  <si>
    <t>EU527979</t>
  </si>
  <si>
    <t>Australia</t>
  </si>
  <si>
    <t>EU754720</t>
  </si>
  <si>
    <t xml:space="preserve">NZ </t>
  </si>
  <si>
    <t>EU074853</t>
  </si>
  <si>
    <t>AJ516059</t>
  </si>
  <si>
    <t>South Korea</t>
  </si>
  <si>
    <t>JN039374</t>
  </si>
  <si>
    <t>AM158439</t>
  </si>
  <si>
    <t xml:space="preserve">Zhangzhou </t>
  </si>
  <si>
    <t>AM182569</t>
  </si>
  <si>
    <t>Hangzhou</t>
  </si>
  <si>
    <t>DQ455582</t>
  </si>
  <si>
    <t>Israel</t>
  </si>
  <si>
    <t>KP784454</t>
  </si>
  <si>
    <t xml:space="preserve">ATCC PV-264 </t>
  </si>
  <si>
    <t>EU162589</t>
  </si>
  <si>
    <t xml:space="preserve">WP </t>
  </si>
  <si>
    <t>EF492068</t>
  </si>
  <si>
    <t xml:space="preserve">BR </t>
  </si>
  <si>
    <t>AY505475</t>
  </si>
  <si>
    <t>PV-0341</t>
  </si>
  <si>
    <t>EU433397</t>
  </si>
  <si>
    <t>Canada</t>
  </si>
  <si>
    <t>Potato virus H</t>
  </si>
  <si>
    <t>Huhhot</t>
  </si>
  <si>
    <t>D14449</t>
  </si>
  <si>
    <t>Russian wild type</t>
  </si>
  <si>
    <t>EU020009</t>
  </si>
  <si>
    <t xml:space="preserve">Arg </t>
  </si>
  <si>
    <t>AJ863509</t>
  </si>
  <si>
    <t>Leona</t>
  </si>
  <si>
    <t>FJ685618</t>
  </si>
  <si>
    <t xml:space="preserve">Washington </t>
  </si>
  <si>
    <t>AJ292226</t>
  </si>
  <si>
    <t>YH1</t>
  </si>
  <si>
    <t>JX212747</t>
  </si>
  <si>
    <t xml:space="preserve">Sosa 29 </t>
  </si>
  <si>
    <t>AY461421</t>
  </si>
  <si>
    <t>Uganda</t>
  </si>
  <si>
    <t>D21829</t>
  </si>
  <si>
    <t>PA66</t>
  </si>
  <si>
    <t>HQ339956</t>
  </si>
  <si>
    <t xml:space="preserve">A18 </t>
  </si>
  <si>
    <t>FJ824737</t>
  </si>
  <si>
    <t xml:space="preserve">tatao5 </t>
  </si>
  <si>
    <t>AF057136</t>
  </si>
  <si>
    <t>Meng</t>
  </si>
  <si>
    <t>EF693898</t>
  </si>
  <si>
    <t xml:space="preserve">Agua-4N6 </t>
  </si>
  <si>
    <t>JX277553</t>
  </si>
  <si>
    <t xml:space="preserve">BM-01 </t>
  </si>
  <si>
    <t>Robigovirus</t>
  </si>
  <si>
    <t>AY072921</t>
  </si>
  <si>
    <t>Morales</t>
  </si>
  <si>
    <t>AF017780</t>
  </si>
  <si>
    <t>Zhang</t>
  </si>
  <si>
    <t>AF237816</t>
  </si>
  <si>
    <t>Rott</t>
  </si>
  <si>
    <t>Cherry rusty mottle associated virus</t>
  </si>
  <si>
    <t>95CI192R3</t>
  </si>
  <si>
    <t>Cherry twisted leaf associated virus</t>
  </si>
  <si>
    <t>95CI205R1 (s1)</t>
  </si>
  <si>
    <t>AF314662</t>
  </si>
  <si>
    <t>Gambley</t>
  </si>
  <si>
    <t>AF315308</t>
  </si>
  <si>
    <t>Trivirinae</t>
  </si>
  <si>
    <t>AB004063</t>
  </si>
  <si>
    <t>Li-23</t>
  </si>
  <si>
    <t>X82547</t>
  </si>
  <si>
    <t>Germany</t>
  </si>
  <si>
    <t>Chordovirus</t>
  </si>
  <si>
    <t>Carrot Ch virus 1</t>
  </si>
  <si>
    <t>CBV-1_S20</t>
  </si>
  <si>
    <t>Carrot Ch virus 2</t>
  </si>
  <si>
    <t>CBV-2_S15</t>
  </si>
  <si>
    <t>AJ318061</t>
  </si>
  <si>
    <t>SRA-153</t>
  </si>
  <si>
    <t>Divavirus</t>
  </si>
  <si>
    <t>JX173276</t>
  </si>
  <si>
    <t>JX173277</t>
  </si>
  <si>
    <t>HQ241409</t>
  </si>
  <si>
    <t xml:space="preserve">HarVA-57 </t>
  </si>
  <si>
    <t>Prunevirus</t>
  </si>
  <si>
    <t>Apricot vein clearing associated virus</t>
  </si>
  <si>
    <t>VC</t>
  </si>
  <si>
    <t>Caucasus prunus virus</t>
  </si>
  <si>
    <t>Aze204</t>
  </si>
  <si>
    <t>EU835937</t>
  </si>
  <si>
    <t>Peru</t>
  </si>
  <si>
    <t>Prunus virus T</t>
  </si>
  <si>
    <t>C21</t>
  </si>
  <si>
    <t>M58152</t>
  </si>
  <si>
    <t>P863</t>
  </si>
  <si>
    <t>AY713379</t>
  </si>
  <si>
    <t>Sus2</t>
  </si>
  <si>
    <t>AF170028</t>
  </si>
  <si>
    <t>SA1162-21</t>
  </si>
  <si>
    <t>D88448</t>
  </si>
  <si>
    <t>FR877530</t>
  </si>
  <si>
    <t>DQ117579</t>
  </si>
  <si>
    <t xml:space="preserve">2022-01 (CA-1) </t>
  </si>
  <si>
    <t>JN427015</t>
  </si>
  <si>
    <t xml:space="preserve">TP7-93B </t>
  </si>
  <si>
    <t>X75433</t>
  </si>
  <si>
    <t>Is 151</t>
  </si>
  <si>
    <t>X75448</t>
  </si>
  <si>
    <t>Saldarelli</t>
  </si>
  <si>
    <t>AB432910</t>
  </si>
  <si>
    <t xml:space="preserve">TvAQ7 </t>
  </si>
  <si>
    <t>JX105428</t>
  </si>
  <si>
    <t xml:space="preserve">AUD46129 </t>
  </si>
  <si>
    <t>AF238884</t>
  </si>
  <si>
    <t>FJ915122</t>
  </si>
  <si>
    <t xml:space="preserve">GSM-8 </t>
  </si>
  <si>
    <t>AY884005</t>
  </si>
  <si>
    <t>Maccheroni</t>
  </si>
  <si>
    <t>FJ436028</t>
  </si>
  <si>
    <t>AF265566</t>
  </si>
  <si>
    <t>Costa Rica</t>
  </si>
  <si>
    <t>U87832</t>
  </si>
  <si>
    <t>Edwards</t>
  </si>
  <si>
    <t>FJ444852</t>
  </si>
  <si>
    <t xml:space="preserve">CN1/1 </t>
  </si>
  <si>
    <t>AY751780</t>
  </si>
  <si>
    <t>Koenig</t>
  </si>
  <si>
    <t>JX508291</t>
  </si>
  <si>
    <t xml:space="preserve">Col </t>
  </si>
  <si>
    <t>JX508290</t>
  </si>
  <si>
    <t xml:space="preserve">Hu </t>
  </si>
  <si>
    <t>AF195000</t>
  </si>
  <si>
    <t>Bernal</t>
  </si>
  <si>
    <t>FN563123</t>
  </si>
  <si>
    <t>AY789137</t>
  </si>
  <si>
    <t>Tzanetakis</t>
  </si>
  <si>
    <t>J04374</t>
  </si>
  <si>
    <t>Osorio-Keese</t>
  </si>
  <si>
    <t>AF098523</t>
  </si>
  <si>
    <t>Srifah</t>
  </si>
  <si>
    <t>D00637</t>
  </si>
  <si>
    <t>Jervis Bay</t>
  </si>
  <si>
    <t>AY751778</t>
  </si>
  <si>
    <t>Nemisia</t>
  </si>
  <si>
    <t>EF554577</t>
  </si>
  <si>
    <t xml:space="preserve">PV-0264 </t>
  </si>
  <si>
    <t>J04375</t>
  </si>
  <si>
    <t>Ding</t>
  </si>
  <si>
    <t>Y16104</t>
  </si>
  <si>
    <t>Ranjith-Kumar</t>
  </si>
  <si>
    <t>AY751779</t>
  </si>
  <si>
    <t>AY751777</t>
  </si>
  <si>
    <t>X07441</t>
  </si>
  <si>
    <t>Morch</t>
  </si>
  <si>
    <t>AJ271595</t>
  </si>
  <si>
    <t>Bradel</t>
  </si>
  <si>
    <t>AJ309022</t>
  </si>
  <si>
    <t>MT48</t>
  </si>
  <si>
    <t>Duck aviadenovirus B</t>
  </si>
  <si>
    <t>duck adenovirus 2 strain GR</t>
  </si>
  <si>
    <t>Pigeon aviadenovirus A</t>
  </si>
  <si>
    <t>pigeon adenovirus 1 strain IDA4</t>
  </si>
  <si>
    <t>Turkey aviadenovirus C</t>
  </si>
  <si>
    <t>turkey adenovirus 4 strain TNI1</t>
  </si>
  <si>
    <t>Turkey aviadenovirus D</t>
  </si>
  <si>
    <t>turkey adenovirus 5 strain 1277BT</t>
  </si>
  <si>
    <t>Simian mastadenovirus B</t>
  </si>
  <si>
    <t>simian adenovirus 49</t>
  </si>
  <si>
    <t>Simian mastadenovirus C</t>
  </si>
  <si>
    <t>baboon adenovirus 3</t>
  </si>
  <si>
    <t>AB218608</t>
  </si>
  <si>
    <t>HcRNAV34</t>
  </si>
  <si>
    <t>HM029246</t>
  </si>
  <si>
    <t xml:space="preserve">MI-1 </t>
  </si>
  <si>
    <t xml:space="preserve">GSMNP-Sugld-1 </t>
  </si>
  <si>
    <t xml:space="preserve">Mexico-1 </t>
  </si>
  <si>
    <t xml:space="preserve">M </t>
  </si>
  <si>
    <t>EF432053</t>
  </si>
  <si>
    <t>ssDNA(-)</t>
  </si>
  <si>
    <t>Torque teno sus virus k2a</t>
  </si>
  <si>
    <t>Torque teno sus virus k2b</t>
  </si>
  <si>
    <t>ssRNA(+/-)</t>
  </si>
  <si>
    <t>Gairo mammarenavirus</t>
  </si>
  <si>
    <t>Gairo virus isolate TZ-27421</t>
  </si>
  <si>
    <t>Mariental mammarenavirus</t>
  </si>
  <si>
    <t>Mariental virus isolate N27</t>
  </si>
  <si>
    <t>Okahandja mammarenavirus</t>
  </si>
  <si>
    <t>Okahandja virus isolate N73</t>
  </si>
  <si>
    <t>Wenzhou mammarenavirus</t>
  </si>
  <si>
    <t>Toursvirus</t>
  </si>
  <si>
    <t>J02020</t>
  </si>
  <si>
    <t>Symons</t>
  </si>
  <si>
    <t>AJ536612</t>
  </si>
  <si>
    <t>Y14700</t>
  </si>
  <si>
    <t>Horst</t>
  </si>
  <si>
    <t>M83545</t>
  </si>
  <si>
    <t>Hernandez</t>
  </si>
  <si>
    <t>Agrotis segetum nucleopolyhedrovirus A</t>
  </si>
  <si>
    <t>Agrotis segetum nucleopolyhedrovirus B</t>
  </si>
  <si>
    <t>Chrysodeixis includens nucleopolyhedrovirus</t>
  </si>
  <si>
    <t>Pseudoplusia includens single nucleopolyhedrovirus-IE</t>
  </si>
  <si>
    <t>Sucra jujuba nucleopolyhedrovirus</t>
  </si>
  <si>
    <t>Sucra jujuba nucleopolyhedrovirus isolate 473</t>
  </si>
  <si>
    <t>Agrotis segetum granulovirus</t>
  </si>
  <si>
    <t>Agrotis segetum granulovirus DA</t>
  </si>
  <si>
    <t>Erinnyis ello granulovirus</t>
  </si>
  <si>
    <t>Erinnyis ello granulovirus isolate S86</t>
  </si>
  <si>
    <t>Spodoptera frugiperda granulovirus</t>
  </si>
  <si>
    <t>Spodoptera frugiperda granulovirus VG008</t>
  </si>
  <si>
    <t>U07551</t>
  </si>
  <si>
    <t>LF-1</t>
  </si>
  <si>
    <t>S</t>
  </si>
  <si>
    <t>EA</t>
  </si>
  <si>
    <t xml:space="preserve">S </t>
  </si>
  <si>
    <t>Colombia</t>
  </si>
  <si>
    <t>AJ888457</t>
  </si>
  <si>
    <t>Apulia</t>
  </si>
  <si>
    <t>Dzianott</t>
  </si>
  <si>
    <t>KU1 (ATCC66)</t>
  </si>
  <si>
    <t>KU1</t>
  </si>
  <si>
    <t>Allison</t>
  </si>
  <si>
    <t>Fny</t>
  </si>
  <si>
    <t>Lithuania</t>
  </si>
  <si>
    <t>ER</t>
  </si>
  <si>
    <t>V</t>
  </si>
  <si>
    <t>Scott</t>
  </si>
  <si>
    <t>Shiel</t>
  </si>
  <si>
    <t>UK</t>
  </si>
  <si>
    <t xml:space="preserve">Berkely </t>
  </si>
  <si>
    <t>Li</t>
  </si>
  <si>
    <t>CFRA 9087</t>
  </si>
  <si>
    <t>Varga</t>
  </si>
  <si>
    <t>Ge</t>
  </si>
  <si>
    <t>ch 137</t>
  </si>
  <si>
    <t xml:space="preserve">Chr3 </t>
  </si>
  <si>
    <t>Maryland</t>
  </si>
  <si>
    <t>WC</t>
  </si>
  <si>
    <t>Grieco</t>
  </si>
  <si>
    <t>Bayou virus (BAYV)</t>
  </si>
  <si>
    <t>Black Creek Canal virus (BCCV)</t>
  </si>
  <si>
    <t>Dobrava-Belgrade virus (DOBV)</t>
  </si>
  <si>
    <t>El Moro Canyon virus (ELMCV)</t>
  </si>
  <si>
    <t>Hantaan virus (HTNV)</t>
  </si>
  <si>
    <t>Khabarovsk virus (KHAV)</t>
  </si>
  <si>
    <t>Laguna Negra virus (LANV)</t>
  </si>
  <si>
    <t>Bloodland Lake virus (BLLV), Prospect Hill virus (PHV)</t>
  </si>
  <si>
    <t>Puumala virus (PUUV)</t>
  </si>
  <si>
    <t>Sangassou virus (SANGV)</t>
  </si>
  <si>
    <t>Seoul virus (SEOV)</t>
  </si>
  <si>
    <t>Blue River virus (BRV), Monongahela virus (MGLV), Sin Nombre virus (SNV)</t>
  </si>
  <si>
    <t>Anjozorobe virus, Thailand virus (THAIV)</t>
  </si>
  <si>
    <t>Thottapalayam virus (TPMV)</t>
  </si>
  <si>
    <t>Tula virus (TULV)</t>
  </si>
  <si>
    <t>Crimean-Congo hemorrhagic fever virus (CCHFV), Hazara virus (HAZV)</t>
  </si>
  <si>
    <t>Abu Hammad virus (AHV), Abu Mina virus (AMV), Dera Ghazi Khan virus (DGKV), Kao Shuan virus (KSV), Pathum Thani virus (PTHV), Pretoria virus (PREV)</t>
  </si>
  <si>
    <t>Dugbe virus (DUGV), Ganjam virus (GANV), Kupe virus (KUPEV), Nairobi sheep disease virus (NSDV)</t>
  </si>
  <si>
    <t>Caspiy virus (CASV), Farallon virus (FARV), Fraser Point virus (FPV), Great Saltee virus (GRSV), Hughes virus (HUGV), Puffin Island virus (PIV), Punta Salinas virus (PSV), Raza virus (RAZAV), Sapphire II virus (SAPV), Soldado virus (SOLV), Zirqa virus (ZIRV)</t>
  </si>
  <si>
    <t>Bakel virus (BAKV), Bandia virus (BDAV), Chim virus (CHIMV), Geran virus (GERV), Omo virus (OMOV), Qalyub virus (QYBV)</t>
  </si>
  <si>
    <t>Avalon virus (AVAV), = Paramushir virus (PRMV), Clo Mor virus (CLMV), Finch Creek virus (FINCV), Kachemak Bay virus (KBV), Sakhalin virus (SAKV), Taggert virus (TAGB), Tillamook virus (TILLV)</t>
  </si>
  <si>
    <t>Erve virus (ERVEV), Thiafora virus (TFAV)</t>
  </si>
  <si>
    <t>Acara orthobunyavirus</t>
  </si>
  <si>
    <t>Acara virus (ACAV), Moriche virus (MORV)</t>
  </si>
  <si>
    <t>Akabane orthobunyavirus</t>
  </si>
  <si>
    <t>Akabane virus (AKAV), Sabo virus (SABOV), Tinaroo virus (TINV), Yaba-7 virus (Y7V)</t>
  </si>
  <si>
    <t>Alajuela orthobunyavirus</t>
  </si>
  <si>
    <t>Alajuela virus (ALJV), San Juan virus (SJV)</t>
  </si>
  <si>
    <t>Anopheles A orthobunyavirus</t>
  </si>
  <si>
    <t>Anopheles B orthobunyavirus</t>
  </si>
  <si>
    <t>Bakau orthobunyavirus</t>
  </si>
  <si>
    <t>Bakau virus (BAKV), Ketapang virus (KETV), Nola virus (NOLAV), Tanjong Rabok virus (TRV), Telok Forest virus (TFV)</t>
  </si>
  <si>
    <t>Batama orthobunyavirus</t>
  </si>
  <si>
    <t>Batama virus (BMAV)</t>
  </si>
  <si>
    <t>Benevides orthobunyavirus</t>
  </si>
  <si>
    <t>Benevides virus (BVSV)</t>
  </si>
  <si>
    <t>Bertioga orthobunyavirus</t>
  </si>
  <si>
    <t>Bertioga virus (BERV), Cananeia virus (CNAV), Guaratuba virus (GTBV), Itimirim virus (ITIV), Mirim virus (MIRV)</t>
  </si>
  <si>
    <t>Bimiti orthobunyavirus</t>
  </si>
  <si>
    <t>Bimiti virus (BIMV)</t>
  </si>
  <si>
    <t>Botambi orthobunyavirus</t>
  </si>
  <si>
    <t>Botambi virus (BOTV)</t>
  </si>
  <si>
    <t>Bunyamwera orthobunyavirus</t>
  </si>
  <si>
    <t>Anadyr virus (ANADV), Batai virus (BATV), Birao virus (BIRV), Bozo virus (BOZOV), Bunyamwera virus (BUNV), Cache Valley virus (CVV), Fort Sherman virus (FSV), Germiston virus (GERV), Iaco virus (IACOV), Ilesha virus (ILEV), Lokern virus (LOKV), Maguari virus (MAGV), Mboke virus (MBOV), Ngari virus (NRIV), Northway virus (NORV), Playas virus (PLAV), Potosi virus (POTV), Santa Rosa virus (SARV), Shokwe virus (SHOV), Stanfield virus, Tensaw virus (TENV), Tlacotalpan virus (TLAV), Xingu virus (XINV)</t>
  </si>
  <si>
    <t>Bushbush orthobunyavirus</t>
  </si>
  <si>
    <t>Benfica virus (BENV), Bushbush virus (BSBV), Juan Diaz virus (JDV)</t>
  </si>
  <si>
    <t>Bwamba orthobunyavirus</t>
  </si>
  <si>
    <t>Bwamba virus (BWAV), Pongola virus (PGAV)</t>
  </si>
  <si>
    <t>California encephalitis orthobunyavirus</t>
  </si>
  <si>
    <t>Capim orthobunyavirus</t>
  </si>
  <si>
    <t>Capim virus (CAPV)</t>
  </si>
  <si>
    <t>Caraparu orthobunyavirus</t>
  </si>
  <si>
    <t>Catu orthobunyavirus</t>
  </si>
  <si>
    <t>Estero Real orthobunyavirus</t>
  </si>
  <si>
    <t>Estero Real virus (ERV)</t>
  </si>
  <si>
    <t>Gamboa orthobunyavirus</t>
  </si>
  <si>
    <t>Gamboa virus (GAMV), Pueblo Viejo virus (PVV)</t>
  </si>
  <si>
    <t>Guajara orthobunyavirus</t>
  </si>
  <si>
    <t>Guama orthobunyavirus</t>
  </si>
  <si>
    <t>Guaroa orthobunyavirus</t>
  </si>
  <si>
    <t>Guaroa virus (GROV)</t>
  </si>
  <si>
    <t>Kaeng Khoi orthobunyavirus</t>
  </si>
  <si>
    <t>Kaeng Khoi virus (KKV)</t>
  </si>
  <si>
    <t>Kairi orthobunyavirus</t>
  </si>
  <si>
    <t>Kairi virus (KRIV)</t>
  </si>
  <si>
    <t>Koongol orthobunyavirus</t>
  </si>
  <si>
    <t>Koongol virus (KOOV), Wongal virus (WONV)</t>
  </si>
  <si>
    <t>Madrid orthobunyavirus</t>
  </si>
  <si>
    <t>Madrid virus (MADV)</t>
  </si>
  <si>
    <t>Main Drain orthobunyavirus</t>
  </si>
  <si>
    <t>Main Drain virus (MDV)</t>
  </si>
  <si>
    <t>Manzanilla orthobunyavirus</t>
  </si>
  <si>
    <t>Buttonwillow virus (BUTV), Cat Que virus, Ingwavuma virus (INGV), Inini virus (INIV), Manzanilla virus (MANV), Mermet virus (MERV)</t>
  </si>
  <si>
    <t>Marituba orthobunyavirus</t>
  </si>
  <si>
    <t>Minatitlan orthobunyavirus</t>
  </si>
  <si>
    <t>Minatitlan virus (MNTV), Palestina virus (PLSV)</t>
  </si>
  <si>
    <t>MPoko orthobunyavirus</t>
  </si>
  <si>
    <t>Nyando orthobunyavirus</t>
  </si>
  <si>
    <t>Nyando virus (NDV), Eret(mapodites), virus (ERETV)</t>
  </si>
  <si>
    <t>Olifantsvlei orthobunyavirus</t>
  </si>
  <si>
    <t>Bobia virus (BIAV), Dabakala virus (DABV), Olifantsvlei virus (OLIV), Oubi virus (OUBIV)</t>
  </si>
  <si>
    <t>Oriboca orthobunyavirus</t>
  </si>
  <si>
    <t>Oropouche orthobunyavirus</t>
  </si>
  <si>
    <t>Patois orthobunyavirus</t>
  </si>
  <si>
    <t>Abras virus (ABRV), Babahoya virus (BABV), Pahayokee virus (PAHV), Patois virus (PATV), Shark River virus (SRV)</t>
  </si>
  <si>
    <t>Sathuperi orthobunyavirus</t>
  </si>
  <si>
    <t>Douglas virus (DOUV), Sathuperi virus (SATV), Schmallenberg virus (SBV)</t>
  </si>
  <si>
    <t>Shamonda orthobunyavirus</t>
  </si>
  <si>
    <t>Peaton virus (PEAV), Sango virus (SANV), Shamonda virus (SHAV)</t>
  </si>
  <si>
    <t>Shuni orthobunyavirus</t>
  </si>
  <si>
    <t>Aino virus (AINOV), Kaikalur virus (KAIV), Shuni virus (SHUV)</t>
  </si>
  <si>
    <t>Simbu orthobunyavirus</t>
  </si>
  <si>
    <t>Simbu virus (SIMV)</t>
  </si>
  <si>
    <t>Tacaiuma orthobunyavirus</t>
  </si>
  <si>
    <t>CoAr 1071 virus (CA1071V), CoAr 3627 virus (CA3627V), Tacaiuma virus (TCMV), Virgin River virus (VRV)</t>
  </si>
  <si>
    <t>Tete orthobunyavirus</t>
  </si>
  <si>
    <t>Bahig virus (BAHV), Matruh virus (MTRV), Tete virus (TETEV), Tsuruse virus (TSUV), Weldona virus (WELV)</t>
  </si>
  <si>
    <t>Thimiri orthobunyavirus</t>
  </si>
  <si>
    <t>Thimiri virus (THIV)</t>
  </si>
  <si>
    <t>Timboteua orthobunyavirus</t>
  </si>
  <si>
    <t>Timboteua virus (TBTV)</t>
  </si>
  <si>
    <t>Turlock orthobunyavirus</t>
  </si>
  <si>
    <t>Lednice virus (LEDV), Turlock virus (TURV), Umbre virus (UMBV)</t>
  </si>
  <si>
    <t>Wyeomyia orthobunyavirus</t>
  </si>
  <si>
    <t>Anhembi virus (AMBV), BeAr 328208 virus (BAV), Cachoeira Porteira virus (CPOV), Iaco virus (IACOV), Macaua virus (MCAV), Rio Pracupi virus, Sororoca virus (SORV), Taiassui virus (TAIAV), Tucunduba virus (TUCV), Wyeomyia virus (WYOV)</t>
  </si>
  <si>
    <t>Zegla orthobunyavirus</t>
  </si>
  <si>
    <t>Zegla virus (ZEGV)</t>
  </si>
  <si>
    <t>Bujaru phlebovirus</t>
  </si>
  <si>
    <t>Bujaru virus (BUJV), Munguba virus (MUNV)</t>
  </si>
  <si>
    <t>Candiru phlebovirus</t>
  </si>
  <si>
    <t>Chilibre phlebovirus</t>
  </si>
  <si>
    <t>Cacao virus (CACV), Chilibre (CHIV)</t>
  </si>
  <si>
    <t>Frijoles phlebovirus</t>
  </si>
  <si>
    <t>Frijoles virus (FRIV), Joa virus (JOAV)</t>
  </si>
  <si>
    <t>Punta Toro phlebovirus</t>
  </si>
  <si>
    <t>Buenaventura virus (BUEV), Capira virus (CAPIV), Cocle virus (CCLV), Leticia virus (LTCV), Punta Toro virus (PTV)</t>
  </si>
  <si>
    <t>Rift Valley fever phlebovirus</t>
  </si>
  <si>
    <t>Rift Valley fever virus (RVFV)</t>
  </si>
  <si>
    <t>Salehabad phlebovirus</t>
  </si>
  <si>
    <t>Adana virus, Adria virus (ADRV), Arbia virus (ARBV), Arumowot virus (AMTV), Medjerda Valley virus, Odrenisrou virus (ODRV), Olbia virus (OLBV), Salehabad virus (SALV)</t>
  </si>
  <si>
    <t>Sandfly fever Naples phlebovirus</t>
  </si>
  <si>
    <t>Fermo virus, Gordil virus (GORV), Granada virus (GR(A), V), Massil(i), a virus (MASLV), Punique virus (PUNV), Saddaguia virus (SADV), Saint-Floris virus (SAFV), sandfly fever Naples virus (SFNV), Tehran virus (TEHV), Toscana virus (TOSV), Zerdali virus</t>
  </si>
  <si>
    <t>SFTS phlebovirus</t>
  </si>
  <si>
    <t>severe fever with thrombocytopenia virus (SFTSV)</t>
  </si>
  <si>
    <t>Uukuniemi phlebovirus</t>
  </si>
  <si>
    <t>groundnut bud necrosis virus (GBNV)</t>
  </si>
  <si>
    <t>iris yellow spot virus (IYSV)</t>
  </si>
  <si>
    <t>tomato chlorotic spot virus (TCSV)</t>
  </si>
  <si>
    <t>tomato spotted wilt virus (TSWV)</t>
  </si>
  <si>
    <t>watermelon bud necrosis virus (WBNV)</t>
  </si>
  <si>
    <t>watermelon silver mottle virus (WSMoV)</t>
  </si>
  <si>
    <t>zucchini lethal chlorosis virus (ZLCV)</t>
  </si>
  <si>
    <t>dsDNA-RT</t>
  </si>
  <si>
    <t>HQ593112</t>
  </si>
  <si>
    <t>Kenya</t>
  </si>
  <si>
    <t>AY750155</t>
  </si>
  <si>
    <t>Acuminata Vietnam</t>
  </si>
  <si>
    <t>EU034539</t>
  </si>
  <si>
    <t>Cacao swollen shoot CD virus</t>
  </si>
  <si>
    <t>CSSV-CI152</t>
  </si>
  <si>
    <t>Cacao swollen shoot Togo A virus</t>
  </si>
  <si>
    <t>CSSV-Wobe12</t>
  </si>
  <si>
    <t>L14546</t>
  </si>
  <si>
    <t>Hagen</t>
  </si>
  <si>
    <t>AF347695</t>
  </si>
  <si>
    <t>Huang</t>
  </si>
  <si>
    <t>X52938</t>
  </si>
  <si>
    <t>Olszewski</t>
  </si>
  <si>
    <t>DQ822073</t>
  </si>
  <si>
    <t>Benin</t>
  </si>
  <si>
    <t xml:space="preserve">Arkansas 1 </t>
  </si>
  <si>
    <t>JQ316114</t>
  </si>
  <si>
    <t xml:space="preserve">RC HC </t>
  </si>
  <si>
    <t>Grapevine Roditis leaf discoloration-associated virus</t>
  </si>
  <si>
    <t>GRLDaV-w4</t>
  </si>
  <si>
    <t>JF301669</t>
  </si>
  <si>
    <t xml:space="preserve">LBC0903 </t>
  </si>
  <si>
    <t xml:space="preserve">pymav-01 </t>
  </si>
  <si>
    <t>GU121676</t>
  </si>
  <si>
    <t>KC808712</t>
  </si>
  <si>
    <t xml:space="preserve">ISH-1 </t>
  </si>
  <si>
    <t>KM078034</t>
  </si>
  <si>
    <t xml:space="preserve">Baumforth's Seedling A </t>
  </si>
  <si>
    <t>Sugarcane bacilliform Guadeloupe A virus</t>
  </si>
  <si>
    <t>SCBV-R570</t>
  </si>
  <si>
    <t>Sugarcane bacilliform Guadeloupe D virus</t>
  </si>
  <si>
    <t>SCBV-Ba3</t>
  </si>
  <si>
    <t>FJ560943</t>
  </si>
  <si>
    <t xml:space="preserve">Huachano1 </t>
  </si>
  <si>
    <t>AF357836</t>
  </si>
  <si>
    <t>Papua New Guinea</t>
  </si>
  <si>
    <t>X04658</t>
  </si>
  <si>
    <t>Hull</t>
  </si>
  <si>
    <t>V00141</t>
  </si>
  <si>
    <t>Franck</t>
  </si>
  <si>
    <t>JX272320</t>
  </si>
  <si>
    <t>Portland</t>
  </si>
  <si>
    <t>X06166</t>
  </si>
  <si>
    <t>clone pFMV Sc3</t>
  </si>
  <si>
    <t>JX429923</t>
  </si>
  <si>
    <t xml:space="preserve">ID1 </t>
  </si>
  <si>
    <t>EU554423</t>
  </si>
  <si>
    <t>AF454635</t>
  </si>
  <si>
    <t>Dey</t>
  </si>
  <si>
    <t>X97304</t>
  </si>
  <si>
    <t>clone pSVBV-E3</t>
  </si>
  <si>
    <t>U59751</t>
  </si>
  <si>
    <t>de Kochko</t>
  </si>
  <si>
    <t>HQ694978</t>
  </si>
  <si>
    <t xml:space="preserve">Mad1 </t>
  </si>
  <si>
    <t>U95208</t>
  </si>
  <si>
    <t>Richert-Poggeler</t>
  </si>
  <si>
    <t xml:space="preserve">RYVV-MN1 </t>
  </si>
  <si>
    <t>HQ694979</t>
  </si>
  <si>
    <t xml:space="preserve">Dom1 </t>
  </si>
  <si>
    <t>AF190123</t>
  </si>
  <si>
    <t>Lockhart</t>
  </si>
  <si>
    <t>AF404509</t>
  </si>
  <si>
    <t>Glasheen</t>
  </si>
  <si>
    <t>AF364175</t>
  </si>
  <si>
    <t>Stavolone</t>
  </si>
  <si>
    <t>U13988</t>
  </si>
  <si>
    <t>X15828</t>
  </si>
  <si>
    <t>Hibi</t>
  </si>
  <si>
    <t>X57924</t>
  </si>
  <si>
    <t>Philippines</t>
  </si>
  <si>
    <t>Turkey</t>
  </si>
  <si>
    <t xml:space="preserve">A-56 </t>
  </si>
  <si>
    <t>Soldevila</t>
  </si>
  <si>
    <t>ATTC 9480</t>
  </si>
  <si>
    <t xml:space="preserve">China </t>
  </si>
  <si>
    <t>Barbel circovirus</t>
  </si>
  <si>
    <t>barbel circovirus</t>
  </si>
  <si>
    <t>bat circovirus 1 isolate XOR</t>
  </si>
  <si>
    <t>bat circovirus 2 isolate XOR7</t>
  </si>
  <si>
    <t>bat circovirus 3 (Rhinolophus ferrumequinum circovirus 1)</t>
  </si>
  <si>
    <t>ssDNA(+/-)</t>
  </si>
  <si>
    <t>Canine circovirus</t>
  </si>
  <si>
    <t>canine circovirus isolate UCD1-1698</t>
  </si>
  <si>
    <t>chimpanzee faeces associated circovirus</t>
  </si>
  <si>
    <t>European catfish circovirus</t>
  </si>
  <si>
    <t>European catfish circovirus isolate H5 (Silurus glanis circovirus)</t>
  </si>
  <si>
    <t>human faeces associated circovirus</t>
  </si>
  <si>
    <t>Mink circovirus</t>
  </si>
  <si>
    <t>mink circovirus</t>
  </si>
  <si>
    <t>Porcine circovirus 1</t>
  </si>
  <si>
    <t>Porcine circovirus 2</t>
  </si>
  <si>
    <t>Raven circovirus</t>
  </si>
  <si>
    <t>raven circovirus</t>
  </si>
  <si>
    <t>Zebra finch circovirus</t>
  </si>
  <si>
    <t>zebra finch circovirus</t>
  </si>
  <si>
    <t>Cyclovirus</t>
  </si>
  <si>
    <t>bat cyclovirus</t>
  </si>
  <si>
    <t>bat faeces associated cyclovirus 1</t>
  </si>
  <si>
    <t>bat faeces associated cyclovirus 2</t>
  </si>
  <si>
    <t>bat faeces associated cyclovirus 3</t>
  </si>
  <si>
    <t>bat faeces associated cyclovirus 4</t>
  </si>
  <si>
    <t>bovine cyclovirus</t>
  </si>
  <si>
    <t>chimpanzee faeces associated cyclovirus</t>
  </si>
  <si>
    <t>dragonfly cyclovirus 1</t>
  </si>
  <si>
    <t>dragonfly cyclovirus 2</t>
  </si>
  <si>
    <t>dragonfly cyclovirus 3</t>
  </si>
  <si>
    <t>dragonfly cyclovirus 4</t>
  </si>
  <si>
    <t>dragonfly cyclovirus 5</t>
  </si>
  <si>
    <t>dragonfly cyclovirus 6</t>
  </si>
  <si>
    <t>dragonfly cyclovirus 7</t>
  </si>
  <si>
    <t>dragonfly cyclovirus 8</t>
  </si>
  <si>
    <t>Florida wood cockroach cyclovirus</t>
  </si>
  <si>
    <t>gallus cyclovirus</t>
  </si>
  <si>
    <t>goat cyclovirus</t>
  </si>
  <si>
    <t>human cyclovirus 1</t>
  </si>
  <si>
    <t>human cyclovirus 2</t>
  </si>
  <si>
    <t>human cyclovirus 3</t>
  </si>
  <si>
    <t>human faeces associated cyclovirus 1</t>
  </si>
  <si>
    <t>human faeces associated cyclovirus 2</t>
  </si>
  <si>
    <t>human faeces associated cyclovirus 3</t>
  </si>
  <si>
    <t>human faeces associated cyclovirus 4</t>
  </si>
  <si>
    <t>human faeces associated cyclovirus 5</t>
  </si>
  <si>
    <t>human faeces associated cyclovirus 6</t>
  </si>
  <si>
    <t>human faeces associated cyclovirus 8</t>
  </si>
  <si>
    <t>AB537968</t>
  </si>
  <si>
    <t>Blackberry vein banding-associated virus</t>
  </si>
  <si>
    <t>Mississippi1</t>
  </si>
  <si>
    <t>JQ023131</t>
  </si>
  <si>
    <t>AF037268</t>
  </si>
  <si>
    <t>NY1</t>
  </si>
  <si>
    <t>FJ467503</t>
  </si>
  <si>
    <t xml:space="preserve">LR106 </t>
  </si>
  <si>
    <t>AF531505</t>
  </si>
  <si>
    <t>USA6b</t>
  </si>
  <si>
    <t>AF414119</t>
  </si>
  <si>
    <t>Melzer</t>
  </si>
  <si>
    <t>EF546442</t>
  </si>
  <si>
    <t xml:space="preserve">USA </t>
  </si>
  <si>
    <t>X73476</t>
  </si>
  <si>
    <t>U</t>
  </si>
  <si>
    <t>FJ869862</t>
  </si>
  <si>
    <t xml:space="preserve">Germany </t>
  </si>
  <si>
    <t>U16304</t>
  </si>
  <si>
    <t>T36 quick decline</t>
  </si>
  <si>
    <t>AY881628</t>
  </si>
  <si>
    <t>93/955</t>
  </si>
  <si>
    <t>AY792620</t>
  </si>
  <si>
    <t>DQ357218</t>
  </si>
  <si>
    <t xml:space="preserve">HCRL Glen Clova </t>
  </si>
  <si>
    <t>DQ860839</t>
  </si>
  <si>
    <t xml:space="preserve">Bn-03 </t>
  </si>
  <si>
    <t>USA, strawberry pallidosis</t>
  </si>
  <si>
    <t>South Carolina</t>
  </si>
  <si>
    <t>AlLM</t>
  </si>
  <si>
    <t xml:space="preserve">Fayetteville </t>
  </si>
  <si>
    <t xml:space="preserve">California </t>
  </si>
  <si>
    <t>Peru:Cajamarca</t>
  </si>
  <si>
    <t>M1</t>
  </si>
  <si>
    <t>Uganda EA</t>
  </si>
  <si>
    <t>Florida</t>
  </si>
  <si>
    <t xml:space="preserve">Orange County, CA </t>
  </si>
  <si>
    <t>Blueberry virus A</t>
  </si>
  <si>
    <t>Iwate-2012</t>
  </si>
  <si>
    <t>KJ572575</t>
  </si>
  <si>
    <t xml:space="preserve">NCGR MEN 454 </t>
  </si>
  <si>
    <t>HM588723</t>
  </si>
  <si>
    <t xml:space="preserve">Kahaluu-1 </t>
  </si>
  <si>
    <t>Cordyline virus 2</t>
  </si>
  <si>
    <t>SJ1</t>
  </si>
  <si>
    <t>Cordyline virus 3</t>
  </si>
  <si>
    <t>Cordyline virus 4</t>
  </si>
  <si>
    <t>HE588185</t>
  </si>
  <si>
    <t xml:space="preserve">AA42 </t>
  </si>
  <si>
    <t>Y10237</t>
  </si>
  <si>
    <t>UW2</t>
  </si>
  <si>
    <t>Pseudoalteromonas virus PM2</t>
  </si>
  <si>
    <t>Pseudomonas virus phi6</t>
  </si>
  <si>
    <t>Rubra</t>
  </si>
  <si>
    <t>JN019858</t>
  </si>
  <si>
    <t xml:space="preserve">BPEV-YW </t>
  </si>
  <si>
    <t>AB218287</t>
  </si>
  <si>
    <t>1-670</t>
  </si>
  <si>
    <t>AB014344</t>
  </si>
  <si>
    <t>W-1714</t>
  </si>
  <si>
    <t>D32136</t>
  </si>
  <si>
    <t>Fukuhara</t>
  </si>
  <si>
    <t>Fuerte</t>
  </si>
  <si>
    <t>AB719397</t>
  </si>
  <si>
    <t xml:space="preserve">Brazil </t>
  </si>
  <si>
    <t>AB719398</t>
  </si>
  <si>
    <t>AJ877914</t>
  </si>
  <si>
    <t>USA:Oregon</t>
  </si>
  <si>
    <t>AJ000929</t>
  </si>
  <si>
    <t>INTA</t>
  </si>
  <si>
    <t>X07234</t>
  </si>
  <si>
    <t>AY370762</t>
  </si>
  <si>
    <t>EU030938</t>
  </si>
  <si>
    <t>EU030939</t>
  </si>
  <si>
    <t>FJ870916</t>
  </si>
  <si>
    <t>AY388628</t>
  </si>
  <si>
    <t>AY423772</t>
  </si>
  <si>
    <t>FJ870917</t>
  </si>
  <si>
    <t>FJ870915</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</si>
  <si>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</si>
  <si>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</si>
  <si>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</si>
  <si>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</si>
  <si>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</si>
  <si>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</si>
  <si>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</si>
  <si>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</si>
  <si>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</si>
  <si>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</si>
  <si>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</si>
  <si>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</si>
  <si>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</si>
  <si>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</si>
  <si>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</si>
  <si>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</si>
  <si>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</si>
  <si>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</si>
  <si>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</si>
  <si>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</si>
  <si>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</si>
  <si>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</si>
  <si>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</si>
  <si>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</si>
  <si>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</si>
  <si>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</si>
  <si>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</si>
  <si>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</si>
  <si>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</si>
  <si>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</si>
  <si>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</si>
  <si>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</si>
  <si>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</si>
  <si>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</si>
  <si>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</si>
  <si>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</si>
  <si>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</si>
  <si>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</si>
  <si>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</si>
  <si>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</si>
  <si>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</si>
  <si>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</si>
  <si>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</si>
  <si>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</si>
  <si>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</si>
  <si>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</si>
  <si>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</si>
  <si>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</si>
  <si>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</si>
  <si>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</si>
  <si>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</si>
  <si>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</si>
  <si>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</si>
  <si>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</si>
  <si>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</si>
  <si>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</si>
  <si>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</si>
  <si>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ACSV [NG-g84-oba-2007]</t>
  </si>
  <si>
    <t>Sugarcane white streak virus</t>
  </si>
  <si>
    <t>SWSA-A [SD-VARX-2013]</t>
  </si>
  <si>
    <t>Switchgrass mosaic-associated virus</t>
  </si>
  <si>
    <t>SgMaV-1 [US-DB-2012]</t>
  </si>
  <si>
    <t>Genomoviridae</t>
  </si>
  <si>
    <t>Gemycircularvirus</t>
  </si>
  <si>
    <t>Sclerotinia gemycircularvirus 1</t>
  </si>
  <si>
    <t>GQ365709</t>
  </si>
  <si>
    <t>Sclerotinia sclerotiorum hypovirulence associated DNA virus 1</t>
  </si>
  <si>
    <t>AJ635161</t>
  </si>
  <si>
    <t>AY722806</t>
  </si>
  <si>
    <t>HE580237</t>
  </si>
  <si>
    <t>Long-fingered bat hepatitis B virus</t>
  </si>
  <si>
    <t>Roundleaf bat hepatitis B virus</t>
  </si>
  <si>
    <t>roundleaf bat hepatitis B virus</t>
  </si>
  <si>
    <t>Tent-making bat hepatitis B virus</t>
  </si>
  <si>
    <t>tent-making bat hepatitis B virus</t>
  </si>
  <si>
    <t>DQ861913</t>
  </si>
  <si>
    <t xml:space="preserve">EP721 </t>
  </si>
  <si>
    <t>L29010</t>
  </si>
  <si>
    <t>NB58</t>
  </si>
  <si>
    <t>AF188515</t>
  </si>
  <si>
    <t>Michigan WY</t>
  </si>
  <si>
    <t>AY307099</t>
  </si>
  <si>
    <t>SR2</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</si>
  <si>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</si>
  <si>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</si>
  <si>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</si>
  <si>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</si>
  <si>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</si>
  <si>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</si>
  <si>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</si>
  <si>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</si>
  <si>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</si>
  <si>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</si>
  <si>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</si>
  <si>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</si>
  <si>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Acholeplasma virus MV-L51</t>
  </si>
  <si>
    <t>Spiroplasma virus C74</t>
  </si>
  <si>
    <t>Spiroplasma virus R8A2B</t>
  </si>
  <si>
    <t>Lavidaviridae</t>
  </si>
  <si>
    <t>Mavirus</t>
  </si>
  <si>
    <t>Cafeteriavirus-dependent mavirus</t>
  </si>
  <si>
    <t>HQ712116</t>
  </si>
  <si>
    <t>Maverick-related virus (Mavirus), strain Spezl</t>
  </si>
  <si>
    <t>Sputnikvirus</t>
  </si>
  <si>
    <t>Mimivirus-dependent virus Sputnik</t>
  </si>
  <si>
    <t>EU606015</t>
  </si>
  <si>
    <t>Sputnik virus 1</t>
  </si>
  <si>
    <t>Mimivirus-dependent virus Zamilon</t>
  </si>
  <si>
    <t>HG531932</t>
  </si>
  <si>
    <t>Zamilon virus</t>
  </si>
  <si>
    <t>Escherichia virus FI</t>
  </si>
  <si>
    <t>Escherichia virus Qbeta</t>
  </si>
  <si>
    <t>Escherichia virus BZ13</t>
  </si>
  <si>
    <t>Escherichia virus MS2</t>
  </si>
  <si>
    <t>KC571999</t>
  </si>
  <si>
    <t xml:space="preserve">K439 </t>
  </si>
  <si>
    <t>AF218798</t>
  </si>
  <si>
    <t>129 (group b)</t>
  </si>
  <si>
    <t>AF441393</t>
  </si>
  <si>
    <t>Domier</t>
  </si>
  <si>
    <t>EU024678</t>
  </si>
  <si>
    <t>AB038147</t>
  </si>
  <si>
    <t>strain YS, isolate M93-1</t>
  </si>
  <si>
    <t>AF352024</t>
  </si>
  <si>
    <t>2a</t>
  </si>
  <si>
    <t>X83110</t>
  </si>
  <si>
    <t>2ITB</t>
  </si>
  <si>
    <t>AF473561</t>
  </si>
  <si>
    <t>AY695933</t>
  </si>
  <si>
    <t>UK-1</t>
  </si>
  <si>
    <t>AF235168</t>
  </si>
  <si>
    <t>Mex-1</t>
  </si>
  <si>
    <t>AY956384</t>
  </si>
  <si>
    <t xml:space="preserve">Et-fb-am1 </t>
  </si>
  <si>
    <t>GU167940</t>
  </si>
  <si>
    <t xml:space="preserve">ARG </t>
  </si>
  <si>
    <t>X76931</t>
  </si>
  <si>
    <t>NY</t>
  </si>
  <si>
    <t>EU000534</t>
  </si>
  <si>
    <t xml:space="preserve">China:Beijing </t>
  </si>
  <si>
    <t>AB594828</t>
  </si>
  <si>
    <t>D00530</t>
  </si>
  <si>
    <t>JQ700308</t>
  </si>
  <si>
    <t xml:space="preserve">SABYV-TW19 </t>
  </si>
  <si>
    <t>AF157029</t>
  </si>
  <si>
    <t>A</t>
  </si>
  <si>
    <t>EF529624</t>
  </si>
  <si>
    <t xml:space="preserve">Longlin </t>
  </si>
  <si>
    <t>X13063</t>
  </si>
  <si>
    <t>FL-1</t>
  </si>
  <si>
    <t>1/W779</t>
  </si>
  <si>
    <t>Z11866</t>
  </si>
  <si>
    <t>McHale</t>
  </si>
  <si>
    <t>X13886</t>
  </si>
  <si>
    <t>Smyth</t>
  </si>
  <si>
    <t>M34549</t>
  </si>
  <si>
    <t>AB950</t>
  </si>
  <si>
    <t>M38526</t>
  </si>
  <si>
    <t>Levin</t>
  </si>
  <si>
    <t>L10324</t>
  </si>
  <si>
    <t>Weaver</t>
  </si>
  <si>
    <t>Bullavirinae</t>
  </si>
  <si>
    <t>Alpha3microvirus</t>
  </si>
  <si>
    <t>Escherichia virus alpha3</t>
  </si>
  <si>
    <t>Escherichia virus ID21</t>
  </si>
  <si>
    <t>Escherichia phage ID21</t>
  </si>
  <si>
    <t>Escherichia virus ID32</t>
  </si>
  <si>
    <t>Escherichia phage ID32</t>
  </si>
  <si>
    <t>Escherichia virus ID62</t>
  </si>
  <si>
    <t>Escherichia phage ID62</t>
  </si>
  <si>
    <t>Escherichia virus NC28</t>
  </si>
  <si>
    <t>Escherichia phage NC28</t>
  </si>
  <si>
    <t>Escherichia virus NC29</t>
  </si>
  <si>
    <t>Escherichia phage NC29</t>
  </si>
  <si>
    <t>Escherichia virus NC35</t>
  </si>
  <si>
    <t>Escherichia phage NC35</t>
  </si>
  <si>
    <t>Escherichia virus phiK</t>
  </si>
  <si>
    <t>Escherichia virus St1</t>
  </si>
  <si>
    <t>Escherichia virus WA45</t>
  </si>
  <si>
    <t>Escherichia phage WA45</t>
  </si>
  <si>
    <t>G4microvirus</t>
  </si>
  <si>
    <t>Escherichia virus G4</t>
  </si>
  <si>
    <t>Escherichia virus ID52</t>
  </si>
  <si>
    <t>Escherichia phage ID52</t>
  </si>
  <si>
    <t>Escherichia virus Talmos</t>
  </si>
  <si>
    <t>Escherichia phage ID2 Moscow/ID/2001</t>
  </si>
  <si>
    <t>Phix174microvirus</t>
  </si>
  <si>
    <t>Escherichia virus phiX174</t>
  </si>
  <si>
    <t>Bdellovibrio virus MAC1</t>
  </si>
  <si>
    <t>Bdellovibrio virus MH2K</t>
  </si>
  <si>
    <t>Chlamydia virus Chp1</t>
  </si>
  <si>
    <t>Chlamydia virus Chp2</t>
  </si>
  <si>
    <t>Chlamydia virus CPAR39</t>
  </si>
  <si>
    <t>Chlamydia virus CPG1</t>
  </si>
  <si>
    <t>Spiroplasma virus SpV4</t>
  </si>
  <si>
    <t xml:space="preserve">Q767 </t>
  </si>
  <si>
    <t xml:space="preserve">India:Kalimpong </t>
  </si>
  <si>
    <t>Black medic leaf roll virus</t>
  </si>
  <si>
    <t>BMLRV - [AZ,47]</t>
  </si>
  <si>
    <t xml:space="preserve">JKI-2000 </t>
  </si>
  <si>
    <t>EV1-93</t>
  </si>
  <si>
    <t xml:space="preserve">Eth-231 </t>
  </si>
  <si>
    <t xml:space="preserve">N </t>
  </si>
  <si>
    <t xml:space="preserve">Drohndorf-15 </t>
  </si>
  <si>
    <t>Pea yellow stunt virus</t>
  </si>
  <si>
    <t>PYSV- [AT,15]</t>
  </si>
  <si>
    <t>F</t>
  </si>
  <si>
    <t>L31849</t>
  </si>
  <si>
    <t>CpNB631</t>
  </si>
  <si>
    <t>AJ004930</t>
  </si>
  <si>
    <t>OnuLd</t>
  </si>
  <si>
    <t>AJ132754</t>
  </si>
  <si>
    <t>AJ132755</t>
  </si>
  <si>
    <t>AJ132756</t>
  </si>
  <si>
    <t>AF039063</t>
  </si>
  <si>
    <t>37-4C</t>
  </si>
  <si>
    <t>U90136</t>
  </si>
  <si>
    <t>Blueberry mosaic associated virus</t>
  </si>
  <si>
    <t>Arkansas-5</t>
  </si>
  <si>
    <t>P-121</t>
  </si>
  <si>
    <t>RNA3: DQ885455</t>
  </si>
  <si>
    <t xml:space="preserve">Fr220205/9 </t>
  </si>
  <si>
    <t>Belg-2</t>
  </si>
  <si>
    <t>LS301-O</t>
  </si>
  <si>
    <t>Dyochipapillomavirus</t>
  </si>
  <si>
    <t>Dyochipapillomavirus 1</t>
  </si>
  <si>
    <t>Equus asinus papillomavirus 1</t>
  </si>
  <si>
    <t>Dyokappapapillomavirus 2</t>
  </si>
  <si>
    <t>Rupicapra rupicapra papillomavirus 1</t>
  </si>
  <si>
    <t>Dyoomegapapillomavirus 1</t>
  </si>
  <si>
    <t>Eptesicus serotinus papillomavirus 2</t>
  </si>
  <si>
    <t>Dyophipapillomavirus</t>
  </si>
  <si>
    <t>Dyophipapillomavirus 1</t>
  </si>
  <si>
    <t>Talpa europaea papillomavirus 1</t>
  </si>
  <si>
    <t>Dyopsipapillomavirus</t>
  </si>
  <si>
    <t>Dyopsipapillomavirus 1</t>
  </si>
  <si>
    <t>Eptesicus serotinus papillomavirus 1</t>
  </si>
  <si>
    <t>Dyotaupapillomavirus</t>
  </si>
  <si>
    <t>Dyotaupapillomavirus 1</t>
  </si>
  <si>
    <t>Miniopterus schreibersii papillomavirus 1</t>
  </si>
  <si>
    <t>Dyoupsilonpapillomavirus</t>
  </si>
  <si>
    <t>Dyoupsilonpapillomavirus 1</t>
  </si>
  <si>
    <t>Eidolon helvum papillomavirus 1</t>
  </si>
  <si>
    <t>Gammapapillomavirus 21</t>
  </si>
  <si>
    <t>Human papillomavirus 167</t>
  </si>
  <si>
    <t>Gammapapillomavirus 22</t>
  </si>
  <si>
    <t>Human papillomavirus 172</t>
  </si>
  <si>
    <t>Gammapapillomavirus 23</t>
  </si>
  <si>
    <t>Human papillomavirus 175</t>
  </si>
  <si>
    <t>Gammapapillomavirus 24</t>
  </si>
  <si>
    <t>Human papillomavirus 178</t>
  </si>
  <si>
    <t>Gammapapillomavirus 25</t>
  </si>
  <si>
    <t>Human papillomavirus 184</t>
  </si>
  <si>
    <t>Gammapapillomavirus 26</t>
  </si>
  <si>
    <t>Human papillomavirus 187</t>
  </si>
  <si>
    <t>Mupapillomavirus 3</t>
  </si>
  <si>
    <t>Human papillomavirus 204</t>
  </si>
  <si>
    <t>Rhopapillomavirus 2</t>
  </si>
  <si>
    <t>Trichechus manatus papillomavirus 3</t>
  </si>
  <si>
    <t>Taupapillomavirus 3</t>
  </si>
  <si>
    <t>Felis catus papillomavirus 3</t>
  </si>
  <si>
    <t>Treisdeltapapillomavirus</t>
  </si>
  <si>
    <t>Treisdeltapapillomavirus 1</t>
  </si>
  <si>
    <t>Rhinolophus ferrumequinum papillomavirus 1</t>
  </si>
  <si>
    <t>Treisepsilonpapillomavirus</t>
  </si>
  <si>
    <t>Treisepsilonpapillomavirus 1</t>
  </si>
  <si>
    <t>Treisetapapillomavirus</t>
  </si>
  <si>
    <t>Treisetapapillomavirus 1</t>
  </si>
  <si>
    <t>Vulpes vulpes papillomavirus 1</t>
  </si>
  <si>
    <t>Treiszetapapillomavirus</t>
  </si>
  <si>
    <t>Treiszetapapillomavirus 1</t>
  </si>
  <si>
    <t>Fulmarus glacialis papillomavirus 1</t>
  </si>
  <si>
    <t>Xipapillomavirus 3</t>
  </si>
  <si>
    <t>Rangifer tarandus papillomavirus 2</t>
  </si>
  <si>
    <t xml:space="preserve">Hungary </t>
  </si>
  <si>
    <t xml:space="preserve">Canada:British Columbia:Mesachie Lake </t>
  </si>
  <si>
    <t>Magae</t>
  </si>
  <si>
    <t>RNA1: AB025903</t>
  </si>
  <si>
    <t>Osaki</t>
  </si>
  <si>
    <t xml:space="preserve">HetRV1-ab1 </t>
  </si>
  <si>
    <t>Heterobasidion partitivirus 12</t>
  </si>
  <si>
    <t>HetPV12-an1</t>
  </si>
  <si>
    <t>Heterobasidion partitivirus 13</t>
  </si>
  <si>
    <t>HetPV13-an1</t>
  </si>
  <si>
    <t>Heterobasidion partitivirus 15</t>
  </si>
  <si>
    <t>HetPV15-pa1</t>
  </si>
  <si>
    <t xml:space="preserve">W57 </t>
  </si>
  <si>
    <t>Boccardo</t>
  </si>
  <si>
    <t>2H</t>
  </si>
  <si>
    <t xml:space="preserve">Fedora17 </t>
  </si>
  <si>
    <t>Deng</t>
  </si>
  <si>
    <t xml:space="preserve">IPP_IncarnatSK </t>
  </si>
  <si>
    <t xml:space="preserve">IPP_hortorum </t>
  </si>
  <si>
    <t>A11</t>
  </si>
  <si>
    <t xml:space="preserve">HetRV2-pa1 </t>
  </si>
  <si>
    <t>Heterobasidion partitivirus 7</t>
  </si>
  <si>
    <t>HetPV7-pa1</t>
  </si>
  <si>
    <t xml:space="preserve">HetRV8-pa1 </t>
  </si>
  <si>
    <t>RNA1: AF473549</t>
  </si>
  <si>
    <t>Ihrmark</t>
  </si>
  <si>
    <t xml:space="preserve">IPP_GelbSK </t>
  </si>
  <si>
    <t xml:space="preserve">IPP_Nemaro </t>
  </si>
  <si>
    <t>Japan:ayama</t>
  </si>
  <si>
    <t>KSU-1</t>
  </si>
  <si>
    <t>RNA2: S63913</t>
  </si>
  <si>
    <t>Xie</t>
  </si>
  <si>
    <t xml:space="preserve">BN13 </t>
  </si>
  <si>
    <t>RNA1: JN117276</t>
  </si>
  <si>
    <t xml:space="preserve">Jal-01 </t>
  </si>
  <si>
    <t xml:space="preserve">HW-01 </t>
  </si>
  <si>
    <t xml:space="preserve">FA0611 </t>
  </si>
  <si>
    <t>USA: 331</t>
  </si>
  <si>
    <t>Shimosaka</t>
  </si>
  <si>
    <t>Finland</t>
  </si>
  <si>
    <t xml:space="preserve">India </t>
  </si>
  <si>
    <t>Kim</t>
  </si>
  <si>
    <t>Acholeplasma virus L2</t>
  </si>
  <si>
    <t>Pleolipoviridae</t>
  </si>
  <si>
    <t>Alphapleolipovirus</t>
  </si>
  <si>
    <t>GU321093</t>
  </si>
  <si>
    <t>Haloarcula hispanica pleomorphic virus 1</t>
  </si>
  <si>
    <t>KF056323</t>
  </si>
  <si>
    <t>Haloarcula hispanica pleomorphic virus 2</t>
  </si>
  <si>
    <t>FJ685651</t>
  </si>
  <si>
    <t>Halorubrum pleomorphic virus 1</t>
  </si>
  <si>
    <t>JN882264</t>
  </si>
  <si>
    <t>Halorubrum pleomorphic virus 2</t>
  </si>
  <si>
    <t>JN882266</t>
  </si>
  <si>
    <t>Halorubrum pleomorphic virus 6</t>
  </si>
  <si>
    <t>Betapleolipovirus</t>
  </si>
  <si>
    <t>JN882267</t>
  </si>
  <si>
    <t>Halogeometricum pleomorphic virus 1</t>
  </si>
  <si>
    <t>JN882265</t>
  </si>
  <si>
    <t>Halorubrum pleomorphic virus 3</t>
  </si>
  <si>
    <t>Gammapleolipovirus</t>
  </si>
  <si>
    <t>Haloarcula virus His2</t>
  </si>
  <si>
    <t>AF191797</t>
  </si>
  <si>
    <t>His2 virus</t>
  </si>
  <si>
    <t>Alphapolyomavirus</t>
  </si>
  <si>
    <t>Acerodon celebensis polyomavirus 1</t>
  </si>
  <si>
    <t>BatPyV5b-2</t>
  </si>
  <si>
    <t>Artibeus planirostris polyomavirus 2</t>
  </si>
  <si>
    <t>BatPyV-3a</t>
  </si>
  <si>
    <t>Artibeus planirostris polyomavirus 3</t>
  </si>
  <si>
    <t>BatPyV-4a</t>
  </si>
  <si>
    <t>Ateles paniscus polyomavirus 1</t>
  </si>
  <si>
    <t>ApanPyV1 isolate #1961</t>
  </si>
  <si>
    <t>Cardioderma cor polyomavirus 1</t>
  </si>
  <si>
    <t>CardiodermaPyV-KY336</t>
  </si>
  <si>
    <t>Carollia perspicillata polyomavirus 1</t>
  </si>
  <si>
    <t>BatPyV-4b</t>
  </si>
  <si>
    <t>Chlorocebus pygerythrus polyomavirus 1</t>
  </si>
  <si>
    <t>VmPyV1</t>
  </si>
  <si>
    <t>Chlorocebus pygerythrus polyomavirus 3</t>
  </si>
  <si>
    <t>VmPyV3</t>
  </si>
  <si>
    <t>Dobsonia moluccensis polyomavirus 1</t>
  </si>
  <si>
    <t>BatPyV5a</t>
  </si>
  <si>
    <t>Eidolon helvum polyomavirus 1</t>
  </si>
  <si>
    <t>EidolonPyV-KY270</t>
  </si>
  <si>
    <t>Gorilla gorilla polyomavirus 1</t>
  </si>
  <si>
    <t>GgorgPyV1 isolate #5766</t>
  </si>
  <si>
    <t>Human polyomavirus 5</t>
  </si>
  <si>
    <t>MCPyV isolate R17b</t>
  </si>
  <si>
    <t>Human polyomavirus 8</t>
  </si>
  <si>
    <t>TSPyV</t>
  </si>
  <si>
    <t>Human polyomavirus 9</t>
  </si>
  <si>
    <t>HPyV9 isolate #hu2540</t>
  </si>
  <si>
    <t>Human polyomavirus 12</t>
  </si>
  <si>
    <t>HPyV12 isolate #hu1403</t>
  </si>
  <si>
    <t>Human polyomavirus 13</t>
  </si>
  <si>
    <t>NJPyV isolate NJ-PyV-2013</t>
  </si>
  <si>
    <t>Macaca fascicularis polyomavirus 1</t>
  </si>
  <si>
    <t>MfasPyV1 isolate #2085</t>
  </si>
  <si>
    <t>Mesocricetus auratus polyomavirus 1</t>
  </si>
  <si>
    <t>Molossus molossus polyomavirus 1</t>
  </si>
  <si>
    <t>BatPyV-3b</t>
  </si>
  <si>
    <t>Mus musculus polyomavirus 1</t>
  </si>
  <si>
    <t>Otomops martiensseni polyomavirus 1</t>
  </si>
  <si>
    <t>OtomopsPyV-KY156</t>
  </si>
  <si>
    <t>Otomops martiensseni polyomavirus 2</t>
  </si>
  <si>
    <t>OtomopsPyV-KY157</t>
  </si>
  <si>
    <t>Pan troglodytes polyomavirus 1</t>
  </si>
  <si>
    <t>ChPyV-Bob</t>
  </si>
  <si>
    <t>Pan troglodytes polyomavirus 2</t>
  </si>
  <si>
    <t>PtrovPyV1a isolate #6444</t>
  </si>
  <si>
    <t>Pan troglodytes polyomavirus 3</t>
  </si>
  <si>
    <t>PtrovPyV2a isolate #6512</t>
  </si>
  <si>
    <t>Pan troglodytes polyomavirus 4</t>
  </si>
  <si>
    <t>PtrovPyV3 isolate #3161</t>
  </si>
  <si>
    <t>Pan troglodytes polyomavirus 5</t>
  </si>
  <si>
    <t>PtrovPyV4 isolate #3147</t>
  </si>
  <si>
    <t>Pan troglodytes polyomavirus 6</t>
  </si>
  <si>
    <t>PtrovPyV5 isolate #5743</t>
  </si>
  <si>
    <t>Pan troglodytes polyomavirus 7</t>
  </si>
  <si>
    <t>PtrosPyV2 isolate #6350</t>
  </si>
  <si>
    <t>Papio cynocephalus polyomavirus 1</t>
  </si>
  <si>
    <t>YbPyV1</t>
  </si>
  <si>
    <t>Piliocolobus rufomitratus polyomavirus 1</t>
  </si>
  <si>
    <t>PrufPyV1 isolate #4601</t>
  </si>
  <si>
    <t>Pongo abelii polyomavirus 1</t>
  </si>
  <si>
    <t>OraPyV-Pi</t>
  </si>
  <si>
    <t>Pongo pygmaeus polyomavirus 1</t>
  </si>
  <si>
    <t>OraPyV-Bo</t>
  </si>
  <si>
    <t>Procyon lotor polyomavirus 1</t>
  </si>
  <si>
    <t>RacPyV</t>
  </si>
  <si>
    <t>Pteropus vampyrus polyomavirus 1</t>
  </si>
  <si>
    <t>BatPyV5b-1</t>
  </si>
  <si>
    <t>Sturnira lilium polyomavirus 1</t>
  </si>
  <si>
    <t>BatPyV-B0454</t>
  </si>
  <si>
    <t>Betapolyomavirus</t>
  </si>
  <si>
    <t>Acerodon celebensis polyomavirus 2</t>
  </si>
  <si>
    <t>BatPyV6a</t>
  </si>
  <si>
    <t>Artibeus planirostris polyomavirus 1</t>
  </si>
  <si>
    <t>BatPyV-2c</t>
  </si>
  <si>
    <t>Cebus albifrons polyomavirus 1</t>
  </si>
  <si>
    <t>CalbPyV1 isolate #2141</t>
  </si>
  <si>
    <t>Cercopithecus erythrotis polyomavirus 1</t>
  </si>
  <si>
    <t>CeryPyV1 isolate #4077</t>
  </si>
  <si>
    <t>Chlorocebus pygerythrus polyomavirus 2</t>
  </si>
  <si>
    <t>VmPyV2</t>
  </si>
  <si>
    <t>Desmodus rotundus polyomavirus 1</t>
  </si>
  <si>
    <t>BatPyV2a</t>
  </si>
  <si>
    <t>Dobsonia moluccensis polyomavirus 2</t>
  </si>
  <si>
    <t>BatPyV6b</t>
  </si>
  <si>
    <t>Dobsonia moluccensis polyomavirus 3</t>
  </si>
  <si>
    <t>BatPyV6c</t>
  </si>
  <si>
    <t>Equus caballus polyomavirus 1</t>
  </si>
  <si>
    <t>EPyV isolate CU03</t>
  </si>
  <si>
    <t>Human polyomavirus 1</t>
  </si>
  <si>
    <t>Human polyomavirus 2</t>
  </si>
  <si>
    <t>Human polyomavirus 3</t>
  </si>
  <si>
    <t>KIPyV strain Stockholm 60</t>
  </si>
  <si>
    <t>Human polyomavirus 4</t>
  </si>
  <si>
    <t>WUPyV</t>
  </si>
  <si>
    <t>Loxodonta africana polyomavirus 1</t>
  </si>
  <si>
    <t>AelPyV1</t>
  </si>
  <si>
    <t>Macaca mulatta polyomavirus 1</t>
  </si>
  <si>
    <t>Mastomys natalensis polyomavirus 1</t>
  </si>
  <si>
    <t>MasPyV</t>
  </si>
  <si>
    <t>Meles meles polyomavirus 1</t>
  </si>
  <si>
    <t>MmelPyV1-FR</t>
  </si>
  <si>
    <t>Miniopterus africanus polyomavirus 1</t>
  </si>
  <si>
    <t>MiniopterusPyV-KY369</t>
  </si>
  <si>
    <t>Mus musculus polyomavirus 2</t>
  </si>
  <si>
    <t>Myotis lucifugus polyomavirus 1</t>
  </si>
  <si>
    <t>MyoPyV isolate VM2008_14</t>
  </si>
  <si>
    <t>Papio cynocephalus polyomavirus 2</t>
  </si>
  <si>
    <t>YbPyV2</t>
  </si>
  <si>
    <t>Pteronotus davyi polyomavirus 1</t>
  </si>
  <si>
    <t>PteronotusPyV-GTM203</t>
  </si>
  <si>
    <t>Pteronotus parnellii polyomavirus 1</t>
  </si>
  <si>
    <t>BatPyV-2b</t>
  </si>
  <si>
    <t>Saimiri boliviensis polyomavirus 1</t>
  </si>
  <si>
    <t>SqPyV isolate Squi0106</t>
  </si>
  <si>
    <t>Saimiri sciureus polyomavirus 1</t>
  </si>
  <si>
    <t>SsciPyV1 isolate #2033</t>
  </si>
  <si>
    <t>Zalophus californianus polyomavirus 1</t>
  </si>
  <si>
    <t>SLPyV, CSLPyV</t>
  </si>
  <si>
    <t>Deltapolyomavirus</t>
  </si>
  <si>
    <t>Human polyomavirus 6</t>
  </si>
  <si>
    <t>HPyV6 strain 607a</t>
  </si>
  <si>
    <t>Human polyomavirus 7</t>
  </si>
  <si>
    <t>HPyV7 strain 713a</t>
  </si>
  <si>
    <t>Human polyomavirus 10</t>
  </si>
  <si>
    <t>MWPyV strain MA095</t>
  </si>
  <si>
    <t>Human polyomavirus 11</t>
  </si>
  <si>
    <t>StLPyV strain MA138</t>
  </si>
  <si>
    <t>Gammapolyomavirus</t>
  </si>
  <si>
    <t>Anser anser polyomavirus 1</t>
  </si>
  <si>
    <t>GHPyV</t>
  </si>
  <si>
    <t>Aves polyomavirus 1</t>
  </si>
  <si>
    <t>Corvus monedula polyomavirus 1</t>
  </si>
  <si>
    <t>CPyV</t>
  </si>
  <si>
    <t>Cracticus torquatus polyomavirus 1</t>
  </si>
  <si>
    <t>Butcherbird PyV</t>
  </si>
  <si>
    <t>Pygoscelis adeliae polyomavirus 1</t>
  </si>
  <si>
    <t>AdPyV</t>
  </si>
  <si>
    <t>Pyrrhula pyrrhula polyomavirus 1</t>
  </si>
  <si>
    <t>FPyV</t>
  </si>
  <si>
    <t>Serinus canaria polyomavirus 1</t>
  </si>
  <si>
    <t>CaPyV</t>
  </si>
  <si>
    <t>Bos taurus polyomavirus 1</t>
  </si>
  <si>
    <t>Centropristis striata polyomavirus 1</t>
  </si>
  <si>
    <t>Black sea bass polyomavirus 1</t>
  </si>
  <si>
    <t>Delphinus delphis polyomavirus 1</t>
  </si>
  <si>
    <t>X99487</t>
  </si>
  <si>
    <t>Di Serio</t>
  </si>
  <si>
    <t>X17696</t>
  </si>
  <si>
    <t>X17101</t>
  </si>
  <si>
    <t>Rezaian</t>
  </si>
  <si>
    <t>U21125</t>
  </si>
  <si>
    <t>AF447788</t>
  </si>
  <si>
    <t>E21a</t>
  </si>
  <si>
    <t>EF617306</t>
  </si>
  <si>
    <t xml:space="preserve">Spain </t>
  </si>
  <si>
    <t>AB019508</t>
  </si>
  <si>
    <t>JCVd 1</t>
  </si>
  <si>
    <t>AF059712</t>
  </si>
  <si>
    <t>type 3</t>
  </si>
  <si>
    <t>J04348</t>
  </si>
  <si>
    <t>Koltunow</t>
  </si>
  <si>
    <t>D12823</t>
  </si>
  <si>
    <t>X14638</t>
  </si>
  <si>
    <t>Saenger</t>
  </si>
  <si>
    <t>J02049</t>
  </si>
  <si>
    <t>ccrna1-fast</t>
  </si>
  <si>
    <t>M20731</t>
  </si>
  <si>
    <t>Keese</t>
  </si>
  <si>
    <t>X07397</t>
  </si>
  <si>
    <t>X52960</t>
  </si>
  <si>
    <t>Spieker</t>
  </si>
  <si>
    <t>X95365</t>
  </si>
  <si>
    <t>RL</t>
  </si>
  <si>
    <t>X95290</t>
  </si>
  <si>
    <t>FR</t>
  </si>
  <si>
    <t>X06719</t>
  </si>
  <si>
    <t>citrus 2</t>
  </si>
  <si>
    <t>V01107</t>
  </si>
  <si>
    <t>Haseloff</t>
  </si>
  <si>
    <t>J02053</t>
  </si>
  <si>
    <t>Gross</t>
  </si>
  <si>
    <t>X15663</t>
  </si>
  <si>
    <t>X95734</t>
  </si>
  <si>
    <t>FJ409044</t>
  </si>
  <si>
    <t>Verhoeven</t>
  </si>
  <si>
    <t>V01465</t>
  </si>
  <si>
    <t>K00818</t>
  </si>
  <si>
    <t>Kiefer</t>
  </si>
  <si>
    <t>AF162131</t>
  </si>
  <si>
    <t>Singh</t>
  </si>
  <si>
    <t>K00817</t>
  </si>
  <si>
    <t>AY994084</t>
  </si>
  <si>
    <t>Arkansas 3</t>
  </si>
  <si>
    <t>UK-F</t>
  </si>
  <si>
    <t>China: Yancheng</t>
  </si>
  <si>
    <t>UK Cranbrook</t>
  </si>
  <si>
    <t>GQ329864</t>
  </si>
  <si>
    <t>Kiabakan</t>
  </si>
  <si>
    <t>AY578085</t>
  </si>
  <si>
    <t>ALM32</t>
  </si>
  <si>
    <t>EU259611</t>
  </si>
  <si>
    <t xml:space="preserve">Florida </t>
  </si>
  <si>
    <t>Z73124</t>
  </si>
  <si>
    <t>Colinet</t>
  </si>
  <si>
    <t>HE600072</t>
  </si>
  <si>
    <t xml:space="preserve">Ethiopia </t>
  </si>
  <si>
    <t>FJ039520</t>
  </si>
  <si>
    <t xml:space="preserve">MLB3 </t>
  </si>
  <si>
    <t>AB710145</t>
  </si>
  <si>
    <t xml:space="preserve">PES3 </t>
  </si>
  <si>
    <t>Caladenia virus A</t>
  </si>
  <si>
    <t>KP1</t>
  </si>
  <si>
    <t>GQ388116</t>
  </si>
  <si>
    <t xml:space="preserve">PAK </t>
  </si>
  <si>
    <t>FJ263671</t>
  </si>
  <si>
    <t xml:space="preserve">U06-123 </t>
  </si>
  <si>
    <t>EU410442</t>
  </si>
  <si>
    <t xml:space="preserve">H4 </t>
  </si>
  <si>
    <t>HM363516</t>
  </si>
  <si>
    <t xml:space="preserve">Ce </t>
  </si>
  <si>
    <t>DQ925486</t>
  </si>
  <si>
    <t xml:space="preserve">C-17 </t>
  </si>
  <si>
    <t>KJ830760</t>
  </si>
  <si>
    <t xml:space="preserve">DSMZ PV-0954 </t>
  </si>
  <si>
    <t>DQ851496</t>
  </si>
  <si>
    <t>DQ851494</t>
  </si>
  <si>
    <t>Vietnam Haiphong</t>
  </si>
  <si>
    <t>AY138897</t>
  </si>
  <si>
    <t>Washington</t>
  </si>
  <si>
    <t>U34972</t>
  </si>
  <si>
    <t>U47033</t>
  </si>
  <si>
    <t>AY206394</t>
  </si>
  <si>
    <t>Wa</t>
  </si>
  <si>
    <t xml:space="preserve">SP01 </t>
  </si>
  <si>
    <t>EU250210</t>
  </si>
  <si>
    <t xml:space="preserve">B12 </t>
  </si>
  <si>
    <t>JN052072</t>
  </si>
  <si>
    <t>JX867236</t>
  </si>
  <si>
    <t xml:space="preserve">Korea-DJ </t>
  </si>
  <si>
    <t>AB551370</t>
  </si>
  <si>
    <t>BR-Campinas</t>
  </si>
  <si>
    <t xml:space="preserve">m19 </t>
  </si>
  <si>
    <t>GQ421689</t>
  </si>
  <si>
    <t>JX156434</t>
  </si>
  <si>
    <t xml:space="preserve">CTLV-Cs </t>
  </si>
  <si>
    <t>Catharanthus mosaic virus</t>
  </si>
  <si>
    <t>Welwitchia</t>
  </si>
  <si>
    <t>HQ676607</t>
  </si>
  <si>
    <t>JN008909</t>
  </si>
  <si>
    <t xml:space="preserve">HN/14 </t>
  </si>
  <si>
    <t>AJ237843</t>
  </si>
  <si>
    <t>India pepper vein banding virus</t>
  </si>
  <si>
    <t>AB011819</t>
  </si>
  <si>
    <t>AF499738</t>
  </si>
  <si>
    <t>Goetz &amp; Maiss</t>
  </si>
  <si>
    <t>JQ801448</t>
  </si>
  <si>
    <t>AF348210</t>
  </si>
  <si>
    <t>Zimbabwe</t>
  </si>
  <si>
    <t xml:space="preserve">Marijiniup 7 </t>
  </si>
  <si>
    <t>DQ299908</t>
  </si>
  <si>
    <t>Czech Republic</t>
  </si>
  <si>
    <t>AJ298033</t>
  </si>
  <si>
    <t>China M13</t>
  </si>
  <si>
    <t>Donkey orchid virus A</t>
  </si>
  <si>
    <t>AB246773</t>
  </si>
  <si>
    <t xml:space="preserve">AO </t>
  </si>
  <si>
    <t>FM206346</t>
  </si>
  <si>
    <t>AM039800</t>
  </si>
  <si>
    <t>China Pan'an</t>
  </si>
  <si>
    <t>EF427894</t>
  </si>
  <si>
    <t xml:space="preserve">CB </t>
  </si>
  <si>
    <t xml:space="preserve">Ha-1 </t>
  </si>
  <si>
    <t>HQ161081</t>
  </si>
  <si>
    <t>JQ395040</t>
  </si>
  <si>
    <t xml:space="preserve">Marijiniup 1 </t>
  </si>
  <si>
    <t>AB016500</t>
  </si>
  <si>
    <t>Z26920</t>
  </si>
  <si>
    <t>Gough &amp; Shukla</t>
  </si>
  <si>
    <t xml:space="preserve">Cheongwon </t>
  </si>
  <si>
    <t>AB219545</t>
  </si>
  <si>
    <t xml:space="preserve">KoMV-F </t>
  </si>
  <si>
    <t>AJ307057</t>
  </si>
  <si>
    <t>China Yuhang</t>
  </si>
  <si>
    <t>X97704</t>
  </si>
  <si>
    <t>AJ564636</t>
  </si>
  <si>
    <t>Sorbonne</t>
  </si>
  <si>
    <t xml:space="preserve">LU2 </t>
  </si>
  <si>
    <t>AJ001691</t>
  </si>
  <si>
    <t>Bulgaria</t>
  </si>
  <si>
    <t>EF579955</t>
  </si>
  <si>
    <t xml:space="preserve">TN05-76 </t>
  </si>
  <si>
    <t>AM182028</t>
  </si>
  <si>
    <t>Zhangzhou</t>
  </si>
  <si>
    <t>JQ326210</t>
  </si>
  <si>
    <t xml:space="preserve">China:Fujian, Zhangzhou </t>
  </si>
  <si>
    <t>AM158908</t>
  </si>
  <si>
    <t>AJ510223</t>
  </si>
  <si>
    <t>JQ807995</t>
  </si>
  <si>
    <t>China 2</t>
  </si>
  <si>
    <t>AB088221</t>
  </si>
  <si>
    <t>P</t>
  </si>
  <si>
    <t>AY010722</t>
  </si>
  <si>
    <t>Thailand W</t>
  </si>
  <si>
    <t>HQ122652</t>
  </si>
  <si>
    <t xml:space="preserve">Australia MU2 </t>
  </si>
  <si>
    <t>D10930</t>
  </si>
  <si>
    <t>DPD1</t>
  </si>
  <si>
    <t>AF023848</t>
  </si>
  <si>
    <t>M</t>
  </si>
  <si>
    <t>AY642590</t>
  </si>
  <si>
    <t>China B</t>
  </si>
  <si>
    <t>AF501591</t>
  </si>
  <si>
    <t>AM181350</t>
  </si>
  <si>
    <t>DQ645484</t>
  </si>
  <si>
    <t>AB541985</t>
  </si>
  <si>
    <t>strain DF, isolate Pi-15</t>
  </si>
  <si>
    <t>AJ516010</t>
  </si>
  <si>
    <t>PPK11</t>
  </si>
  <si>
    <t>X16415</t>
  </si>
  <si>
    <t>JQ609095</t>
  </si>
  <si>
    <t xml:space="preserve">USA PA </t>
  </si>
  <si>
    <t>AF543212</t>
  </si>
  <si>
    <t>Ui</t>
  </si>
  <si>
    <t>AJ243766</t>
  </si>
  <si>
    <t>DV42</t>
  </si>
  <si>
    <t>X12456</t>
  </si>
  <si>
    <t>French N</t>
  </si>
  <si>
    <t>AJ316084</t>
  </si>
  <si>
    <t>China Hangzhou</t>
  </si>
  <si>
    <t>AJ865076</t>
  </si>
  <si>
    <t>China ZQ2</t>
  </si>
  <si>
    <t>AJ310197</t>
  </si>
  <si>
    <t>China XS</t>
  </si>
  <si>
    <t>D00507</t>
  </si>
  <si>
    <t>N</t>
  </si>
  <si>
    <t>AJ297628</t>
  </si>
  <si>
    <t>China HZ</t>
  </si>
  <si>
    <t>GU181199</t>
  </si>
  <si>
    <t xml:space="preserve">Common (C) </t>
  </si>
  <si>
    <t>Sunflower mild mosaic virus</t>
  </si>
  <si>
    <t>Entre Rios</t>
  </si>
  <si>
    <t>D86371</t>
  </si>
  <si>
    <t>KC443039</t>
  </si>
  <si>
    <t>JN613807</t>
  </si>
  <si>
    <t xml:space="preserve">GWB-2 </t>
  </si>
  <si>
    <t>AB509453</t>
  </si>
  <si>
    <t>Bungo</t>
  </si>
  <si>
    <t>JN613805</t>
  </si>
  <si>
    <t xml:space="preserve">GWB-G </t>
  </si>
  <si>
    <t>Tamarillo leaf malformation virus</t>
  </si>
  <si>
    <t>DQ851493</t>
  </si>
  <si>
    <t>Vietnam Hanoi</t>
  </si>
  <si>
    <t>AJ851866</t>
  </si>
  <si>
    <t>China Ningbo</t>
  </si>
  <si>
    <t>M11458</t>
  </si>
  <si>
    <t>HAT</t>
  </si>
  <si>
    <t>EF219408</t>
  </si>
  <si>
    <t xml:space="preserve">China YND </t>
  </si>
  <si>
    <t>X04083</t>
  </si>
  <si>
    <t xml:space="preserve">MX9354 </t>
  </si>
  <si>
    <t>AF169561</t>
  </si>
  <si>
    <t>UK1</t>
  </si>
  <si>
    <t>Vanilla distortion mosaic virus</t>
  </si>
  <si>
    <t>VDMV-Cor</t>
  </si>
  <si>
    <t xml:space="preserve">Michigan </t>
  </si>
  <si>
    <t>AY437609</t>
  </si>
  <si>
    <t>AJ437279</t>
  </si>
  <si>
    <t>DQ851495</t>
  </si>
  <si>
    <t>Vietnam Laichau</t>
  </si>
  <si>
    <t>AY656816</t>
  </si>
  <si>
    <t>China Beijing</t>
  </si>
  <si>
    <t>JX470965</t>
  </si>
  <si>
    <t>U42596</t>
  </si>
  <si>
    <t>Ivory Coast</t>
  </si>
  <si>
    <t>JN190431</t>
  </si>
  <si>
    <t>Peru SR</t>
  </si>
  <si>
    <t>AY626825</t>
  </si>
  <si>
    <t>TW</t>
  </si>
  <si>
    <t>JQ692088</t>
  </si>
  <si>
    <t xml:space="preserve">Shz </t>
  </si>
  <si>
    <t xml:space="preserve">Q10 </t>
  </si>
  <si>
    <t>AJ307036</t>
  </si>
  <si>
    <t>Hangzhou CU</t>
  </si>
  <si>
    <t>AY623626</t>
  </si>
  <si>
    <t>ND402</t>
  </si>
  <si>
    <t>AY623627</t>
  </si>
  <si>
    <t>ATCC PV81</t>
  </si>
  <si>
    <t>Y09854</t>
  </si>
  <si>
    <t>Z48506</t>
  </si>
  <si>
    <t>AY377938</t>
  </si>
  <si>
    <t>Type-NE</t>
  </si>
  <si>
    <t xml:space="preserve">Benesov </t>
  </si>
  <si>
    <t>EF608612</t>
  </si>
  <si>
    <t xml:space="preserve">Iran </t>
  </si>
  <si>
    <t>AF057533</t>
  </si>
  <si>
    <t>Sidney 81</t>
  </si>
  <si>
    <t>KF984546</t>
  </si>
  <si>
    <t xml:space="preserve">Sb </t>
  </si>
  <si>
    <t>JF280796</t>
  </si>
  <si>
    <t xml:space="preserve">Minnesota </t>
  </si>
  <si>
    <t>AF050215</t>
  </si>
  <si>
    <t>hOG759</t>
  </si>
  <si>
    <t>AF065434</t>
  </si>
  <si>
    <t>SC5314</t>
  </si>
  <si>
    <t>U19263</t>
  </si>
  <si>
    <t>Zou</t>
  </si>
  <si>
    <t>U90320</t>
  </si>
  <si>
    <t>UTEX 1885 (HK10)</t>
  </si>
  <si>
    <t>X69552</t>
  </si>
  <si>
    <t>Lindauer</t>
  </si>
  <si>
    <t>Y08010</t>
  </si>
  <si>
    <t>Herve</t>
  </si>
  <si>
    <t>AB021265</t>
  </si>
  <si>
    <t>Kuwahara</t>
  </si>
  <si>
    <t>AF039373</t>
  </si>
  <si>
    <t>Henikoff</t>
  </si>
  <si>
    <t>X13291</t>
  </si>
  <si>
    <t>Voytas</t>
  </si>
  <si>
    <t>Y12321</t>
  </si>
  <si>
    <t>Pastuglia</t>
  </si>
  <si>
    <t>U96748</t>
  </si>
  <si>
    <t>Bhattacharyya</t>
  </si>
  <si>
    <t>Z17327</t>
  </si>
  <si>
    <t>NK 1558</t>
  </si>
  <si>
    <t>X13777</t>
  </si>
  <si>
    <t>Rouze</t>
  </si>
  <si>
    <t>D83003</t>
  </si>
  <si>
    <t>Hirochika</t>
  </si>
  <si>
    <t>D85597</t>
  </si>
  <si>
    <t>Ohtsubo</t>
  </si>
  <si>
    <t>U72726</t>
  </si>
  <si>
    <t>IRBB21</t>
  </si>
  <si>
    <t>M18706</t>
  </si>
  <si>
    <t>Boeke</t>
  </si>
  <si>
    <t>X03840</t>
  </si>
  <si>
    <t>Warmington</t>
  </si>
  <si>
    <t>M94164</t>
  </si>
  <si>
    <t>C836</t>
  </si>
  <si>
    <t>X52387</t>
  </si>
  <si>
    <t>Brisson</t>
  </si>
  <si>
    <t>U12626</t>
  </si>
  <si>
    <t>White</t>
  </si>
  <si>
    <t>AF082133</t>
  </si>
  <si>
    <t>Marillonnet</t>
  </si>
  <si>
    <t>AY016208</t>
  </si>
  <si>
    <t>Peterson-Burch</t>
  </si>
  <si>
    <t>U68072</t>
  </si>
  <si>
    <t>Daraselia</t>
  </si>
  <si>
    <t>U68408</t>
  </si>
  <si>
    <t>SanMiguel</t>
  </si>
  <si>
    <t>U41000</t>
  </si>
  <si>
    <t>Turcich</t>
  </si>
  <si>
    <t>AJ005762</t>
  </si>
  <si>
    <t>Bachmair</t>
  </si>
  <si>
    <t xml:space="preserve">W1075 </t>
  </si>
  <si>
    <t xml:space="preserve">Netherlands </t>
  </si>
  <si>
    <t>Thailand</t>
  </si>
  <si>
    <t>Asamizu</t>
  </si>
  <si>
    <t>McQualter</t>
  </si>
  <si>
    <t>Argentina</t>
  </si>
  <si>
    <t>Izumo</t>
  </si>
  <si>
    <t>Uyeda</t>
  </si>
  <si>
    <t>China:Zhejiang</t>
  </si>
  <si>
    <t>Southern rice black-streaked dwarf virus</t>
  </si>
  <si>
    <t>SRBSDV/HN</t>
  </si>
  <si>
    <t>Suzuki</t>
  </si>
  <si>
    <t>Piscine orthoreovirus</t>
  </si>
  <si>
    <t>MH050607</t>
  </si>
  <si>
    <t>Sarthroviridae</t>
  </si>
  <si>
    <t>Macronovirus</t>
  </si>
  <si>
    <t>Macrobrachium satellite virus 1</t>
  </si>
  <si>
    <t>AY247793</t>
  </si>
  <si>
    <t>extra small virus</t>
  </si>
  <si>
    <t>Thermus virus IN93</t>
  </si>
  <si>
    <t>Thermus virus P23-77</t>
  </si>
  <si>
    <t>HE681887</t>
  </si>
  <si>
    <t>Bacillus virus AP50</t>
  </si>
  <si>
    <t>Bacillus virus Bam35</t>
  </si>
  <si>
    <t>Salmonella virus PRD1</t>
  </si>
  <si>
    <t>Thermus virus P37-14</t>
  </si>
  <si>
    <t>Alicyclobacillus virus NS11</t>
  </si>
  <si>
    <t>Alphacarmovirus</t>
  </si>
  <si>
    <t>DQ219415</t>
  </si>
  <si>
    <t>GQ244431</t>
  </si>
  <si>
    <t>AF192772</t>
  </si>
  <si>
    <t>Shanghai</t>
  </si>
  <si>
    <t>HQ677625</t>
  </si>
  <si>
    <t>EF207438</t>
  </si>
  <si>
    <t xml:space="preserve">Alaska </t>
  </si>
  <si>
    <t>AJ514833</t>
  </si>
  <si>
    <t>MZ10</t>
  </si>
  <si>
    <t>U72332</t>
  </si>
  <si>
    <t>Xiong</t>
  </si>
  <si>
    <t>X85989</t>
  </si>
  <si>
    <t>citrus</t>
  </si>
  <si>
    <t>AY616760</t>
  </si>
  <si>
    <t>GP</t>
  </si>
  <si>
    <t>M33002</t>
  </si>
  <si>
    <t>FM-1B</t>
  </si>
  <si>
    <t>DQ227315</t>
  </si>
  <si>
    <t xml:space="preserve">Israel </t>
  </si>
  <si>
    <t>AJ557804</t>
  </si>
  <si>
    <t>Iran</t>
  </si>
  <si>
    <t>EF589670</t>
  </si>
  <si>
    <t>AJ243370</t>
  </si>
  <si>
    <t>pigeonpea</t>
  </si>
  <si>
    <t>Yam spherical virus</t>
  </si>
  <si>
    <t>Nigerian isolate</t>
  </si>
  <si>
    <t>X83964</t>
  </si>
  <si>
    <t>Boonham</t>
  </si>
  <si>
    <t>Betacarmovirus</t>
  </si>
  <si>
    <t>L16015</t>
  </si>
  <si>
    <t>CL</t>
  </si>
  <si>
    <t>X86448</t>
  </si>
  <si>
    <t>D86123</t>
  </si>
  <si>
    <t>Takemoto</t>
  </si>
  <si>
    <t>M22445</t>
  </si>
  <si>
    <t>Carrington</t>
  </si>
  <si>
    <t>AF452884</t>
  </si>
  <si>
    <t>Cao</t>
  </si>
  <si>
    <t>X94560</t>
  </si>
  <si>
    <t>Lot</t>
  </si>
  <si>
    <t>U62546</t>
  </si>
  <si>
    <t>Kendall</t>
  </si>
  <si>
    <t>Y13463</t>
  </si>
  <si>
    <t>Ciuffreda</t>
  </si>
  <si>
    <t>Gammacarmovirus</t>
  </si>
  <si>
    <t>U20976</t>
  </si>
  <si>
    <t>You</t>
  </si>
  <si>
    <t>M29671</t>
  </si>
  <si>
    <t>Riviere</t>
  </si>
  <si>
    <t>AB086951</t>
  </si>
  <si>
    <t>FJ457015</t>
  </si>
  <si>
    <t xml:space="preserve">South Korea </t>
  </si>
  <si>
    <t>FJ768020</t>
  </si>
  <si>
    <t xml:space="preserve">Cauca </t>
  </si>
  <si>
    <t>X14736</t>
  </si>
  <si>
    <t>Nutter</t>
  </si>
  <si>
    <t>EU081018</t>
  </si>
  <si>
    <t xml:space="preserve">Scotland </t>
  </si>
  <si>
    <t>U55002</t>
  </si>
  <si>
    <t>USA:Kansas</t>
  </si>
  <si>
    <t xml:space="preserve">05TGP00369 </t>
  </si>
  <si>
    <t>Pelarspovirus</t>
  </si>
  <si>
    <t>ATCC:PV522</t>
  </si>
  <si>
    <t>GR57</t>
  </si>
  <si>
    <t>AY613852</t>
  </si>
  <si>
    <t>PV-0193</t>
  </si>
  <si>
    <t xml:space="preserve">DSMZ-PV0304 </t>
  </si>
  <si>
    <t xml:space="preserve">MN-3 </t>
  </si>
  <si>
    <t>X62493</t>
  </si>
  <si>
    <t>X85215</t>
  </si>
  <si>
    <t>Rubino</t>
  </si>
  <si>
    <t>AY163842</t>
  </si>
  <si>
    <t>M25270</t>
  </si>
  <si>
    <t>Rochon</t>
  </si>
  <si>
    <t>X15511</t>
  </si>
  <si>
    <t>JQ864181</t>
  </si>
  <si>
    <t xml:space="preserve">Israeli </t>
  </si>
  <si>
    <t>AY830918</t>
  </si>
  <si>
    <t>nipplefruit</t>
  </si>
  <si>
    <t>JX182425</t>
  </si>
  <si>
    <t xml:space="preserve">MPV-EM81 </t>
  </si>
  <si>
    <t>AJ607402</t>
  </si>
  <si>
    <t>Heinze</t>
  </si>
  <si>
    <t>M21958</t>
  </si>
  <si>
    <t>U57305</t>
  </si>
  <si>
    <t>FJ188473</t>
  </si>
  <si>
    <t xml:space="preserve">Weddel </t>
  </si>
  <si>
    <t>Z69910</t>
  </si>
  <si>
    <t>MC1</t>
  </si>
  <si>
    <t>AF402620</t>
  </si>
  <si>
    <t>Baoshan</t>
  </si>
  <si>
    <t>AF266518</t>
  </si>
  <si>
    <t>Louie</t>
  </si>
  <si>
    <t>L13218</t>
  </si>
  <si>
    <t>Wang</t>
  </si>
  <si>
    <t>M92355</t>
  </si>
  <si>
    <t>U32108</t>
  </si>
  <si>
    <t>J04692</t>
  </si>
  <si>
    <t>Icho</t>
  </si>
  <si>
    <t>U01060</t>
  </si>
  <si>
    <t>Bruenn</t>
  </si>
  <si>
    <t>KC610514</t>
  </si>
  <si>
    <t xml:space="preserve">NRRL Y-11571 </t>
  </si>
  <si>
    <t>HQ158596</t>
  </si>
  <si>
    <t xml:space="preserve">Buekk </t>
  </si>
  <si>
    <t>U01059</t>
  </si>
  <si>
    <t>P1H1</t>
  </si>
  <si>
    <t>JN997472</t>
  </si>
  <si>
    <t>Baeza</t>
  </si>
  <si>
    <t>JN997473</t>
  </si>
  <si>
    <t>U08999</t>
  </si>
  <si>
    <t>AF127178</t>
  </si>
  <si>
    <t>Bessarab</t>
  </si>
  <si>
    <t>AF325840</t>
  </si>
  <si>
    <t>HQ607520</t>
  </si>
  <si>
    <t xml:space="preserve">TVV4-OC3 </t>
  </si>
  <si>
    <t>HE588147</t>
  </si>
  <si>
    <t>Coutts</t>
  </si>
  <si>
    <t>HE572591</t>
  </si>
  <si>
    <t xml:space="preserve">Bb06/02 </t>
  </si>
  <si>
    <t>AY561500</t>
  </si>
  <si>
    <t>Park</t>
  </si>
  <si>
    <t>AF527633</t>
  </si>
  <si>
    <t>Cheng</t>
  </si>
  <si>
    <t>AM261427</t>
  </si>
  <si>
    <t xml:space="preserve">P23 </t>
  </si>
  <si>
    <t>AF337175</t>
  </si>
  <si>
    <t>type A, HR2</t>
  </si>
  <si>
    <t>AB085814</t>
  </si>
  <si>
    <t>U41345</t>
  </si>
  <si>
    <t>AB176964</t>
  </si>
  <si>
    <t>Yokoi</t>
  </si>
  <si>
    <t>AB300379</t>
  </si>
  <si>
    <t>Namba</t>
  </si>
  <si>
    <t>AB742454</t>
  </si>
  <si>
    <t xml:space="preserve">W1029 </t>
  </si>
  <si>
    <t>AF038665</t>
  </si>
  <si>
    <t>Preisig</t>
  </si>
  <si>
    <t>AF039080</t>
  </si>
  <si>
    <t>FR750562</t>
  </si>
  <si>
    <t xml:space="preserve">Spain:Castilla y Leon </t>
  </si>
  <si>
    <t>AY569307</t>
  </si>
  <si>
    <t>GU080336</t>
  </si>
  <si>
    <t>Albetovirus</t>
  </si>
  <si>
    <t>Tobacco albetovirus 1</t>
  </si>
  <si>
    <t>V01468</t>
  </si>
  <si>
    <t>satellite tobacco necrosis virus 1</t>
  </si>
  <si>
    <t>Tobacco albetovirus 2</t>
  </si>
  <si>
    <t>M64479</t>
  </si>
  <si>
    <t>satellite tobacco necrosis virus 2</t>
  </si>
  <si>
    <t>Tobacco albetovirus 3</t>
  </si>
  <si>
    <t>AJ000898</t>
  </si>
  <si>
    <t xml:space="preserve">satellite tobacco necrosis virus C </t>
  </si>
  <si>
    <t>Aumaivirus</t>
  </si>
  <si>
    <t>Maize aumaivirus 1</t>
  </si>
  <si>
    <t>M55012</t>
  </si>
  <si>
    <t>satellite maize white line mosaic virus</t>
  </si>
  <si>
    <t>Botybirnavirus</t>
  </si>
  <si>
    <t>Botrytis porri botybirnavirus 1</t>
  </si>
  <si>
    <t>JF716350, JF716351</t>
  </si>
  <si>
    <t>GarlicBc-72</t>
  </si>
  <si>
    <t xml:space="preserve">Cordeiropolis </t>
  </si>
  <si>
    <t>Mielke</t>
  </si>
  <si>
    <t xml:space="preserve">Gr10 </t>
  </si>
  <si>
    <t xml:space="preserve">India:Patancheru, Andhra </t>
  </si>
  <si>
    <t xml:space="preserve">United Kingdom:Tayside </t>
  </si>
  <si>
    <t xml:space="preserve">USA:Arkansas </t>
  </si>
  <si>
    <t xml:space="preserve">WAI 1-1 </t>
  </si>
  <si>
    <t>R15</t>
  </si>
  <si>
    <t xml:space="preserve">IC </t>
  </si>
  <si>
    <t xml:space="preserve">VE450 </t>
  </si>
  <si>
    <t xml:space="preserve">VE9 </t>
  </si>
  <si>
    <t>Papanivirus</t>
  </si>
  <si>
    <t>Panicum papanivirus 1</t>
  </si>
  <si>
    <t>M17182</t>
  </si>
  <si>
    <t>satellite panicum mosaic virus</t>
  </si>
  <si>
    <t>AJ867490</t>
  </si>
  <si>
    <t>AF191796</t>
  </si>
  <si>
    <t>Sinaivirus</t>
  </si>
  <si>
    <t>Lake Sinai virus 1</t>
  </si>
  <si>
    <t>HQ871931</t>
  </si>
  <si>
    <t>Lake Sinai virus 2</t>
  </si>
  <si>
    <t>HQ888865</t>
  </si>
  <si>
    <t>Artemisia virus A</t>
  </si>
  <si>
    <t>Switzerland</t>
  </si>
  <si>
    <t>L40905</t>
  </si>
  <si>
    <t>Russia</t>
  </si>
  <si>
    <t>Cymbidium chlorotic mosaic virus</t>
  </si>
  <si>
    <t>Cym92-20</t>
  </si>
  <si>
    <t>AM990928</t>
  </si>
  <si>
    <t xml:space="preserve">Burkina Faso:South West Burkina Faso </t>
  </si>
  <si>
    <t>U31286</t>
  </si>
  <si>
    <t>New Zealand</t>
  </si>
  <si>
    <t>Papaya lethal yellowing virus</t>
  </si>
  <si>
    <t>L20893</t>
  </si>
  <si>
    <t>Rottboellia yellow mottle virus</t>
  </si>
  <si>
    <t>Nigeria</t>
  </si>
  <si>
    <t>AB040446</t>
  </si>
  <si>
    <t>AY004291</t>
  </si>
  <si>
    <t>Lokesh</t>
  </si>
  <si>
    <t>AF055887</t>
  </si>
  <si>
    <t>bean strain B</t>
  </si>
  <si>
    <t>M23021</t>
  </si>
  <si>
    <t>Wu</t>
  </si>
  <si>
    <t>AM940437</t>
  </si>
  <si>
    <t xml:space="preserve">United Kingdom:Scotland, Tayside </t>
  </si>
  <si>
    <t>Soybean yellow common mosaic virus</t>
  </si>
  <si>
    <t>AF208001</t>
  </si>
  <si>
    <t>p23</t>
  </si>
  <si>
    <t>AY177608</t>
  </si>
  <si>
    <t>Callaway</t>
  </si>
  <si>
    <t>HM754263</t>
  </si>
  <si>
    <t xml:space="preserve">K1 </t>
  </si>
  <si>
    <t>de Miranda</t>
  </si>
  <si>
    <t>Heydarnejad</t>
  </si>
  <si>
    <t>Huiet</t>
  </si>
  <si>
    <t>IRRI</t>
  </si>
  <si>
    <t>T</t>
  </si>
  <si>
    <t>Virtovirus</t>
  </si>
  <si>
    <t>Tobacco virtovirus 1</t>
  </si>
  <si>
    <t>M25782</t>
  </si>
  <si>
    <t>satellite tobacco mosaic virus</t>
  </si>
  <si>
    <t>China:Yantai</t>
  </si>
  <si>
    <t>JT</t>
  </si>
  <si>
    <t>United Kingdom</t>
  </si>
  <si>
    <t>France</t>
  </si>
  <si>
    <t>1988 wild-type</t>
  </si>
  <si>
    <t>Shirako</t>
  </si>
  <si>
    <t>Goravirus</t>
  </si>
  <si>
    <t>Drakaea virus A</t>
  </si>
  <si>
    <t>Canning Mills</t>
  </si>
  <si>
    <t>Gentian ovary ringspot virus</t>
  </si>
  <si>
    <t>Type</t>
  </si>
  <si>
    <t>RNA2: Z46351</t>
  </si>
  <si>
    <t>RNA2: M81486</t>
  </si>
  <si>
    <t>Agranovsky</t>
  </si>
  <si>
    <t>Hyderabad</t>
  </si>
  <si>
    <t>87/TGTA2</t>
  </si>
  <si>
    <t>Ahlum</t>
  </si>
  <si>
    <t>Sw</t>
  </si>
  <si>
    <t>DQ355023</t>
  </si>
  <si>
    <t>AM398436</t>
  </si>
  <si>
    <t>EU043335</t>
  </si>
  <si>
    <t xml:space="preserve">CMMoV-Kr </t>
  </si>
  <si>
    <t>JN566124</t>
  </si>
  <si>
    <t xml:space="preserve">Larrimah </t>
  </si>
  <si>
    <t>AF321057</t>
  </si>
  <si>
    <t>D12505</t>
  </si>
  <si>
    <t>SH</t>
  </si>
  <si>
    <t>AB261167</t>
  </si>
  <si>
    <t>Kubota</t>
  </si>
  <si>
    <t>HM026454</t>
  </si>
  <si>
    <t xml:space="preserve">P </t>
  </si>
  <si>
    <t>AB917427</t>
  </si>
  <si>
    <t>AF395898</t>
  </si>
  <si>
    <t xml:space="preserve">Singapore </t>
  </si>
  <si>
    <t>AJ295948</t>
  </si>
  <si>
    <t>DQ356949</t>
  </si>
  <si>
    <t>D13438</t>
  </si>
  <si>
    <t>TMV-Ob</t>
  </si>
  <si>
    <t>X82130</t>
  </si>
  <si>
    <t>ORSV</t>
  </si>
  <si>
    <t>AB089381</t>
  </si>
  <si>
    <t>HQ389540</t>
  </si>
  <si>
    <t>M81413</t>
  </si>
  <si>
    <t>JF729471</t>
  </si>
  <si>
    <t>EF375551</t>
  </si>
  <si>
    <t xml:space="preserve">Henan </t>
  </si>
  <si>
    <t>HQ667979</t>
  </si>
  <si>
    <t>AM040955</t>
  </si>
  <si>
    <t>Willingmann</t>
  </si>
  <si>
    <t>M34077</t>
  </si>
  <si>
    <t>Solis</t>
  </si>
  <si>
    <t>V01408</t>
  </si>
  <si>
    <t>variant 1</t>
  </si>
  <si>
    <t>AF332868</t>
  </si>
  <si>
    <t>Queensland</t>
  </si>
  <si>
    <t xml:space="preserve">MX5 </t>
  </si>
  <si>
    <t>U03387</t>
  </si>
  <si>
    <t>TuVCV-OSU</t>
  </si>
  <si>
    <t>AB017503</t>
  </si>
  <si>
    <t>Shizua</t>
  </si>
  <si>
    <t xml:space="preserve">Cervantes </t>
  </si>
  <si>
    <t>U30944</t>
  </si>
  <si>
    <t>OSRMV</t>
  </si>
  <si>
    <t>AJ295949</t>
  </si>
  <si>
    <t>Type strain K</t>
  </si>
  <si>
    <t>SP5</t>
  </si>
  <si>
    <t>CAM</t>
  </si>
  <si>
    <t>Taï Forest ebolavirus</t>
  </si>
  <si>
    <t>DeBrazza’s monkey arterivirus</t>
  </si>
  <si>
    <t>Nsé virus</t>
  </si>
  <si>
    <t>Méno virus</t>
  </si>
  <si>
    <t>5317015</t>
  </si>
  <si>
    <t>Kalanchoë latent virus</t>
  </si>
  <si>
    <t>38E23</t>
  </si>
  <si>
    <t>Amaparí mammarenavirus</t>
  </si>
  <si>
    <t>Junín mammarenavirus</t>
  </si>
  <si>
    <t>Paraná mammarenavirus</t>
  </si>
  <si>
    <t>Pichindé mammarenavirus</t>
  </si>
  <si>
    <t>Sabiá mammarenavirus</t>
  </si>
  <si>
    <t>1</t>
  </si>
  <si>
    <t>425</t>
  </si>
  <si>
    <t>Andes virus (ANDV), Bermejo virus (BMJV), Lechiguanas virus (LECV), Maciel virus (MCLV), Orán virus (ORNV), Pergamino virus (PRGV), Tunari virus (TUNV)</t>
  </si>
  <si>
    <t>Caño Delgadito virus (CADV)</t>
  </si>
  <si>
    <t>Anopheles A virus (ANAV), Arumateua virus (ARTV), Caraipé virus (CPEV), Las Maloyas virus (LMV), Lukuni virus (LUKV), Trombetas virus (TRMV), Tucuruí virus (TUC(R)V)</t>
  </si>
  <si>
    <t>Anopheles B virus (ANBV), Boracéia virus (BORV)</t>
  </si>
  <si>
    <t>California encephalitis virus (CEV), Inkoo virus (INKV), Jamestown Canyon virus (JCV), Jerry Slough virus (JSV), Keystone virus (KEYV), Khatanga virus (KHATV), La Crosse virus (LACV), Lumbo virus (LUMV), Melao virus (MELV), Morro Bay virus (MBV), San Angelo virus (SAV), Serra do Navio virus (SDNV), snowshoe hare virus (SSHV), South River virus (SORV), Tahyña virus (TAHV), Trivittatus virus (TVTV)</t>
  </si>
  <si>
    <t>Apeú virus (APEUV), Bruconha virus (BRUV), Caraparú virus (CARV), Itaya virus, Ossa virus (OSSAV), Vinces virus (VINV)</t>
  </si>
  <si>
    <t>Catú virus (CATUV)</t>
  </si>
  <si>
    <t>Guajará virus (GJAV)</t>
  </si>
  <si>
    <t>Ananindeua virus (ANUV), Guamá virus (GMAV), Mahogany Hammock virus (MHV), Moju virus (MOJUV)</t>
  </si>
  <si>
    <t>Gumbo Limbo virus (GLV), Marituba virus (MTBV), Murutucú virus (MURV), Nepuyo virus (NEPV), Restan virus (RESV), Zungarococha virus (ZUNV)</t>
  </si>
  <si>
    <t>M’Poko virus (MPOV), Yaba-1 virus (Y1V)</t>
  </si>
  <si>
    <t>Itaquí virus (ITQV), Oriboca virus (ORIV)</t>
  </si>
  <si>
    <t>Facey’s Paddock virus (FPV), Iquitos virus (IQTV), Madre de Dios virus (MDDV), Oropouche virus (OROV), Perdões virus, Pintupo virus, Utinga virus (UTIV), Utive virus (UVV/UTVEV)</t>
  </si>
  <si>
    <t>Alenquer virus (ALEV), Ariquemes virus (ARQV), Candiru virus (CDUV), Itaituba virus (ITAV), Jacunda virus (JCNV), Maldonado virus (MLOV), Morumbi virus (MR(M), BV), Mucura virus (MCRV/MRAV), Nique virus (NIQV), Oriximiná virus (ORXV), Serra Norte virus (SRNV), Turuna virus (TUAV)</t>
  </si>
  <si>
    <t>Kalanchoë top-spotting virus</t>
  </si>
  <si>
    <t>1050</t>
  </si>
  <si>
    <t>92</t>
  </si>
  <si>
    <t>5166</t>
  </si>
  <si>
    <t>717</t>
  </si>
  <si>
    <t>247</t>
  </si>
  <si>
    <t>225</t>
  </si>
  <si>
    <t>4706174</t>
  </si>
  <si>
    <t>30</t>
  </si>
  <si>
    <t>Kalanchoë mosaic virus</t>
  </si>
  <si>
    <t>59</t>
  </si>
  <si>
    <t>26</t>
  </si>
  <si>
    <t>2373</t>
  </si>
  <si>
    <t>Metapneumovirus</t>
  </si>
  <si>
    <t>Kotonkan ephemerovirus</t>
  </si>
  <si>
    <t>Chaetoceros socialis f. radians RNA virus 01</t>
  </si>
  <si>
    <t>St. Louis encephalitis virus</t>
  </si>
  <si>
    <t>Drosophila melanogaster 17.6 virus</t>
  </si>
  <si>
    <t>Dyoomegapapillomavirus</t>
  </si>
  <si>
    <t>Chelonus nr. curvimaculatus bracovirus</t>
  </si>
  <si>
    <t>JQ686190</t>
  </si>
  <si>
    <t>JX878671</t>
  </si>
  <si>
    <t>KJ888149</t>
  </si>
  <si>
    <t>KM216423</t>
  </si>
  <si>
    <t>AB853330</t>
  </si>
  <si>
    <t>AB903967</t>
  </si>
  <si>
    <t>DQ004855</t>
  </si>
  <si>
    <t>JX846613</t>
  </si>
  <si>
    <t>JX194239</t>
  </si>
  <si>
    <t>FJ822135</t>
  </si>
  <si>
    <t>GU323318</t>
  </si>
  <si>
    <t>KJ101592</t>
  </si>
  <si>
    <t>HQ829472</t>
  </si>
  <si>
    <t>HM071924</t>
  </si>
  <si>
    <t>EU863409</t>
  </si>
  <si>
    <t>KP007359</t>
  </si>
  <si>
    <t>JX536493</t>
  </si>
  <si>
    <t>KF582788</t>
  </si>
  <si>
    <t>KM407600</t>
  </si>
  <si>
    <t>HQ331142</t>
  </si>
  <si>
    <t>JX181825</t>
  </si>
  <si>
    <t>KP671755</t>
  </si>
  <si>
    <t>HM563683</t>
  </si>
  <si>
    <t>KP007360</t>
  </si>
  <si>
    <t>KP007361</t>
  </si>
  <si>
    <t>KP007362</t>
  </si>
  <si>
    <t>GQ981382</t>
  </si>
  <si>
    <t>AP011113</t>
  </si>
  <si>
    <t>JN986846</t>
  </si>
  <si>
    <t>KJ668714.2</t>
  </si>
  <si>
    <t>JX128259</t>
  </si>
  <si>
    <t>JN202312</t>
  </si>
  <si>
    <t>KM606994</t>
  </si>
  <si>
    <t>KM501444</t>
  </si>
  <si>
    <t>HM035025</t>
  </si>
  <si>
    <t>HE956711</t>
  </si>
  <si>
    <t>KF208315</t>
  </si>
  <si>
    <t>JQ691612</t>
  </si>
  <si>
    <t>KC954774</t>
  </si>
  <si>
    <t>JQ691611</t>
  </si>
  <si>
    <t>JN882284</t>
  </si>
  <si>
    <t>KF550303</t>
  </si>
  <si>
    <t>GU070616</t>
  </si>
  <si>
    <t>JX181824</t>
  </si>
  <si>
    <t>KJ190158</t>
  </si>
  <si>
    <t>JQ031132</t>
  </si>
  <si>
    <t>KC690136</t>
  </si>
  <si>
    <t>DQ832317</t>
  </si>
  <si>
    <t>JX238501</t>
  </si>
  <si>
    <t>KM051843</t>
  </si>
  <si>
    <t>KJ010547</t>
  </si>
  <si>
    <t>HM368260</t>
  </si>
  <si>
    <t>JX976549</t>
  </si>
  <si>
    <t>KJ817802</t>
  </si>
  <si>
    <t>HE806280</t>
  </si>
  <si>
    <t>JN790865</t>
  </si>
  <si>
    <t>KF669647</t>
  </si>
  <si>
    <t>KJ489402</t>
  </si>
  <si>
    <t>KF669662</t>
  </si>
  <si>
    <t>KF208639</t>
  </si>
  <si>
    <t>JF966203</t>
  </si>
  <si>
    <t>KJ489397</t>
  </si>
  <si>
    <t>JX094431.1</t>
  </si>
  <si>
    <t>KJ451625.1</t>
  </si>
  <si>
    <t>KJ081346.1</t>
  </si>
  <si>
    <t>KJ676859.1</t>
  </si>
  <si>
    <t>AY375531</t>
  </si>
  <si>
    <t>Aeromonas phage 44RR2.8t</t>
  </si>
  <si>
    <t>KF554508.2</t>
  </si>
  <si>
    <t>KC595512.2</t>
  </si>
  <si>
    <t>KC595513.2</t>
  </si>
  <si>
    <t>GU903191</t>
  </si>
  <si>
    <t>KM360178</t>
  </si>
  <si>
    <t>KR014248</t>
  </si>
  <si>
    <t>JX560968</t>
  </si>
  <si>
    <t>KF055347</t>
  </si>
  <si>
    <t>KM657822</t>
  </si>
  <si>
    <t>KP010413</t>
  </si>
  <si>
    <t>KP143762</t>
  </si>
  <si>
    <t>JN225449</t>
  </si>
  <si>
    <t>LN610573</t>
  </si>
  <si>
    <t>AB472900.2</t>
  </si>
  <si>
    <t>KC862299</t>
  </si>
  <si>
    <t>KF669652</t>
  </si>
  <si>
    <t>AP013029</t>
  </si>
  <si>
    <t>AB930182</t>
  </si>
  <si>
    <t>HE983845</t>
  </si>
  <si>
    <t>LN610572</t>
  </si>
  <si>
    <t>GU988610.2</t>
  </si>
  <si>
    <t>KC862297</t>
  </si>
  <si>
    <t>KC862300</t>
  </si>
  <si>
    <t>HQ832595</t>
  </si>
  <si>
    <t>LN610589</t>
  </si>
  <si>
    <t>KR054030</t>
  </si>
  <si>
    <t>KR054033</t>
  </si>
  <si>
    <t>GU815091</t>
  </si>
  <si>
    <t>AB560486</t>
  </si>
  <si>
    <t>JX483876</t>
  </si>
  <si>
    <t>DQ529280</t>
  </si>
  <si>
    <t>JN377895</t>
  </si>
  <si>
    <t>JN377894</t>
  </si>
  <si>
    <t>HM452125</t>
  </si>
  <si>
    <t>JX306041</t>
  </si>
  <si>
    <t>HE956709</t>
  </si>
  <si>
    <t>KP202158</t>
  </si>
  <si>
    <t>JX556417</t>
  </si>
  <si>
    <t>AY133112</t>
  </si>
  <si>
    <t>FN297812</t>
  </si>
  <si>
    <t>JX128257</t>
  </si>
  <si>
    <t>KP797973</t>
  </si>
  <si>
    <t>KF669653</t>
  </si>
  <si>
    <t>KF669654</t>
  </si>
  <si>
    <t>KJ174317</t>
  </si>
  <si>
    <t>KJ174318</t>
  </si>
  <si>
    <t>JX181828</t>
  </si>
  <si>
    <t>HM144387</t>
  </si>
  <si>
    <t>Bacillus phage W.Ph.</t>
  </si>
  <si>
    <t>KF765493.2</t>
  </si>
  <si>
    <t>AB716666</t>
  </si>
  <si>
    <t>GQ413938.2</t>
  </si>
  <si>
    <t>KP708985</t>
  </si>
  <si>
    <t>KP708986</t>
  </si>
  <si>
    <t>KC821632</t>
  </si>
  <si>
    <t>KC821609</t>
  </si>
  <si>
    <t>KF192075</t>
  </si>
  <si>
    <t>KF562340</t>
  </si>
  <si>
    <t>KJ135004.2</t>
  </si>
  <si>
    <t>KC206276.2</t>
  </si>
  <si>
    <t>JX415535</t>
  </si>
  <si>
    <t>HQ259105</t>
  </si>
  <si>
    <t>JX880034</t>
  </si>
  <si>
    <t>KF620435</t>
  </si>
  <si>
    <t>HG962375</t>
  </si>
  <si>
    <t>FN422399</t>
  </si>
  <si>
    <t>JX194238</t>
  </si>
  <si>
    <t>LN610578</t>
  </si>
  <si>
    <t>KP233880</t>
  </si>
  <si>
    <t>KF856712</t>
  </si>
  <si>
    <t>KC294142</t>
  </si>
  <si>
    <t>HG518155</t>
  </si>
  <si>
    <t>KJ802832</t>
  </si>
  <si>
    <t>KC139649</t>
  </si>
  <si>
    <t>KF669655</t>
  </si>
  <si>
    <t>KP411017</t>
  </si>
  <si>
    <t>KM236247</t>
  </si>
  <si>
    <t>KF669660</t>
  </si>
  <si>
    <t>KM236248</t>
  </si>
  <si>
    <t>JX415536</t>
  </si>
  <si>
    <t>JX867715</t>
  </si>
  <si>
    <t>KF981730</t>
  </si>
  <si>
    <t>KM044272</t>
  </si>
  <si>
    <t>JF712866</t>
  </si>
  <si>
    <t>AY505112</t>
  </si>
  <si>
    <t>AY510084</t>
  </si>
  <si>
    <t>KC832325</t>
  </si>
  <si>
    <t>KM272358</t>
  </si>
  <si>
    <t>JX297445</t>
  </si>
  <si>
    <t>KF562865</t>
  </si>
  <si>
    <t>KF562864</t>
  </si>
  <si>
    <t>KC139511</t>
  </si>
  <si>
    <t>GU196277</t>
  </si>
  <si>
    <t>GU196278</t>
  </si>
  <si>
    <t>GU196279</t>
  </si>
  <si>
    <t>GU196280</t>
  </si>
  <si>
    <t>KC139518</t>
  </si>
  <si>
    <t>KP658157</t>
  </si>
  <si>
    <t>JF501022</t>
  </si>
  <si>
    <t>KF771237</t>
  </si>
  <si>
    <t>KF771238</t>
  </si>
  <si>
    <t>KF771239</t>
  </si>
  <si>
    <t>KJ668713</t>
  </si>
  <si>
    <t>KC579452</t>
  </si>
  <si>
    <t>KC333879</t>
  </si>
  <si>
    <t>JN986845</t>
  </si>
  <si>
    <t>AM156909</t>
  </si>
  <si>
    <t>JX912252</t>
  </si>
  <si>
    <t>KP085586</t>
  </si>
  <si>
    <t>KM236241</t>
  </si>
  <si>
    <t>AY308796</t>
  </si>
  <si>
    <t>KC139513</t>
  </si>
  <si>
    <t>KC821613</t>
  </si>
  <si>
    <t>KC821617</t>
  </si>
  <si>
    <t>KC821619</t>
  </si>
  <si>
    <t>HQ634192</t>
  </si>
  <si>
    <t>JX901189</t>
  </si>
  <si>
    <t>KF024728</t>
  </si>
  <si>
    <t>KJ419279</t>
  </si>
  <si>
    <t>KP719134</t>
  </si>
  <si>
    <t>KP719132</t>
  </si>
  <si>
    <t>KP719133</t>
  </si>
  <si>
    <t>KJ094020</t>
  </si>
  <si>
    <t>JX126920.2</t>
  </si>
  <si>
    <t>JX126919</t>
  </si>
  <si>
    <t>KJ094021</t>
  </si>
  <si>
    <t>JX442241</t>
  </si>
  <si>
    <t>JX120799.2</t>
  </si>
  <si>
    <t>AJ312240.2</t>
  </si>
  <si>
    <t>JF939047</t>
  </si>
  <si>
    <t>NC_007806</t>
  </si>
  <si>
    <t>HG962376</t>
  </si>
  <si>
    <t>JQ307387</t>
  </si>
  <si>
    <t>KP064094</t>
  </si>
  <si>
    <t>KM236243</t>
  </si>
  <si>
    <t>KF929199</t>
  </si>
  <si>
    <t>KJ804259</t>
  </si>
  <si>
    <t>KP296791</t>
  </si>
  <si>
    <t>KP202972</t>
  </si>
  <si>
    <t>KP296793</t>
  </si>
  <si>
    <t>KP296795</t>
  </si>
  <si>
    <t>KP296796</t>
  </si>
  <si>
    <t>KF669661</t>
  </si>
  <si>
    <t>KP696447</t>
  </si>
  <si>
    <t>KF669663</t>
  </si>
  <si>
    <t>KP696448</t>
  </si>
  <si>
    <t>JX556418</t>
  </si>
  <si>
    <t>JQ692107</t>
  </si>
  <si>
    <t>KM979354</t>
  </si>
  <si>
    <t>KJ190157</t>
  </si>
  <si>
    <t>KP143763</t>
  </si>
  <si>
    <t>KM236244</t>
  </si>
  <si>
    <t>JQ360576</t>
  </si>
  <si>
    <t>KM114265</t>
  </si>
  <si>
    <t>KR612223</t>
  </si>
  <si>
    <t>HM147142</t>
  </si>
  <si>
    <t>JQ886184</t>
  </si>
  <si>
    <t>KC333050</t>
  </si>
  <si>
    <t>JQ001776</t>
  </si>
  <si>
    <t>HQ660129</t>
  </si>
  <si>
    <t>KF278639</t>
  </si>
  <si>
    <t>JQ411014</t>
  </si>
  <si>
    <t>JX857409</t>
  </si>
  <si>
    <t>KP205452</t>
  </si>
  <si>
    <t>FJ665628</t>
  </si>
  <si>
    <t>GU985153</t>
  </si>
  <si>
    <t>KF812525 (RNA1), KF812526 (RNA2)</t>
  </si>
  <si>
    <t>AB244417 (RNA1), AB244418 (RNA2)</t>
  </si>
  <si>
    <t>JN935380</t>
  </si>
  <si>
    <t>HM461974</t>
  </si>
  <si>
    <t>AF234533</t>
  </si>
  <si>
    <t>HM474855</t>
  </si>
  <si>
    <t>HM856902</t>
  </si>
  <si>
    <t>EF614259</t>
  </si>
  <si>
    <t>EU293119</t>
  </si>
  <si>
    <t>EF157976</t>
  </si>
  <si>
    <t>European bat lyssavirus 1</t>
  </si>
  <si>
    <t>EF157977</t>
  </si>
  <si>
    <t>European bat lyssavirus 2</t>
  </si>
  <si>
    <t>EF614260</t>
  </si>
  <si>
    <t>EF614261</t>
  </si>
  <si>
    <t>EU293108</t>
  </si>
  <si>
    <t>Y09762</t>
  </si>
  <si>
    <t>M13215</t>
  </si>
  <si>
    <t>GU170201</t>
  </si>
  <si>
    <t>EF614258</t>
  </si>
  <si>
    <t>AF104985</t>
  </si>
  <si>
    <t>L40883</t>
  </si>
  <si>
    <t>Y18263</t>
  </si>
  <si>
    <t>AF147498</t>
  </si>
  <si>
    <t>KM823531</t>
  </si>
  <si>
    <t>FR751552</t>
  </si>
  <si>
    <t>AB011257, AB516283</t>
  </si>
  <si>
    <t>X827265</t>
  </si>
  <si>
    <t>JX679246</t>
  </si>
  <si>
    <t>AF434992</t>
  </si>
  <si>
    <t>U18101</t>
  </si>
  <si>
    <t>FJ872827, KC113518, KC113517</t>
  </si>
  <si>
    <t>GQ294473</t>
  </si>
  <si>
    <t>KP688373, GQ294472</t>
  </si>
  <si>
    <t>FJ952155</t>
  </si>
  <si>
    <t>AY840978</t>
  </si>
  <si>
    <t>AB075039, AB114138</t>
  </si>
  <si>
    <t>EU373658</t>
  </si>
  <si>
    <t>KM205015</t>
  </si>
  <si>
    <t>GU212856</t>
  </si>
  <si>
    <t>EU373657</t>
  </si>
  <si>
    <t>AF473864</t>
  </si>
  <si>
    <t>AJ810084</t>
  </si>
  <si>
    <t>HQ660076</t>
  </si>
  <si>
    <t>JX121110</t>
  </si>
  <si>
    <t>KP126831</t>
  </si>
  <si>
    <t>KP026921</t>
  </si>
  <si>
    <t>KC787630</t>
  </si>
  <si>
    <t>KC787658</t>
  </si>
  <si>
    <t>JX473849</t>
  </si>
  <si>
    <t>KM110938</t>
  </si>
  <si>
    <t>KR139839</t>
  </si>
  <si>
    <t>U87392</t>
  </si>
  <si>
    <t>KM677927</t>
  </si>
  <si>
    <t>JN116253</t>
  </si>
  <si>
    <t>KF430219</t>
  </si>
  <si>
    <t>JQ989271</t>
  </si>
  <si>
    <t>HM245925</t>
  </si>
  <si>
    <t>KC545383</t>
  </si>
  <si>
    <t>JX869059</t>
  </si>
  <si>
    <t>JQ065049</t>
  </si>
  <si>
    <t>JQ065043</t>
  </si>
  <si>
    <t>JQ065047</t>
  </si>
  <si>
    <t>JQ065044</t>
  </si>
  <si>
    <t>JQ065048</t>
  </si>
  <si>
    <t>GU002364</t>
  </si>
  <si>
    <t>KJ541759</t>
  </si>
  <si>
    <t>KC807171</t>
  </si>
  <si>
    <t>AB753015</t>
  </si>
  <si>
    <t>KJ125489</t>
  </si>
  <si>
    <t>JQ957872</t>
  </si>
  <si>
    <t>JQ957874</t>
  </si>
  <si>
    <t>JQ957873</t>
  </si>
  <si>
    <t>KF751885</t>
  </si>
  <si>
    <t>KF843822</t>
  </si>
  <si>
    <t>KJ629170</t>
  </si>
  <si>
    <t>JN091707</t>
  </si>
  <si>
    <t>KJ186788</t>
  </si>
  <si>
    <t>JX134222</t>
  </si>
  <si>
    <t>KF306267</t>
  </si>
  <si>
    <t>KF183915</t>
  </si>
  <si>
    <t>KC843627</t>
  </si>
  <si>
    <t>LOEWE cat no. 07013PC</t>
  </si>
  <si>
    <t>RNA1 (JX304792) full, RNA2 (JQ670669) full</t>
  </si>
  <si>
    <t>RNA1 (KC904083) full, RNA2 (KC904084) full</t>
  </si>
  <si>
    <t>RNA1 KF533719 (partial), RNA2 KF533720 (partial)</t>
  </si>
  <si>
    <t>RNA1 KM229700 (full), RNA2 KM229701 (full)</t>
  </si>
  <si>
    <t>NCGR MEN 454.001</t>
  </si>
  <si>
    <t>KC923234</t>
  </si>
  <si>
    <t>KJ711908</t>
  </si>
  <si>
    <t>KJ415259</t>
  </si>
  <si>
    <t>HM584819</t>
  </si>
  <si>
    <t>KC218926</t>
  </si>
  <si>
    <t>KF030846</t>
  </si>
  <si>
    <t>KF533711</t>
  </si>
  <si>
    <t>KF533710</t>
  </si>
  <si>
    <t xml:space="preserve">SW3.3 </t>
  </si>
  <si>
    <t>HG008921</t>
  </si>
  <si>
    <t>KM507061</t>
  </si>
  <si>
    <t>KF700262</t>
  </si>
  <si>
    <t>20.5</t>
  </si>
  <si>
    <t>KJ469653</t>
  </si>
  <si>
    <t>FN824512</t>
  </si>
  <si>
    <t>KF477312</t>
  </si>
  <si>
    <t>KF477313</t>
  </si>
  <si>
    <t>HQ241819</t>
  </si>
  <si>
    <t>KC693022</t>
  </si>
  <si>
    <t>JQ406846</t>
  </si>
  <si>
    <t>S: KJ855308, L: KJ855307</t>
  </si>
  <si>
    <t>S: KM272987, L: KP867641</t>
  </si>
  <si>
    <t>S: KM272988, L: KP867642</t>
  </si>
  <si>
    <t>S: KJ909794, L: KJ909795</t>
  </si>
  <si>
    <t>KM102981</t>
  </si>
  <si>
    <t>KJ631622</t>
  </si>
  <si>
    <t>KJ676450</t>
  </si>
  <si>
    <t>KR584663</t>
  </si>
  <si>
    <t>KJ406702</t>
  </si>
  <si>
    <t>KM371112</t>
  </si>
  <si>
    <t>Chizé virus (CHZV), EgAN 1825-61 virus (EGAV), Fin V 707 virus (FINV), Oceanside virus (OCV), Ponteves virus (PTVV), Rukutama virus (RUKV), St. Abbs Head virus (SAHV), Tunis virus (TUNV), Uukuniemi virus (UUKV), Zaliv Terpenyia virus (ZTV)</t>
  </si>
  <si>
    <t>JN606110</t>
  </si>
  <si>
    <t>AJ781003</t>
  </si>
  <si>
    <t>HG940503</t>
  </si>
  <si>
    <t>FJ824813</t>
  </si>
  <si>
    <t>FJ439817</t>
  </si>
  <si>
    <t>GU799606</t>
  </si>
  <si>
    <t>JX863737</t>
  </si>
  <si>
    <t>KC339249</t>
  </si>
  <si>
    <t>JQ814849</t>
  </si>
  <si>
    <t>KC241982</t>
  </si>
  <si>
    <t>GQ404851</t>
  </si>
  <si>
    <t>JQ011377</t>
  </si>
  <si>
    <t>GQ404856</t>
  </si>
  <si>
    <t>KJ020099</t>
  </si>
  <si>
    <t>DQ146997</t>
  </si>
  <si>
    <t>KP793918</t>
  </si>
  <si>
    <t>HQ738637</t>
  </si>
  <si>
    <t>HM228874</t>
  </si>
  <si>
    <t>JF938079</t>
  </si>
  <si>
    <t>JF938081</t>
  </si>
  <si>
    <t>JF938082</t>
  </si>
  <si>
    <t>HQ738634</t>
  </si>
  <si>
    <t>GQ404849</t>
  </si>
  <si>
    <t>JX185419</t>
  </si>
  <si>
    <t>JX185422</t>
  </si>
  <si>
    <t>JX185424</t>
  </si>
  <si>
    <t>JF938080</t>
  </si>
  <si>
    <t>JX185426</t>
  </si>
  <si>
    <t>KC512918</t>
  </si>
  <si>
    <t>KC512919</t>
  </si>
  <si>
    <t>KC512920</t>
  </si>
  <si>
    <t>JX569794</t>
  </si>
  <si>
    <t>HQ738643</t>
  </si>
  <si>
    <t>HQ738636</t>
  </si>
  <si>
    <t>KF031466</t>
  </si>
  <si>
    <t>KC771281</t>
  </si>
  <si>
    <t>KF726984</t>
  </si>
  <si>
    <t>GQ404847</t>
  </si>
  <si>
    <t>GQ404844</t>
  </si>
  <si>
    <t>GQ404846</t>
  </si>
  <si>
    <t>GQ404858</t>
  </si>
  <si>
    <t>GQ404845</t>
  </si>
  <si>
    <t>GQ404854</t>
  </si>
  <si>
    <t>GQ404855</t>
  </si>
  <si>
    <t>KC904540</t>
  </si>
  <si>
    <t>NCGR MEN 454.004</t>
  </si>
  <si>
    <t>AB733585</t>
  </si>
  <si>
    <t>Partial genomic RNA (JQ599282)</t>
  </si>
  <si>
    <t>Partial genomic RNA (JQ599283)</t>
  </si>
  <si>
    <t>Partial genomic RNA (JQ599284)</t>
  </si>
  <si>
    <t>JN880414</t>
  </si>
  <si>
    <t>KJ123645</t>
  </si>
  <si>
    <t>cv. 447</t>
  </si>
  <si>
    <t>KJ634409</t>
  </si>
  <si>
    <t>Abutilon golden mosaic virus - [Mexico:Yucatan:2007]</t>
  </si>
  <si>
    <t>Capraria yellow spot virus - [Mexico:Yucatan:Conkal:2007]</t>
  </si>
  <si>
    <t>Cassava mosaic Madagascar virus - [Madgascar:Toliary:2006]</t>
  </si>
  <si>
    <t>Catharanthus yellow mosaic virus - [Pakistan:Lahore:KN4]</t>
  </si>
  <si>
    <t>Chenopodium leaf curl virus - [USA:Florida:Citra:2007]</t>
  </si>
  <si>
    <t>Chilli leaf curl India virus - [India:2008]</t>
  </si>
  <si>
    <t>Chilli leaf curl Kanpur virus [India:Kanpur:2008]</t>
  </si>
  <si>
    <t>Chilli leaf curl Vellanad virus - [India:Vellanad:2008]</t>
  </si>
  <si>
    <t>Clerodendron yellow mosaic virus - [India:Iari:2006]</t>
  </si>
  <si>
    <t>Clerodendrum golden mosaic China virus - [China:Fuzhou 7:2007]</t>
  </si>
  <si>
    <t>Clerodendrum golden mosaic Jiangsu virus - [China:Jiangsu XY2:2008]</t>
  </si>
  <si>
    <t>Corchorus yellow vein mosaic virus - [India:Maharashtra:2011]</t>
  </si>
  <si>
    <t>Cotton chlorotic spot virus - [Brazil:Campina Grande B012:2009]</t>
  </si>
  <si>
    <t>Crassocephalum yellow vein virus - [China:Jinhong:2005]</t>
  </si>
  <si>
    <t>Emilia yellow vein virus - [China:Fuzhou 1:2007]</t>
  </si>
  <si>
    <t>French bean leaf curl virus - [India:Kanpur:2011]</t>
  </si>
  <si>
    <t>Hedyotis uncinella yellow mosaic virus - [Vietnam:VN1]</t>
  </si>
  <si>
    <t>Hemidesmus yellow mosaic virus - [India:Tirupati:H1:2012]</t>
  </si>
  <si>
    <t>Jatropha leaf curl virus - [India:New Delhi:2007]</t>
  </si>
  <si>
    <t>Jatropha mosaic Nigeria virus - [Nigeria:2:2011]</t>
  </si>
  <si>
    <t>Jatropha mosaic virus - [Jamaica:Spanish Town 1:2004]</t>
  </si>
  <si>
    <t>Jatropha yellow mosaic virus - [India:Kathaupahadi:2008]</t>
  </si>
  <si>
    <t>Malvastrum leaf curl Philippines virus - [Philippines:Mc1:2012]</t>
  </si>
  <si>
    <t>Mesta yellow vein mosaic Bahraich virus - [India:Bahraich:2007]</t>
  </si>
  <si>
    <t>Pepper yellow leaf curl virus - [China:YN65- 1:2010]</t>
  </si>
  <si>
    <t>Pouzolzia golden mosaic virus - [China:TY01:2012]</t>
  </si>
  <si>
    <t>Pouzolzia mosaic Guangdong virus - [Taiwan:Miaoli:ML13W1:2013]</t>
  </si>
  <si>
    <t>Premna leaf curl virus - [Vietnam:VN7:2011]</t>
  </si>
  <si>
    <t>Rhynchosia yellow mosaic India virus - [India:Thiruvananthapuram:JRH1:2009]</t>
  </si>
  <si>
    <t>Sauropus leaf curl virus - [Thailand:Kamphaengsaen:AFSP5e:2010]</t>
  </si>
  <si>
    <t>Sida ciliaris golden mosaic virus - [Venezuela:Lara:M3:2009]</t>
  </si>
  <si>
    <t>Sida common mosaic virus - [Brazil:Coimbra 4:2007]</t>
  </si>
  <si>
    <t>Sida golden mosaic Brazil virus - [Brazil:Mato Grosso do Sul:2007]</t>
  </si>
  <si>
    <t>Sida golden mosaic Lara virus - [Venezuela:Lara:M1:2009]</t>
  </si>
  <si>
    <t>Sida yellow leaf curl virus - [Brazil:Coimbra3:2007]</t>
  </si>
  <si>
    <t>Sidastrum golden leaf spot virus - [Brazil:DF334:2010]</t>
  </si>
  <si>
    <t>Soybean chlorotic blotch virus - [Nigeria:Soybean 19:2007]</t>
  </si>
  <si>
    <t>Spinach yellow vein virus - [India:Sikar:AS22]</t>
  </si>
  <si>
    <t>Sunn hemp leaf distortion virus - [India:Barrackpore 1:2008]</t>
  </si>
  <si>
    <t>Sweet potato leaf curl Henan virus - [China:Henan 10:2012]</t>
  </si>
  <si>
    <t>Sweet potato leaf curl Sichuan virus 1 - [China:Sichuan 15:2012]</t>
  </si>
  <si>
    <t>Sweet potato leaf curl Sichuan virus 2 - [China:Sichuan 14:2012]</t>
  </si>
  <si>
    <t>Tobacco leaf curl Comoros virus - [Comoros:Simboussa:2004]</t>
  </si>
  <si>
    <t>Tomato bright yellow mosaic virus - [Brazil:BA167:2012]</t>
  </si>
  <si>
    <t>Tomato bright yellow mottle virus - [Brazil:TO167:2008]</t>
  </si>
  <si>
    <t>Tomato golden leaf distortion virus - [Brazil:TO45:2007]</t>
  </si>
  <si>
    <t>Tomato interveinal chlorosis virus - [Brazil:Pernambuco:Mdc2681:2004]</t>
  </si>
  <si>
    <t>Tomato leaf curl Liwa virus - [Oman:Liwa:LW1:2012]</t>
  </si>
  <si>
    <t>Tomato leaf curl New Delhi virus 2 - [India:IANDS1:2011]</t>
  </si>
  <si>
    <t>Tomato leaf curl New Delhi virus 4 - [India:Junagad:TC306:2011]</t>
  </si>
  <si>
    <t>Tomato leaf curl Palampur virus - [India:Palampur:2007]</t>
  </si>
  <si>
    <t>Tomato leaf curl Patna virus - [India:Patna:2008]</t>
  </si>
  <si>
    <t>Tomato leaf curl Rajasthan virus - [India:Rajasthan:2005]</t>
  </si>
  <si>
    <t>Tomato leaf curl Sulawesi virus - [Indonesia:Sulawesi:Langowan F101:2006]</t>
  </si>
  <si>
    <t>Velvel bean severe mosaic virus - [India:Lucknow:2008]</t>
  </si>
  <si>
    <t>Vigna yellow mosaic virus - [Mexico:Morelos:Yautepec:2007]</t>
  </si>
  <si>
    <t>KJ437671</t>
  </si>
  <si>
    <t>KJ187746</t>
  </si>
  <si>
    <t>KF806702</t>
  </si>
  <si>
    <t>KC790376</t>
  </si>
  <si>
    <t>DQ079870</t>
  </si>
  <si>
    <t>DQ079871</t>
  </si>
  <si>
    <t>DQ079876</t>
  </si>
  <si>
    <t>DQ079875</t>
  </si>
  <si>
    <t>DQ079879</t>
  </si>
  <si>
    <t>DQ079872</t>
  </si>
  <si>
    <t>DQ079874</t>
  </si>
  <si>
    <t>DQ079877</t>
  </si>
  <si>
    <t>DQ079869</t>
  </si>
  <si>
    <t>KC978949 - KC978956</t>
  </si>
  <si>
    <t>KC979054 - KC979059</t>
  </si>
  <si>
    <t>KJ704366-KJ704368</t>
  </si>
  <si>
    <t>KF741371</t>
  </si>
  <si>
    <t>KC876045</t>
  </si>
  <si>
    <t>KC858264</t>
  </si>
  <si>
    <t>KC460986</t>
  </si>
  <si>
    <t>KC858263</t>
  </si>
  <si>
    <t>JQ692938</t>
  </si>
  <si>
    <t>JX123128</t>
  </si>
  <si>
    <t>KC862318</t>
  </si>
  <si>
    <t>KF006399</t>
  </si>
  <si>
    <t>KC108721</t>
  </si>
  <si>
    <t>KJ130020</t>
  </si>
  <si>
    <t>HG530535</t>
  </si>
  <si>
    <t>KR816174</t>
  </si>
  <si>
    <t>KP769769</t>
  </si>
  <si>
    <t>KP205502</t>
  </si>
  <si>
    <t>JX972168</t>
  </si>
  <si>
    <t>KC858266</t>
  </si>
  <si>
    <t>KJ173785</t>
  </si>
  <si>
    <t>KF857586</t>
  </si>
  <si>
    <t>KJ452243</t>
  </si>
  <si>
    <t>KC810012</t>
  </si>
  <si>
    <t>KF963175, KF963176</t>
  </si>
  <si>
    <t>KF963177, KF963178</t>
  </si>
  <si>
    <t>KF963186, KF963187</t>
  </si>
  <si>
    <t>JN606091, JN606090</t>
  </si>
  <si>
    <t>AB972940</t>
  </si>
  <si>
    <t>JQ958886</t>
  </si>
  <si>
    <t>JQ958887</t>
  </si>
  <si>
    <t>JX159987</t>
  </si>
  <si>
    <t>JX520659</t>
  </si>
  <si>
    <t>JQ958889</t>
  </si>
  <si>
    <t>AB767298</t>
  </si>
  <si>
    <t>AB767297</t>
  </si>
  <si>
    <t>AB972945</t>
  </si>
  <si>
    <t>JX520660</t>
  </si>
  <si>
    <t>HQ385752</t>
  </si>
  <si>
    <t>HM011556</t>
  </si>
  <si>
    <t>GU989205</t>
  </si>
  <si>
    <t>HQ696595</t>
  </si>
  <si>
    <t>JX308829</t>
  </si>
  <si>
    <t>KF954417</t>
  </si>
  <si>
    <t>JX159986</t>
  </si>
  <si>
    <t>JQ958893</t>
  </si>
  <si>
    <t>JX520658</t>
  </si>
  <si>
    <t>JX520664</t>
  </si>
  <si>
    <t>FR692334</t>
  </si>
  <si>
    <t>HQ385746</t>
  </si>
  <si>
    <t>HQ385748</t>
  </si>
  <si>
    <t>JX159980</t>
  </si>
  <si>
    <t>JX159981</t>
  </si>
  <si>
    <t>JX159982</t>
  </si>
  <si>
    <t>JX159983</t>
  </si>
  <si>
    <t>AB767294</t>
  </si>
  <si>
    <t>JX159984</t>
  </si>
  <si>
    <t>FN356901</t>
  </si>
  <si>
    <t>FN356900</t>
  </si>
  <si>
    <t>JQ178241</t>
  </si>
  <si>
    <t>AB972944</t>
  </si>
  <si>
    <t>JQ958888</t>
  </si>
  <si>
    <t>AB972941</t>
  </si>
  <si>
    <t>JQ958890</t>
  </si>
  <si>
    <t>JX159988</t>
  </si>
  <si>
    <t>JX159985</t>
  </si>
  <si>
    <t>AB767299</t>
  </si>
  <si>
    <t>JQ958892</t>
  </si>
  <si>
    <t>AB972947</t>
  </si>
  <si>
    <t>AB972946</t>
  </si>
  <si>
    <t>JQ412134</t>
  </si>
  <si>
    <t>EF127906</t>
  </si>
  <si>
    <t>EF444549</t>
  </si>
  <si>
    <t>KF147833</t>
  </si>
  <si>
    <t>AB588640</t>
  </si>
  <si>
    <t>KP644238</t>
  </si>
  <si>
    <t>JX520661</t>
  </si>
  <si>
    <t>FJ188392</t>
  </si>
  <si>
    <t>AB767295</t>
  </si>
  <si>
    <t>JX520662</t>
  </si>
  <si>
    <t>JQ958891</t>
  </si>
  <si>
    <t>AM748741</t>
  </si>
  <si>
    <t>JX159989</t>
  </si>
  <si>
    <t>GQ331138</t>
  </si>
  <si>
    <t>HM011560</t>
  </si>
  <si>
    <t>HM011566</t>
  </si>
  <si>
    <t>JQ898291</t>
  </si>
  <si>
    <t>JX463183</t>
  </si>
  <si>
    <t>AY140894</t>
  </si>
  <si>
    <t>DQ192570</t>
  </si>
  <si>
    <t>KF360862</t>
  </si>
  <si>
    <t>KP033140</t>
  </si>
  <si>
    <t>DQ192571</t>
  </si>
  <si>
    <t>GU345044</t>
  </si>
  <si>
    <t>KP071318</t>
  </si>
  <si>
    <t>KC594077</t>
  </si>
  <si>
    <t>clone pCOL3.12</t>
  </si>
  <si>
    <t>JX156425</t>
  </si>
  <si>
    <t>KP742991</t>
  </si>
  <si>
    <t>JX156422</t>
  </si>
  <si>
    <t>SW3.1</t>
  </si>
  <si>
    <t xml:space="preserve">HarMV-57.2 </t>
  </si>
  <si>
    <t xml:space="preserve">SW3.1 </t>
  </si>
  <si>
    <t>JQ350738</t>
  </si>
  <si>
    <t>KM523548</t>
  </si>
  <si>
    <t>KF906523</t>
  </si>
  <si>
    <t>Seg1 FN563989, Seg2 FN563990, Seg3 FN563991, Seg4 FN563992, Seg5 FN563993, Seg6 FN563994, Seg7 FN563995, Seg8 FN563996, Seg9 EU523359, Seg10 EU523360</t>
  </si>
  <si>
    <t>KR337473-KR337482</t>
  </si>
  <si>
    <t>KF482072</t>
  </si>
  <si>
    <t>Bari-Dr. Gallitelli</t>
  </si>
  <si>
    <t>JN620802</t>
  </si>
  <si>
    <t>LC019764</t>
  </si>
  <si>
    <t>JX123318</t>
  </si>
  <si>
    <t>KC577469</t>
  </si>
  <si>
    <t>JF495127</t>
  </si>
  <si>
    <t>RNA1: KP760461, RNA2: KP760462</t>
  </si>
  <si>
    <t>RNA1: AB976029, RNA2: AB976030</t>
  </si>
  <si>
    <t>Kons.1105-R14</t>
  </si>
  <si>
    <t>Lloviu virus/M.schreibersii-wt/ESP/2003/Asturias-Bat86</t>
  </si>
  <si>
    <t>Bundibugyo virus/H.sapiens-tc/UGA/2007/Butalya-811250</t>
  </si>
  <si>
    <t>Reston virus/M.fascicularis-tc/USA/1989/Philippines89-Pennsylvania</t>
  </si>
  <si>
    <t>Taï Forest virus/H.sapiens-tc/CIV/1994/Pauléoula-CI</t>
  </si>
  <si>
    <t>Marburg virus/H.sapiens-tc/KEN/1980/Mt. Elgon-Musoke</t>
  </si>
  <si>
    <t>AF081020</t>
  </si>
  <si>
    <t xml:space="preserve">Australian bat lyssavirus </t>
  </si>
  <si>
    <t>JF311903</t>
  </si>
  <si>
    <t xml:space="preserve">Bokeloh bat lyssavirus </t>
  </si>
  <si>
    <t>JX193798</t>
  </si>
  <si>
    <t xml:space="preserve">Ikoma virus </t>
  </si>
  <si>
    <t>GQ375258</t>
  </si>
  <si>
    <t>GQ410979</t>
  </si>
  <si>
    <t xml:space="preserve">Flanders virus </t>
  </si>
  <si>
    <t>FJ985748</t>
  </si>
  <si>
    <t xml:space="preserve">Moussa virus </t>
  </si>
  <si>
    <t>FJ715959</t>
  </si>
  <si>
    <t xml:space="preserve">Ngaingan virus </t>
  </si>
  <si>
    <t>EF612701</t>
  </si>
  <si>
    <t xml:space="preserve">Wongabel virus </t>
  </si>
  <si>
    <t>RNA1: AF394606, RNA2: AF394607</t>
  </si>
  <si>
    <t>RNA1: GU810903, RNA2: GU810904</t>
  </si>
  <si>
    <t>RNA1: X00206, RNA2: X00729</t>
  </si>
  <si>
    <t>RNA1: M83830, RNA2: M83309</t>
  </si>
  <si>
    <t>RNA1: AB295643, RNA2: AB295644</t>
  </si>
  <si>
    <t>RNA1: X64886, RNA2: M14913</t>
  </si>
  <si>
    <t>RNA1: EU421059, RNA2: EU421060</t>
  </si>
  <si>
    <t>RNA1: AB084450, RNA2: AB084451</t>
  </si>
  <si>
    <t>RNA1: AF225953, RNA2: AF225954</t>
  </si>
  <si>
    <t>RNA1: AB084452, RNA2: AB084453</t>
  </si>
  <si>
    <t>RNA1: KC595304, RNA2: KC595305</t>
  </si>
  <si>
    <t>RNA1: AY303786, RNA2: AY017339</t>
  </si>
  <si>
    <t>RNA1: D00322, RNA2: X04062</t>
  </si>
  <si>
    <t>RNA1: AF368272, RNA2: AF020051</t>
  </si>
  <si>
    <t>RNA1: AB649296, RNA2: AB649297</t>
  </si>
  <si>
    <t>RNA1: FR851461, RNA2: FR851462</t>
  </si>
  <si>
    <t>RNA1: AB073147, RNA2: AB073148</t>
  </si>
  <si>
    <t>RNA1: HE774604, RNA2: AY291207</t>
  </si>
  <si>
    <t>RNA1: FN691934, RNA2: FN691935</t>
  </si>
  <si>
    <t>RNA1: X15346, RNA2: X15163</t>
  </si>
  <si>
    <t>RNA1: HE613269, RNA2: AY291208</t>
  </si>
  <si>
    <t>RNA1: D00915, RNA2: X16907</t>
  </si>
  <si>
    <t>RNA1: AB518485, RNA2: AB518486</t>
  </si>
  <si>
    <t>RNA1: KC832887, RNA2: KC832892</t>
  </si>
  <si>
    <t>RNA1: AY303787, RNA2: AY303788</t>
  </si>
  <si>
    <t>RNA1: KJ556849, RNA2: KJ556850</t>
  </si>
  <si>
    <t>RNA1: AY157993, RNA2: AY157994</t>
  </si>
  <si>
    <t>RNA1: L19655, RNA2: D12477</t>
  </si>
  <si>
    <t>RNA1: AB030940, RNA2: AB030941</t>
  </si>
  <si>
    <t>RNA1: JQ437415, RNA2: JQ581051</t>
  </si>
  <si>
    <t>RNA1: AJ621357, RNA2: AJ621358</t>
  </si>
  <si>
    <t>RNA1: AB009958, RNA2: AB009959</t>
  </si>
  <si>
    <t>RNA1: KC855266, RNA2: KC855267</t>
  </si>
  <si>
    <t>RNA1: EF681764, RNA2: EF681765</t>
  </si>
  <si>
    <t>RNA1: DQ388879, RNA2: DQ388880</t>
  </si>
  <si>
    <t>RNA1: DQ344639, RNA2: DQ344640</t>
  </si>
  <si>
    <t>RNA1: AY860978, RNA2: AY860979</t>
  </si>
  <si>
    <t>RNA1: AJ311875, RNA2: AJ311876</t>
  </si>
  <si>
    <t>RNA1: D84410, RNA2: D84411, RNA3: D84412, RNA4: D84413</t>
  </si>
  <si>
    <t>RNA1: AF280539, RNA2: AF061869, RNA3: AF280540, RNA4: AF280541</t>
  </si>
  <si>
    <t>RNA1: AB818898, RNA2: AB818899</t>
  </si>
  <si>
    <t>RNA1: EU099844, RNA2: EU099845</t>
  </si>
  <si>
    <t>RNA1: L00163, RNA2: X01572, RNA3: K02703</t>
  </si>
  <si>
    <t>RNA1: AB724113, RNA2: AB724114, RNA3: AB724115</t>
  </si>
  <si>
    <t>RNA1: AJ272327, RNA2: AJ272328, RNA3: AJ272329</t>
  </si>
  <si>
    <t>RNA1: M65138, RNA2: M64713, RNA3: M60291</t>
  </si>
  <si>
    <t>RNA1: X58456, RNA2: X58457, RNA3: X58458</t>
  </si>
  <si>
    <t>RNA1: AB194806, RNA2: AB194807, RNA3: AB194808</t>
  </si>
  <si>
    <t>RNA1: M65139, RNA2: M28817, RNA3: M28818</t>
  </si>
  <si>
    <t>RNA1: AB444583, RNA2: AB444584, RNA3: AB444585</t>
  </si>
  <si>
    <t>RNA1: AB080598, RNA2: AB080599, RNA3: AB080600</t>
  </si>
  <si>
    <t>RNA1: D00356, RNA2: D00355, RNA3: D10538</t>
  </si>
  <si>
    <t>RNA1: FM881899, RNA2: FM881900, RNA3: FM881901</t>
  </si>
  <si>
    <t>RNA1: U15728, RNA2: U15729, RNA3: U15730</t>
  </si>
  <si>
    <t>RNA1: D10044, RNA2: D10663, RNA3: AJ277268</t>
  </si>
  <si>
    <t>RNA1: AF235033, RNA2: AF235165, RNA3: AF235166</t>
  </si>
  <si>
    <t>RNA1: AF174584, RNA2: AF174585, RNA3: U15608</t>
  </si>
  <si>
    <t>RNA1: EU919666, RNA2: EU919667, RNA3: X86352</t>
  </si>
  <si>
    <t>RNA1: DQ091193, RNA2: DQ091194, RNA3: DQ091195</t>
  </si>
  <si>
    <t>RNA1: KF031037, RNA2: KF031038, RNA3: KF031039</t>
  </si>
  <si>
    <t>RNA1: U23715, RNA2: U17726, RNA3: U17390</t>
  </si>
  <si>
    <t>RNA1: EF584664, RNA2: EF584665, RNA3: U17389</t>
  </si>
  <si>
    <t>RNA1: U57047, RNA2: U34050, RNA3: U85399</t>
  </si>
  <si>
    <t>RNA1: AY682102, RNA2: AY707771, RNA3: AY707772</t>
  </si>
  <si>
    <t>RNA1: AY500236, RNA2: AY500237, RNA3: AY500238</t>
  </si>
  <si>
    <t>RNA1: HE572565, RNA2: FN669168, RNA3: FN669169</t>
  </si>
  <si>
    <t>RNA2: EU919669, RNA3: U17391</t>
  </si>
  <si>
    <t>RNA1: AY496068, RNA2: AY496069, RNA3: U35145</t>
  </si>
  <si>
    <t>RNA1: U57648, RNA2: AF277662, RNA3: L28145</t>
  </si>
  <si>
    <t>RNA1: JN416771, RNA2: JN416772, RNA3: JN416773</t>
  </si>
  <si>
    <t>RNA1: U93192, RNA2: U93193, RNA3: U93194</t>
  </si>
  <si>
    <t>RNA1: DQ318818, RNA2: AY743591, RNA3: AY363228</t>
  </si>
  <si>
    <t>RNA1: U80934, RNA2: U75538, RNA3: X00435</t>
  </si>
  <si>
    <t>RNA1: AF226160, RNA2: AF226161, RNA3: AF226162</t>
  </si>
  <si>
    <t>RNA1: X94346, RNA2: X94347, RNA3: X76993</t>
  </si>
  <si>
    <t>AY493509</t>
  </si>
  <si>
    <t>Goldfinger</t>
  </si>
  <si>
    <t>AJ277091</t>
  </si>
  <si>
    <t>Ireng Maleng</t>
  </si>
  <si>
    <t>RNA1: AJ781166, RNA2: AJ781165, RNA3: AJ781164, RNA4: AJ781163</t>
  </si>
  <si>
    <t>RNA1: FN178512, RNA2: FN178513, RNA3: FN178514, RNA4: FN178515</t>
  </si>
  <si>
    <t>RNA1: AF297176, RNA2: AF297177, RNA3: AF297178, RNA4: AF297179</t>
  </si>
  <si>
    <t>RNA1: AF296439, RNA2: AF296440, RNA3: AF296441, RNA4: AF296442</t>
  </si>
  <si>
    <t>RNA1: HM004067, RNA2: HM004068, RNA3: HM004069, RNA4: HM004070</t>
  </si>
  <si>
    <t>RNA1: EU191904, RNA2: EU191905</t>
  </si>
  <si>
    <t>RNA1: AY330918, RNA2: AY330919</t>
  </si>
  <si>
    <t>RNA1: AY776334, RNA2: AY776335</t>
  </si>
  <si>
    <t>RNA1: AY242077, RNA2: AY242078</t>
  </si>
  <si>
    <t>RNA1: GQ225585, RNA2: GQ376201</t>
  </si>
  <si>
    <t>RNA1: FJ380118, RNA2: FJ380119</t>
  </si>
  <si>
    <t>RNA1: U15440, RNA2: U15441</t>
  </si>
  <si>
    <t>RNA1: AJ557128, RNA2: AJ557129, RNA3: AJ508757</t>
  </si>
  <si>
    <t>RNA1: AY488137, RNA2: AY488138</t>
  </si>
  <si>
    <t>RNA1: AJ428554, RNA2: AJ428555</t>
  </si>
  <si>
    <t>RNA1: AY903447, RNA2: AY903448</t>
  </si>
  <si>
    <t>RNA1: FJ815440, RNA2: FJ815441</t>
  </si>
  <si>
    <t>Heenan88</t>
  </si>
  <si>
    <t>HM439775</t>
  </si>
  <si>
    <t xml:space="preserve">ID </t>
  </si>
  <si>
    <t>D11028</t>
  </si>
  <si>
    <t>PS1</t>
  </si>
  <si>
    <t>RNA1: AB512282, RNA2: AB512283</t>
  </si>
  <si>
    <t>DNA-R: EF546813, DNA-U3: EF546809, DNA-S: EF546810, DNA-M: EF546811, DNA-C: EF546812, DNA-N: EF546808</t>
  </si>
  <si>
    <t>DNA-R: S56276, DNA-U3: L41576, DNA-S: L41574, DNA-M: L41575, DNA-C: L41578, DNA-N: L41577</t>
  </si>
  <si>
    <t>DNA-R: JX867550, DNA-U3: KF435143, DNA-S: JX867540, DNA-M: JX569847, DNA-C: JX867548, DNA-N: JX867546, DNA-U1: KF435145, DNA-U2: KF435146, DNA-U4: KF435147</t>
  </si>
  <si>
    <t>DNA-R: GQ150778, DNA-U1: GQ150783, DNA-M: GQ150781, DNA-S: GQ150779, DNA-U2: GQ150784, DNA-N: GQ150782, DNA-C: GQ150780, DNA-U4: GQ150785</t>
  </si>
  <si>
    <t>DNA-R: AJ132180, DNA-U1: AJ132181, DNA-M: AJ132182, DNA-S: AJ132183, DNA-U2: AJ132184, DNA-N: AJ132186, DNA-C: AJ132179, DNA-U4: AJ749902</t>
  </si>
  <si>
    <t>DNA-R: HE654123, DNA-U1: HE654128, DNA-M: HE654125, DNA-S: HE654124, DNA-U2: HE654129, DNA-N: HE654127, DNA-C: HE654126, DNA-U4: HE654130</t>
  </si>
  <si>
    <t>DNA-C: AB000923, DNA-U1: AB000924, DNA-N: AB000925, DNA-U2: AB000926, DNA-M: AB000927, DNA-S: AB009046, DNA-R: AB027511, DNA-U4: AB255373</t>
  </si>
  <si>
    <t>DNA-R: GU553134, DNA-U1: JN133283, DNA-M: JN133281, DNA-S: JN133279, DNA-U2: JN133284, DNA-N: JN133282, DNA-C: JN133280, DNA-U4: JN133285</t>
  </si>
  <si>
    <t>DNA-M: U16730, DNA-C: U16732, DNA-N: U16733, DNA-S: U16734, DNA-U1: U16736, DNA-R: AJ290434</t>
  </si>
  <si>
    <t>RNA1: AY654892, RNA2: AY654893, RNA3: AY654894</t>
  </si>
  <si>
    <t>RNA1: AY535016, RNA2: AY535017, RNA3: AY535018, RNA4: AY535019</t>
  </si>
  <si>
    <t>RNA1: AF525933, RNA2: AF525934, RNA3: AF525935, RNA4: AF525936</t>
  </si>
  <si>
    <t>RNA1: EU489061, RNA2: EU489062</t>
  </si>
  <si>
    <t>RNA1: FJ550604, RNA2: FJ550605</t>
  </si>
  <si>
    <t>RNA1: AJ781168, RNA2: AJ781167</t>
  </si>
  <si>
    <t>RNA1: AM999771, RNA2: AM999772</t>
  </si>
  <si>
    <t>RNA1: AB465308, RNA2: AB465309</t>
  </si>
  <si>
    <t>RNA1: HQ541323, RNA2: HQ541324</t>
  </si>
  <si>
    <t>RNA1: FJ816271, RNA2: FJ816272</t>
  </si>
  <si>
    <t>RNA1: AB569997, RNA2: AB569998</t>
  </si>
  <si>
    <t>RNA1: AY751737, RNA2: AY751738</t>
  </si>
  <si>
    <t>RNA1: AY705784, RNA2: AY705785</t>
  </si>
  <si>
    <t>RNA1: L39125, RNA2: L39126</t>
  </si>
  <si>
    <t>RNA1: JN196536, RNA2: JN196537</t>
  </si>
  <si>
    <t>RNA1: AY603052, RNA2: AY603051</t>
  </si>
  <si>
    <t>RNA1: JX971982, RNA2: JX971983</t>
  </si>
  <si>
    <t>RNA1: JX971984, RNA2: JX971985</t>
  </si>
  <si>
    <t>RNA1: AF047013, RNA2: AF015924</t>
  </si>
  <si>
    <t>RNA1: HM565953, RNA2: HM565954</t>
  </si>
  <si>
    <t>RNA1: JX625227, RNA2: JX625228</t>
  </si>
  <si>
    <t>RNA1: JX971980, RNA2: JX971981</t>
  </si>
  <si>
    <t>RNA1: AY533038, RNA2: AY533036</t>
  </si>
  <si>
    <t>RNA1: EU195326, RNA2: EU195327</t>
  </si>
  <si>
    <t>RNA1: JX971978, RNA2: JX971979</t>
  </si>
  <si>
    <t>RNA1: AF133290, RNA2: AF133291</t>
  </si>
  <si>
    <t>RNA1: AB113347, RNA2: AB113348</t>
  </si>
  <si>
    <t>RNA1: JX971976, RNA2: JX971977</t>
  </si>
  <si>
    <t>RNA1: U95995, RNA2: U95996</t>
  </si>
  <si>
    <t>RNA1: HM560702, RNA2: HM560703, RNA3: HM560704</t>
  </si>
  <si>
    <t>RNA1: FR687854, RNA2: FR687855</t>
  </si>
  <si>
    <t>RNA1: JN117278, RNA2: JN117279</t>
  </si>
  <si>
    <t>RNA1: EU118277, RNA1: DQ270031, RNA2: EU118278, RNA3: EU118279</t>
  </si>
  <si>
    <t>RNA1: AF316992, RNA2: AF316993</t>
  </si>
  <si>
    <t>RNA1: AY033436, RNA2: AY033437</t>
  </si>
  <si>
    <t>RNA1: D55668, RNA2: D55669</t>
  </si>
  <si>
    <t>RNA1: AY089993, RNA2: AY089994</t>
  </si>
  <si>
    <t>RNA1: AM087202, RNA2: AM087203</t>
  </si>
  <si>
    <t>RNA1: AY738336, RNA2: AY738337</t>
  </si>
  <si>
    <t>RNA1: AY156521, RNA2: AY156522</t>
  </si>
  <si>
    <t>RNA1:Y10973, RNA2:X90904</t>
  </si>
  <si>
    <t>RNA1:AJ132268, RNA2:AJ132269</t>
  </si>
  <si>
    <t>RNA1:AJ306718, RNA2:AJ306719</t>
  </si>
  <si>
    <t>RNA1:D86634, RNA2:D86635</t>
  </si>
  <si>
    <t>RNA1: AB620061, RNA2: AB620062, RNA3: AB620063, RNA4: AB620064</t>
  </si>
  <si>
    <t>S1: DQ126101, S2: DQ126102, S3: DQ126103, S4: DQ126104, S5: DQ126105, S6: DQ126106, S7: DQ126107, S8: DQ126108, S9: DQ126109, S10: DQ126110, S11: DQ126111</t>
  </si>
  <si>
    <t>RNA1: U73201, RNA2: U73202, RNA3: U72757, RNA4: U36562, RNA5: U36563, RNA6: U36564, RNA7: U36402, RNA8: U36565, RNA9: U36566, RNA10: U36567, RNA11: U36568, RNA12: U36569</t>
  </si>
  <si>
    <t>RNA1: AB254451, RNA2: D86439, RNA3: D13774, RNA4: AB254452, RNA5: D76429, RNA6: AB254454, RNA7: AB254453, RNA8: D13410, RNA9: D01047, RNA10: D13411, RNA11: AB030009, RNA12: AB254455</t>
  </si>
  <si>
    <t>RNA4: M24117, RNA5: J03020, RNA6: M24116, RNA7: X14218, RNA8: J04344, RNA9: M24115, RNA10: M24114, RNA11: X14219, RNA12: M11133</t>
  </si>
  <si>
    <t>S1: AY029520, S2: AF049704, S3: AF359556, S4: AF049705, S5: AY029521, S6: AF356083, S7: AY789927, S8: AY297693, S9: AF050086, S10: AY297694</t>
  </si>
  <si>
    <t>S6: X55701, S7: L76562, S8: L76561, S10: L76560</t>
  </si>
  <si>
    <t>S1: AF499925, S2: AF499926, S3: AF499928, S4: AF395873, S5: AY607587, S6: AF499927, S7: AY923115, S8: AF395872, S9: DQ023312, S10: AY607586</t>
  </si>
  <si>
    <t>S1: D49693, S2: D49694, S3: D49695, S4: D49696, S5: D49697, S6: D49698, S7: D49699, S8: D26127, S9: D49700, S10: D14691</t>
  </si>
  <si>
    <t>S7: AB011024, S8: AB011025, S9: AB011026, S10: AB011027</t>
  </si>
  <si>
    <t>S1: AJ294757, S2: AJ409145, S3: AJ293984, S4: AJ409146, S5: AJ409147, S6: AJ409148, S7: AJ297427, S8: AJ297431, S9: AJ297430, S10: AJ297433</t>
  </si>
  <si>
    <t>S1: AY277888, S2: AY277889, S3: AY277890, S4: AB179636, S5: AB179637, S6: AB179638, S7: AB179639, S8: AB179640, S9: AB179641, S10: AB179642, S11: AB179643</t>
  </si>
  <si>
    <t>S1: AB102674, S2: AB098022, S3: AB102675, S5: AB073276, S5: AB098023, S6: AB073277, S7: AB073278, S8: AB073279, S9: AB073280, S10: AB073281, S11: AB073282, S12: AB073283</t>
  </si>
  <si>
    <t>RNA1: AF020334, RNA2: AF020335, RNA3: AF020336, RNA4: U66714, RNA5: U33633, RNA6: AF020337, RNA7: U66713, RNA8: L46682, RNA9: L38899, RNA10: U66712</t>
  </si>
  <si>
    <t>RNA1: L18870, RNA2: M88589</t>
  </si>
  <si>
    <t>RNA1: J04357, RNA2: X08021</t>
  </si>
  <si>
    <t>RNA1: L07884, RNA2: S46028</t>
  </si>
  <si>
    <t>1-Jan</t>
  </si>
  <si>
    <t>1-Feb</t>
  </si>
  <si>
    <t>RNA1: DQ352194, RNA2: DQ352195</t>
  </si>
  <si>
    <t>RNA1: HQ852052, RNA2: HQ852053, RNA3: HQ852054</t>
  </si>
  <si>
    <t>RNA1: S51557, RNA2: S55890</t>
  </si>
  <si>
    <t>RNA1: FJ157981, RNA2: FJ157982, RNA3: FJ157983</t>
  </si>
  <si>
    <t>RNA1: EU770620, RNA2: EU770621, RNA3: EU770622</t>
  </si>
  <si>
    <t>RNA1: EU770623, RNA2: EU770624, RNA3: EU770625</t>
  </si>
  <si>
    <t>RNA1: AJ012005, RNA2: AJ012006</t>
  </si>
  <si>
    <t>RNA1: AB033689, RNA2: AB033690</t>
  </si>
  <si>
    <t>RNA1: AJ132578, RNA2: AJ132579</t>
  </si>
  <si>
    <t>RNA1: AJ132576, RNA2: AJ132577</t>
  </si>
  <si>
    <t>RNA1: L07937, RNA2: L07938</t>
  </si>
  <si>
    <t>RNA1: AB033691, RNA2: AB033692</t>
  </si>
  <si>
    <t>RNA1: J04342, RNA2: X03854, RNA3: M16576</t>
  </si>
  <si>
    <t>RNA1: X99149, RNA2: AF447397</t>
  </si>
  <si>
    <t>RNA1: X78602, RNA2: L07269</t>
  </si>
  <si>
    <t>RNA1: Z97873, RNA2: U64512, RNA3: Z66493</t>
  </si>
  <si>
    <t>RNA1: AJ223596, RNA2: AJ223597, RNA3: AJ223598</t>
  </si>
  <si>
    <t>RNA1: D86636, RNA2: D86637, RNA3: D86638</t>
  </si>
  <si>
    <t>RNA1: AJ238607, RNA2: AJ243719, RNA3: AJ277556</t>
  </si>
  <si>
    <t>RNA1: X14006, RNA2: X51828</t>
  </si>
  <si>
    <t>RNA1: L23972, RNA2: X03241</t>
  </si>
  <si>
    <t>Mòjiāng virus</t>
  </si>
  <si>
    <t>Xīnchéng mosquito virus</t>
  </si>
  <si>
    <t>Lĭshì spider virus 2</t>
  </si>
  <si>
    <t>Tǎchéng tick virus 6</t>
  </si>
  <si>
    <t>Wēnzhōu crab virus 1</t>
  </si>
  <si>
    <t>Sānxiá water strider virus 4</t>
  </si>
  <si>
    <t>Wēnzhōu virus isolate Wencheng Rn-242</t>
  </si>
  <si>
    <t>Morocco</t>
  </si>
  <si>
    <t>Demler</t>
  </si>
  <si>
    <t>Sudan virus/H.sapiens-tc/UGA/2000/Gulu-808892</t>
  </si>
  <si>
    <t>Ebola virus/H.sapiens-tc/COD/1976/Yambuku-Mayinga</t>
  </si>
  <si>
    <t xml:space="preserve">MtFE87 </t>
  </si>
  <si>
    <t>Spreadsheet Column Name</t>
  </si>
  <si>
    <t>Definition</t>
  </si>
  <si>
    <t>A  'Genus' is a level in the taxonomic hierarchy into which virus species can be classified.  If 'Unassigned' (which is rare) that species has not been assigned to a Genus.</t>
  </si>
  <si>
    <r>
      <t xml:space="preserve">A Species is the lowest taxonomic level in the hierarchy approved by the ICTV. While subspecies levels of classification may exist for some viruses species (e.g. </t>
    </r>
    <r>
      <rPr>
        <i/>
        <sz val="12"/>
        <color indexed="8"/>
        <rFont val="Arial"/>
        <family val="2"/>
      </rPr>
      <t>Hepatitis C virus</t>
    </r>
    <r>
      <rPr>
        <sz val="12"/>
        <color indexed="8"/>
        <rFont val="Arial"/>
        <family val="2"/>
      </rPr>
      <t>), the ICTV does not discuss or approve the classification of viruses below the species level.</t>
    </r>
  </si>
  <si>
    <t>One 'Type Species' is chosen for each Genus to serve as an example of a well characterized species for that Genus. If the value in this column is '1', this indicates that this species has been chosen as the type species for its genus.</t>
  </si>
  <si>
    <t>Exemplar GenBank Accession Number</t>
  </si>
  <si>
    <t>The GenBank accession number for the complete genomic sequence of a representative virus isolate classified as a member of the indicated species.</t>
  </si>
  <si>
    <t>The name of a representative virus isolate classified as a member of the indicated species.</t>
  </si>
  <si>
    <t>The nature (molecular and genetic composition) of the virus genome packaged into the virion. Possible values are:
- dsDNA
- ssDNA
- ssDNA(-)
- ssDNA(+)
- ssDNA(+/-)
- dsDNA-RT
- ssRNA-RT
- dsRNA
- ssRNA(-)
- ssRNA(+)
- ssRNA(+/-)
- Viroid</t>
  </si>
  <si>
    <t>The last change made to each virus species across the entire history of the taxon. Possible changes include a combination of the following:
- Abolished
- Merged
- Moved
- New
- Promoted
- Renamed
- Split
- Assigned as Type Species</t>
  </si>
  <si>
    <t>The release number of the Master Species List (MSL) where the Last Change occurred. See http://www.ictvonline.org/taxonomyReleases.asp for a list of MSLs and their year of release.</t>
  </si>
  <si>
    <t>The web url link that provides the complete taxonomic history of the species. The proposal indicated above can be downloaded from the link provided by the last changed entry in the history.</t>
  </si>
  <si>
    <t>MSL of Last Change</t>
  </si>
  <si>
    <t>ICTV 2016 Master Species List (MSL31)</t>
  </si>
  <si>
    <t>New MSL including all taxa updates since the 2015 release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</si>
  <si>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</si>
  <si>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</si>
  <si>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</si>
  <si>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</si>
  <si>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</si>
  <si>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</si>
  <si>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</si>
  <si>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</si>
  <si>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</si>
  <si>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</si>
  <si>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</si>
  <si>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</si>
  <si>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</si>
  <si>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</si>
  <si>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</si>
  <si>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</si>
  <si>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</si>
  <si>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</si>
  <si>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</si>
  <si>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</si>
  <si>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</si>
  <si>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Thottapalayam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</si>
  <si>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</si>
  <si>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</si>
  <si>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</si>
  <si>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</si>
  <si>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</si>
  <si>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</si>
  <si>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</si>
  <si>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</si>
  <si>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</si>
  <si>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</si>
  <si>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</si>
  <si>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</si>
  <si>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</si>
  <si>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</si>
  <si>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</si>
  <si>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Groundnut bud necrosis orthotospovirus</t>
  </si>
  <si>
    <t>Groundnut ringspot orthotospovirus</t>
  </si>
  <si>
    <t>Groundnut yellow spot orthotospovirus</t>
  </si>
  <si>
    <t>Impatiens necrotic spot orthotospovirus</t>
  </si>
  <si>
    <t>Iris yellow spot orthotospovirus</t>
  </si>
  <si>
    <t>Polygonum ringspot orthotospovirus</t>
  </si>
  <si>
    <t>Tomato chlorotic spot orthotospovirus</t>
  </si>
  <si>
    <t>Tomato spotted wilt orthotospovirus</t>
  </si>
  <si>
    <t>Watermelon bud necrosis orthotospovirus</t>
  </si>
  <si>
    <t>Watermelon silver mottle orthotospovirus</t>
  </si>
  <si>
    <t>Zucchini lethal chlorosis orthotospovirus</t>
  </si>
  <si>
    <t>Bcep22virus</t>
  </si>
  <si>
    <t>P22</t>
  </si>
  <si>
    <t>KJ186782</t>
  </si>
  <si>
    <t>JN192445</t>
  </si>
  <si>
    <t>KM817661</t>
  </si>
  <si>
    <t>KM817632</t>
  </si>
  <si>
    <t>KM817641</t>
  </si>
  <si>
    <t>KM817644</t>
  </si>
  <si>
    <t>KM817633</t>
  </si>
  <si>
    <t>AY805074</t>
  </si>
  <si>
    <t>AJ002234</t>
  </si>
  <si>
    <t>M89923</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</si>
  <si>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</si>
  <si>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</si>
  <si>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</si>
  <si>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</si>
  <si>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</si>
  <si>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</si>
  <si>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</si>
  <si>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</si>
  <si>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</si>
  <si>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</si>
  <si>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</si>
  <si>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</si>
  <si>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KC430935</t>
  </si>
  <si>
    <t>KC426927, KC426928</t>
  </si>
  <si>
    <t>HE617299, HE617300</t>
  </si>
  <si>
    <t>HE580234</t>
  </si>
  <si>
    <t>HM626515</t>
  </si>
  <si>
    <t>FM877858</t>
  </si>
  <si>
    <t>HM007106</t>
  </si>
  <si>
    <t>HM007121</t>
  </si>
  <si>
    <t>EF408037</t>
  </si>
  <si>
    <t>FJ011668, FJ011669</t>
  </si>
  <si>
    <t>FN396966</t>
  </si>
  <si>
    <t>KC196077</t>
  </si>
  <si>
    <t>KF358470</t>
  </si>
  <si>
    <t>EF165536</t>
  </si>
  <si>
    <t>EU377539</t>
  </si>
  <si>
    <t>JQ866297</t>
  </si>
  <si>
    <t>KF429251</t>
  </si>
  <si>
    <t>KC898543</t>
  </si>
  <si>
    <t>EU798996</t>
  </si>
  <si>
    <t>JX025358</t>
  </si>
  <si>
    <t>KF723258, KF723261</t>
  </si>
  <si>
    <t>FJ177030</t>
  </si>
  <si>
    <t>KC577540</t>
  </si>
  <si>
    <t>EU360303</t>
  </si>
  <si>
    <t>KC149938</t>
  </si>
  <si>
    <t>JX183732</t>
  </si>
  <si>
    <t>KF414123</t>
  </si>
  <si>
    <t>JQ793786</t>
  </si>
  <si>
    <t>HM777508, HM777510</t>
  </si>
  <si>
    <t>JN809819</t>
  </si>
  <si>
    <t>JX857691</t>
  </si>
  <si>
    <t>EU710751</t>
  </si>
  <si>
    <t>FN436001</t>
  </si>
  <si>
    <t>JX857693</t>
  </si>
  <si>
    <t>EU710750</t>
  </si>
  <si>
    <t>HM357458</t>
  </si>
  <si>
    <t>GQ472985, GQ472986</t>
  </si>
  <si>
    <t>KF660223</t>
  </si>
  <si>
    <t>FJ455449</t>
  </si>
  <si>
    <t>KC907406</t>
  </si>
  <si>
    <t>KC488316</t>
  </si>
  <si>
    <t>KF156759</t>
  </si>
  <si>
    <t>AM701760</t>
  </si>
  <si>
    <t>KC791690</t>
  </si>
  <si>
    <t>KC791691</t>
  </si>
  <si>
    <t>HM357456</t>
  </si>
  <si>
    <t>JF803252</t>
  </si>
  <si>
    <t>HF912280</t>
  </si>
  <si>
    <t>JQ897969</t>
  </si>
  <si>
    <t>KF551592</t>
  </si>
  <si>
    <t>AM884015, AM992534</t>
  </si>
  <si>
    <t>EU862323</t>
  </si>
  <si>
    <t>DQ339117</t>
  </si>
  <si>
    <t>FJ237614</t>
  </si>
  <si>
    <t xml:space="preserve">FN543425, FN543426 </t>
  </si>
  <si>
    <t>KC430936</t>
  </si>
  <si>
    <t>X07653</t>
  </si>
  <si>
    <t>L25299</t>
  </si>
  <si>
    <t>KC921392</t>
  </si>
  <si>
    <t>U03563</t>
  </si>
  <si>
    <t>Bunyavirales</t>
  </si>
  <si>
    <t>Fimoviridae</t>
  </si>
  <si>
    <t>Hantaviridae</t>
  </si>
  <si>
    <t>Orthohantavirus</t>
  </si>
  <si>
    <t>Nairoviridae</t>
  </si>
  <si>
    <t>Orthonairovirus</t>
  </si>
  <si>
    <t>Peribunyaviridae</t>
  </si>
  <si>
    <t>Phenuiviridae</t>
  </si>
  <si>
    <t>Tospoviridae</t>
  </si>
  <si>
    <t>Orthotospovirus</t>
  </si>
  <si>
    <t>Ounavirinae</t>
  </si>
  <si>
    <t>Ea214virus</t>
  </si>
  <si>
    <t>EU710883</t>
  </si>
  <si>
    <t>2016.031a-rB.A.v2.Ounavirinae</t>
  </si>
  <si>
    <t>EU877232</t>
  </si>
  <si>
    <t>Elvirus</t>
  </si>
  <si>
    <t>AJ697969</t>
  </si>
  <si>
    <t>EL</t>
  </si>
  <si>
    <t>2016.038a-gB.A.v1.Elvirus</t>
  </si>
  <si>
    <t>Cp1virus</t>
  </si>
  <si>
    <t>Z47794</t>
  </si>
  <si>
    <t>2016.009a-fB.A.v1Cp1virus</t>
  </si>
  <si>
    <t>Bclasvirinae</t>
  </si>
  <si>
    <t>Acadianvirus</t>
  </si>
  <si>
    <t>2016.005a-yB.A.v2.Bclasvirinae</t>
  </si>
  <si>
    <t>Coopervirus</t>
  </si>
  <si>
    <t>Pipefishvirus</t>
  </si>
  <si>
    <t>Rosebushvirus</t>
  </si>
  <si>
    <t>Salmonella virus f18SE</t>
  </si>
  <si>
    <t>KR270151</t>
  </si>
  <si>
    <t>Salmonella phage f18SE</t>
  </si>
  <si>
    <t>2016.069a-wB.A.v5.Caudovirales_38sp</t>
  </si>
  <si>
    <t>Mclasvirinae</t>
  </si>
  <si>
    <t>Bongovirus</t>
  </si>
  <si>
    <t>Pclasvirinae</t>
  </si>
  <si>
    <t>2016.037a-mB.A.v1.Pclasvirinae</t>
  </si>
  <si>
    <t>Fishburnevirus</t>
  </si>
  <si>
    <t>Patiencevirus</t>
  </si>
  <si>
    <t>Rer2virus</t>
  </si>
  <si>
    <t>Rhodococcus phage RER2</t>
  </si>
  <si>
    <t>Hapavirus</t>
  </si>
  <si>
    <t>Flanders hapavirus</t>
  </si>
  <si>
    <t>KM205002</t>
  </si>
  <si>
    <t>2016.005a-gM.A.v4.Hapavirus</t>
  </si>
  <si>
    <t>Ngaingan hapavirus</t>
  </si>
  <si>
    <t>Wongabel hapavirus</t>
  </si>
  <si>
    <t>2016.020a-acS.A.v2.Arteriviridae_rev</t>
  </si>
  <si>
    <t>X53459</t>
  </si>
  <si>
    <t>African pouched rat arterivirus</t>
  </si>
  <si>
    <t>U15146</t>
  </si>
  <si>
    <t>Rat arterivirus Jilin2014</t>
  </si>
  <si>
    <t>AF046869</t>
  </si>
  <si>
    <t>AF180391</t>
  </si>
  <si>
    <t>Betaendornavirus</t>
  </si>
  <si>
    <t>Sclerotinia sclerotiorum betaendornavirus 1</t>
  </si>
  <si>
    <t>Sclerotinia sclerotiorum endornavirus 11691</t>
  </si>
  <si>
    <t>Fibrovirus</t>
  </si>
  <si>
    <t>D89074</t>
  </si>
  <si>
    <t xml:space="preserve">V. cholera phage/prophage fs1 </t>
  </si>
  <si>
    <t>2016.080a-abB.A.v3.Inoviridae_rev</t>
  </si>
  <si>
    <t>Lineavirus</t>
  </si>
  <si>
    <t>X14336</t>
  </si>
  <si>
    <t>enterobacteria phage I2-2</t>
  </si>
  <si>
    <t>X02139</t>
  </si>
  <si>
    <t>Escherichia coli phage IKe</t>
  </si>
  <si>
    <t>Saetivirus</t>
  </si>
  <si>
    <t>AB002632</t>
  </si>
  <si>
    <t xml:space="preserve">V. cholera phage fs2 </t>
  </si>
  <si>
    <t>U02303</t>
  </si>
  <si>
    <t xml:space="preserve">Escherichia coli phage If1 </t>
  </si>
  <si>
    <t>X52107</t>
  </si>
  <si>
    <t xml:space="preserve">Pseudomonas phage Pf1 </t>
  </si>
  <si>
    <t>M11912</t>
  </si>
  <si>
    <t xml:space="preserve">Pseudomonas phage Pf3 </t>
  </si>
  <si>
    <t>GU942563</t>
  </si>
  <si>
    <t xml:space="preserve">V. cholera phage/prophage CTXφ </t>
  </si>
  <si>
    <t>AB012573</t>
  </si>
  <si>
    <t xml:space="preserve">V. parahaemolyticus phage Vf33 </t>
  </si>
  <si>
    <t>M57538,U41819</t>
  </si>
  <si>
    <t>Xanthomonas phage/prophage Cf1c</t>
  </si>
  <si>
    <t>Vespertiliovirus</t>
  </si>
  <si>
    <t>U28974</t>
  </si>
  <si>
    <t>Spiroplasma phage/prophage SpV1-C74</t>
  </si>
  <si>
    <t>X51344</t>
  </si>
  <si>
    <t xml:space="preserve">Spiroplasma phage/prophage SpV1-R8A2B </t>
  </si>
  <si>
    <t>Alphairidovirinae</t>
  </si>
  <si>
    <t>L63545</t>
  </si>
  <si>
    <t>flounder lymphocystis disease virus</t>
  </si>
  <si>
    <t>2016.009a-kD.A.v2.Iridoviridae_2subf</t>
  </si>
  <si>
    <t>AF371960</t>
  </si>
  <si>
    <t>infectious spleen and kidney necrosis virus</t>
  </si>
  <si>
    <t>AY150217</t>
  </si>
  <si>
    <t>Regina ranavirus</t>
  </si>
  <si>
    <t>AF157650,AF157651</t>
  </si>
  <si>
    <t>FJ433873</t>
  </si>
  <si>
    <t>epizootic haematopoietic necrosis virus</t>
  </si>
  <si>
    <t>JQ724856</t>
  </si>
  <si>
    <t>European sheatfish virus</t>
  </si>
  <si>
    <t>AY548484</t>
  </si>
  <si>
    <t>tiger frog virus</t>
  </si>
  <si>
    <t>AF080250</t>
  </si>
  <si>
    <t>Largemouth bass virus</t>
  </si>
  <si>
    <t>Betairidovirinae</t>
  </si>
  <si>
    <t>AJ312708</t>
  </si>
  <si>
    <t>mosquito iridescent virus</t>
  </si>
  <si>
    <t>M33542,M62953</t>
  </si>
  <si>
    <t>Tipula iridescent virus</t>
  </si>
  <si>
    <t>AF303741</t>
  </si>
  <si>
    <t>Chilo iridescent virus</t>
  </si>
  <si>
    <t>Tristromaviridae</t>
  </si>
  <si>
    <t>Alphatristromavirus</t>
  </si>
  <si>
    <t>2016.064a-jB.A.v2.Tristromaviridae</t>
  </si>
  <si>
    <t>Feraviridae</t>
  </si>
  <si>
    <t>Orthoferavirus</t>
  </si>
  <si>
    <t>Ferak orthoferavirus</t>
  </si>
  <si>
    <t>L:KP710246,M:KP710264,S:KP710267</t>
  </si>
  <si>
    <t>ferak virus C51-CI-2004</t>
  </si>
  <si>
    <t>Actinidia chlorotic ringspot-associated emaravirus</t>
  </si>
  <si>
    <t>RNA1:KT861481,RNA2:KT861482,RNA3:KT861483,RNA4:KT861484,RNA5:KT861485</t>
  </si>
  <si>
    <t>Actinidia chlorotic ringspot associated virus HN-6</t>
  </si>
  <si>
    <t>2016.016aP.A.v3.Emaravirus_sp</t>
  </si>
  <si>
    <t>Pigeonpea sterility mosaic emaravirus 2</t>
  </si>
  <si>
    <t>RNA1:HF912243,RNA2:HF912244,RNA3:HF912245,RNA4:HF912246,RNA5:HG939489,RNA6:HG939490</t>
  </si>
  <si>
    <t>pigeonpea sterility mosaic virus isolate ICP8863</t>
  </si>
  <si>
    <t>2016.017aP.A.v3.Emaravirus_sp</t>
  </si>
  <si>
    <t>Redbud yellow ringspot-associated emaravirus</t>
  </si>
  <si>
    <t>RNA1:JF795479,RNA2:JF795480,RNA3:JF795481,RNA4:JF795482,RNA5:KU904300</t>
  </si>
  <si>
    <t>redbud yellow ringspot virus isolate Arkansas</t>
  </si>
  <si>
    <t>2016.018aP.A.v4.Emaravirus_sp</t>
  </si>
  <si>
    <t>Amga orthohantavirus</t>
  </si>
  <si>
    <t>M:KF974359,S:KF974360</t>
  </si>
  <si>
    <t>Amga virus AH301</t>
  </si>
  <si>
    <t>2016.023a-cM.A.v2.Hantavirus_sprev</t>
  </si>
  <si>
    <t>Asama orthohantavirus</t>
  </si>
  <si>
    <t>M:EU929075,S:EU929072</t>
  </si>
  <si>
    <t>Asama virus N10</t>
  </si>
  <si>
    <t>Asikkala orthohantavirus</t>
  </si>
  <si>
    <t>L:KC880347,M:KC880344,S:KC880341</t>
  </si>
  <si>
    <t>Asikkala virus CZ/Beskydy/412/2010/Sm</t>
  </si>
  <si>
    <t>Bowe orthohantavirus</t>
  </si>
  <si>
    <t>L:KC631784,M:KC631783,S:KC631782</t>
  </si>
  <si>
    <t>Bowé virus VN1512</t>
  </si>
  <si>
    <t>Bruges orthohantavirus</t>
  </si>
  <si>
    <t>L:KX551962,M:KX551961,S:KX551960</t>
  </si>
  <si>
    <t>Bruges virus BE/Vieux-Genappe/TE/2013/1</t>
  </si>
  <si>
    <t>Cao Bang orthohantavirus</t>
  </si>
  <si>
    <t>L:EF543525,M:EF543526,S:EF543524</t>
  </si>
  <si>
    <t>Cao Bang virus 3</t>
  </si>
  <si>
    <t>Choclo orthohantavirus</t>
  </si>
  <si>
    <t>M:DQ285047,S:DQ285046</t>
  </si>
  <si>
    <t>Choclo virus MSB96073</t>
  </si>
  <si>
    <t>Dabieshan orthohantavirus</t>
  </si>
  <si>
    <t>M:JF796036,S:JF796022</t>
  </si>
  <si>
    <t>Dabieshan virus Yongjia-Nc-58</t>
  </si>
  <si>
    <t>Fugong orthohantavirus</t>
  </si>
  <si>
    <t>L:KT899703,M:KT899702,S:KT899701</t>
  </si>
  <si>
    <t>Fugong virus FG10</t>
  </si>
  <si>
    <t>Fusong orthohantavirus</t>
  </si>
  <si>
    <t>M:EU072488,S:EU072480</t>
  </si>
  <si>
    <t>Fusong virus Fusong-Mf-682</t>
  </si>
  <si>
    <t>Imjin orthohantavirus</t>
  </si>
  <si>
    <t>L:KJ420567,M:KJ420541,S:KJ420559</t>
  </si>
  <si>
    <t>Imjin virus Cixi-Cl-23</t>
  </si>
  <si>
    <t>Jeju orthohantavirus</t>
  </si>
  <si>
    <t>L:HQ834697,M:HQ834696,S:HQ834695</t>
  </si>
  <si>
    <t>Jeju virus 10-11</t>
  </si>
  <si>
    <t>Kenkeme orthohantavirus</t>
  </si>
  <si>
    <t>L:KJ857320,M:KJ857337,S:KJ857341</t>
  </si>
  <si>
    <t>Kenkeme virus Fuyuan-Sr-326</t>
  </si>
  <si>
    <t>Laibin orthohantavirus</t>
  </si>
  <si>
    <t>L:KM102249,M:KM102248,S:KM102247</t>
  </si>
  <si>
    <t>Laibin virus BT20</t>
  </si>
  <si>
    <t>Longquan orthohantavirus</t>
  </si>
  <si>
    <t>M:JX465402,S:JX465422</t>
  </si>
  <si>
    <t>Longquan virus Longquan-Rs-32</t>
  </si>
  <si>
    <t>Luxi orthohantavirus</t>
  </si>
  <si>
    <t>L:HQ404253,M:HM756287,S:HM756286</t>
  </si>
  <si>
    <t>Luxi virus LX309</t>
  </si>
  <si>
    <t>Maporal orthohantavirus</t>
  </si>
  <si>
    <t>L:EU788002,M:AY363179,S:AB689164</t>
  </si>
  <si>
    <t>Maporal virus HV-97021050</t>
  </si>
  <si>
    <t>Montano orthohantavirus</t>
  </si>
  <si>
    <t>L:AB620102,M:AB620101,S:AB620100</t>
  </si>
  <si>
    <t>Montano virus 104/2006</t>
  </si>
  <si>
    <t>Necocli orthohantavirus</t>
  </si>
  <si>
    <t>M:KF494345,S:KF481954</t>
  </si>
  <si>
    <t>Necocli virus HV-O0020002</t>
  </si>
  <si>
    <t>Nova orthohantavirus</t>
  </si>
  <si>
    <t>L:KR072623,M:KR072622,S:KR072621</t>
  </si>
  <si>
    <t>Nova virus 3483 (Te34)</t>
  </si>
  <si>
    <t>Oxbow orthohantavirus</t>
  </si>
  <si>
    <t>M:FJ539167,S:FJ539166</t>
  </si>
  <si>
    <t>Oxbow virus Ng1453</t>
  </si>
  <si>
    <t>Quezon orthohantavirus</t>
  </si>
  <si>
    <t>L:KU950715,M:KU950714,S:KU950713</t>
  </si>
  <si>
    <t>Quezon virus</t>
  </si>
  <si>
    <t>Rockport orthohantavirus</t>
  </si>
  <si>
    <t>L:HM015221,M:HM015219,S:HM015223</t>
  </si>
  <si>
    <t>Rockport virus MSB57412</t>
  </si>
  <si>
    <t>Yakeshi orthohantavirus</t>
  </si>
  <si>
    <t>M:JX465403,S:JX465423</t>
  </si>
  <si>
    <t>Yakeshi virus Yakeshi-Si-210</t>
  </si>
  <si>
    <t>Herbevirus</t>
  </si>
  <si>
    <t>Herbert herbevirus</t>
  </si>
  <si>
    <t>L:JQ659256,M:JQ659257,S:JQ659258</t>
  </si>
  <si>
    <t>Herbert virus C60/CI/2004</t>
  </si>
  <si>
    <t>2016.024a-dM.A.v2.Herbevirus</t>
  </si>
  <si>
    <t>Kibale herbevirus</t>
  </si>
  <si>
    <t>L:KF590577,M:KF590576,S:KF590575</t>
  </si>
  <si>
    <t>Kibale virus P07/UG/2008</t>
  </si>
  <si>
    <t>Shuangao insect herbevirus 1</t>
  </si>
  <si>
    <t>L:KM817679,M:KM817714,S:KM817739</t>
  </si>
  <si>
    <t>Shuāngào insect virus 1 QSA02</t>
  </si>
  <si>
    <t>Tai herbevirus</t>
  </si>
  <si>
    <t>L:KF590574,M:KF590573,S:KF590572</t>
  </si>
  <si>
    <t>Taï virus F47/CI/2004</t>
  </si>
  <si>
    <t>Jonviridae</t>
  </si>
  <si>
    <t>Orthojonvirus</t>
  </si>
  <si>
    <t>L:KP710232,L:KP710240,L:KP710243</t>
  </si>
  <si>
    <t>jonchet virus B81-CI-2004</t>
  </si>
  <si>
    <t>Burana orthonairovirus</t>
  </si>
  <si>
    <t>L:KM817683,M:KM817717,S:KM817743</t>
  </si>
  <si>
    <t>Tǎchéng tick virus 1</t>
  </si>
  <si>
    <t>2016.026a,bM.A.v3.Nairovirus_5sp</t>
  </si>
  <si>
    <t>Hazara orthonairovirus</t>
  </si>
  <si>
    <t>L:KP406723,M:KP406724,S:KP406725</t>
  </si>
  <si>
    <t>Hazara virus</t>
  </si>
  <si>
    <t>Kasokero orthonairovirus</t>
  </si>
  <si>
    <t>L:KR537444,M:KR537445,S:KR537446</t>
  </si>
  <si>
    <t>Kasokero virus</t>
  </si>
  <si>
    <t>Keterah orthonairovirus</t>
  </si>
  <si>
    <t>L:KR537447,M:KR537448,S:KR537449</t>
  </si>
  <si>
    <t>Keterah virus</t>
  </si>
  <si>
    <t>Nairobi sheep disease orthonairovirus</t>
  </si>
  <si>
    <t>L:KM464726,M:KM464725,S:KM464724</t>
  </si>
  <si>
    <t>Nairobi sheep disease virus</t>
  </si>
  <si>
    <t>Phasmaviridae</t>
  </si>
  <si>
    <t>Orthophasmavirus</t>
  </si>
  <si>
    <t>Kigluaik phantom orthophasmavirus</t>
  </si>
  <si>
    <t>L:KJ434182,M:KJ434183,S:KJ434184</t>
  </si>
  <si>
    <t>Kigluaik phantom virus G10N</t>
  </si>
  <si>
    <t>2016.028a-dM.A.v3.Orthophasmavirus</t>
  </si>
  <si>
    <t>Nome phantom orthophasmavirus</t>
  </si>
  <si>
    <t>L:KJ434185,L:KJ434186,M:KJ434187</t>
  </si>
  <si>
    <t>Nome phantom virus TE13</t>
  </si>
  <si>
    <t>Shuangao insect orthophasmavirus 2</t>
  </si>
  <si>
    <t>L:KM817680, M:KM817715, S1:KM817740, S2:KM817741</t>
  </si>
  <si>
    <t>Shuāngào insect virus 2 QSA03</t>
  </si>
  <si>
    <t>Wuchang cockroach orthophasmavirus 1</t>
  </si>
  <si>
    <t>L:KM817688,M:KM817721,S:KM817748</t>
  </si>
  <si>
    <t>Wǔchāng cockroach virus 1 ECZL-5</t>
  </si>
  <si>
    <t>Wuhan mosquito orthophasmavirus 1</t>
  </si>
  <si>
    <t>L:KM817697,M:KM817726,S:KM817758</t>
  </si>
  <si>
    <t>Wǔhàn mosquito virus 1 WT3-15</t>
  </si>
  <si>
    <t>Wuhan mosquito orthophasmavirus 2</t>
  </si>
  <si>
    <t>L:KM817698,M:KM817727,S:KM817759</t>
  </si>
  <si>
    <t>Wǔhàn mosquito virus 2 QN2-7</t>
  </si>
  <si>
    <t>Goukovirus</t>
  </si>
  <si>
    <t>Cumuto goukovirus</t>
  </si>
  <si>
    <t>L:KF543244,M:KF543245,S:KF543246</t>
  </si>
  <si>
    <t>Cumuto virus TR7094</t>
  </si>
  <si>
    <t>2016.022a-dM.A.v2.Goukovirus</t>
  </si>
  <si>
    <t>Gouleako goukovirus</t>
  </si>
  <si>
    <t>L:HQ541738,M:HQ541737,S:HQ541736</t>
  </si>
  <si>
    <t>Gouléako virus A5/CI/2004</t>
  </si>
  <si>
    <t>Yichang insect goukovirus</t>
  </si>
  <si>
    <t>L:KM817703,M:KM817730,S:KM817763</t>
  </si>
  <si>
    <t>Yíchāng insect virus YCYC01</t>
  </si>
  <si>
    <t>Phasivirus</t>
  </si>
  <si>
    <t>Badu phasivirus</t>
  </si>
  <si>
    <t>L:KT693187,M:KT693188,S:KT693189</t>
  </si>
  <si>
    <t>Badu virus TS6347</t>
  </si>
  <si>
    <t>2016.027a-dM.A.v2.Phasivirus</t>
  </si>
  <si>
    <t>Phasi Charoen-like phasivirus</t>
  </si>
  <si>
    <t>L:KR003786,M:KR003784,S:KR003785</t>
  </si>
  <si>
    <t>Phasi Charoen-like virus Rio</t>
  </si>
  <si>
    <t>Wuhan fly phasivirus</t>
  </si>
  <si>
    <t>L:KM817689,M:KM817722,S:KM817749</t>
  </si>
  <si>
    <t>Wǔhàn fly virus SYY1-9</t>
  </si>
  <si>
    <t>Wutai mosquito phasivirus</t>
  </si>
  <si>
    <t>L:KM817700,M:KM817728,S:KM817761</t>
  </si>
  <si>
    <t>Wǔtái mosquito virus QN3-5</t>
  </si>
  <si>
    <t>Campylobacter virus CP30A</t>
  </si>
  <si>
    <t>JX569801</t>
  </si>
  <si>
    <t>Campylobacter phage CP30A</t>
  </si>
  <si>
    <t>Erwinia virus M7</t>
  </si>
  <si>
    <t>HQ728263</t>
  </si>
  <si>
    <t>Erwinia phage vB_EamM-M7</t>
  </si>
  <si>
    <t>Escherichia virus HY02</t>
  </si>
  <si>
    <t>KM092515</t>
  </si>
  <si>
    <t>Escherichia phage HY02</t>
  </si>
  <si>
    <t>Escherichia virus TP1</t>
  </si>
  <si>
    <t>KP869100</t>
  </si>
  <si>
    <t>Escherichia typing phage 1</t>
  </si>
  <si>
    <t>Mooglevirus</t>
  </si>
  <si>
    <t>Citrobacter virus Moogle</t>
  </si>
  <si>
    <t>KM236239</t>
  </si>
  <si>
    <t>Citrobacter phage Moogle</t>
  </si>
  <si>
    <t>Citrobacter virus Mordin</t>
  </si>
  <si>
    <t>KT363872</t>
  </si>
  <si>
    <t>Citrobacter phage Mordin</t>
  </si>
  <si>
    <t>Suspvirus</t>
  </si>
  <si>
    <t>Escherichia virus SUSP1</t>
  </si>
  <si>
    <t>KT454805</t>
  </si>
  <si>
    <t>Escherichia phage phiSUSP1</t>
  </si>
  <si>
    <t>Escherichia virus SUSP2</t>
  </si>
  <si>
    <t>KT454806</t>
  </si>
  <si>
    <t>Escherichia phage phiSUSP2</t>
  </si>
  <si>
    <t>Staphylococcus virus Rodi</t>
  </si>
  <si>
    <t>KP027446</t>
  </si>
  <si>
    <t>Staphylococcus phage phiIPLA-RODI</t>
  </si>
  <si>
    <t>Staphylococcus virus S25-4</t>
  </si>
  <si>
    <t>AB853331</t>
  </si>
  <si>
    <t>Staphylococcus phage S25-4</t>
  </si>
  <si>
    <t>Staphylococcus virus Stau2</t>
  </si>
  <si>
    <t>KP881332</t>
  </si>
  <si>
    <t>Staphylococcus phage Stau2</t>
  </si>
  <si>
    <t>Bacillus virus Camphawk</t>
  </si>
  <si>
    <t>KF669649</t>
  </si>
  <si>
    <t>Bacillus phage CampHawk</t>
  </si>
  <si>
    <t>Tsarbombavirus</t>
  </si>
  <si>
    <t>Bacillus virus BCP78</t>
  </si>
  <si>
    <t>JN797797</t>
  </si>
  <si>
    <t>Bacillus phage BCP78</t>
  </si>
  <si>
    <t>2016.051a-dB.A.v1.Tsarbombavirus</t>
  </si>
  <si>
    <t>Bacillus virus TsarBomba</t>
  </si>
  <si>
    <t>KT224359</t>
  </si>
  <si>
    <t>Bacillus phage TsarBomba</t>
  </si>
  <si>
    <t>Jd18virus</t>
  </si>
  <si>
    <t>Klebsiella virus JD18</t>
  </si>
  <si>
    <t>KT239446</t>
  </si>
  <si>
    <t>Klebsiella phage JD18</t>
  </si>
  <si>
    <t>2016.071a-dB.A.v1.Jd18virus</t>
  </si>
  <si>
    <t>Klebsiella virus PKO111</t>
  </si>
  <si>
    <t>KR269720</t>
  </si>
  <si>
    <t>Klebsiella phage PKO111</t>
  </si>
  <si>
    <t>Escherichia virus QL01</t>
  </si>
  <si>
    <t>KT176190</t>
  </si>
  <si>
    <t>Escherichia phage QL01</t>
  </si>
  <si>
    <t>Kp15virus</t>
  </si>
  <si>
    <t>Enterobacter virus Eap3</t>
  </si>
  <si>
    <t>KT321315</t>
  </si>
  <si>
    <t>Enterobacter phage phiEap-3</t>
  </si>
  <si>
    <t>2016.022a-dB.A.v1.Kp15virus</t>
  </si>
  <si>
    <t>Klebsiella virus KP15</t>
  </si>
  <si>
    <t>GU295964</t>
  </si>
  <si>
    <t>Klebsiella phage KP15</t>
  </si>
  <si>
    <t>Klebsiella virus KP27</t>
  </si>
  <si>
    <t>HQ918180</t>
  </si>
  <si>
    <t>Klebsiella phage KP27</t>
  </si>
  <si>
    <t>Klebsiella virus Matisse</t>
  </si>
  <si>
    <t>KT001918</t>
  </si>
  <si>
    <t>Klebsiella phage Matisse</t>
  </si>
  <si>
    <t>Klebsiella virus Miro</t>
  </si>
  <si>
    <t>KT001919</t>
  </si>
  <si>
    <t>Klebsiella phage Miro</t>
  </si>
  <si>
    <t>Moonvirus</t>
  </si>
  <si>
    <t>Citrobacter virus Merlin</t>
  </si>
  <si>
    <t>KT001915</t>
  </si>
  <si>
    <t>Citrobacter phage Merlin</t>
  </si>
  <si>
    <t>2016.029a-dB.A.v1.Moonvirus</t>
  </si>
  <si>
    <t>Citrobacter virus Moon</t>
  </si>
  <si>
    <t>KM236240</t>
  </si>
  <si>
    <t>Citrobacter phage Moon</t>
  </si>
  <si>
    <t>Escherichia virus JSE</t>
  </si>
  <si>
    <t>EU863408</t>
  </si>
  <si>
    <t>Escherichia phage JSE</t>
  </si>
  <si>
    <t>Escherichia virus HY01</t>
  </si>
  <si>
    <t>KF925357</t>
  </si>
  <si>
    <t>Escherichia phage HY01</t>
  </si>
  <si>
    <t>Cronobacter virus PBES02</t>
  </si>
  <si>
    <t>KT353109</t>
  </si>
  <si>
    <t>Cronobacter phage PBES 02</t>
  </si>
  <si>
    <t>Pectobacterium virus phiTE</t>
  </si>
  <si>
    <t>JQ015307</t>
  </si>
  <si>
    <t>Pectobacterium phage phiTE</t>
  </si>
  <si>
    <t>Abouovirus</t>
  </si>
  <si>
    <t>Brevibacillus virus Abouo</t>
  </si>
  <si>
    <t>KC595517</t>
  </si>
  <si>
    <t>Brevibacillus phage Abouo</t>
  </si>
  <si>
    <t>2016.002a-dB.A.v1.Abouovirus</t>
  </si>
  <si>
    <t>Brevibacillus virus Davies</t>
  </si>
  <si>
    <t>KC595518</t>
  </si>
  <si>
    <t>Brevibacillus phage Davies</t>
  </si>
  <si>
    <t>Agrican357virus</t>
  </si>
  <si>
    <t>Erwinia virus Deimos</t>
  </si>
  <si>
    <t>KU886225</t>
  </si>
  <si>
    <t>Erwinia phage vB_EamM_Deimos-Minion</t>
  </si>
  <si>
    <t>2016.066a-dB.A.v1.Agrican357virus</t>
  </si>
  <si>
    <t>Erwinia virus Ea35-70</t>
  </si>
  <si>
    <t>KF806589</t>
  </si>
  <si>
    <t>Erwinia phage Ea35-70</t>
  </si>
  <si>
    <t>Erwinia virus RAY</t>
  </si>
  <si>
    <t>KU886224</t>
  </si>
  <si>
    <t>Erwinia phage vB_EamM_RAY</t>
  </si>
  <si>
    <t>Erwinia virus Simmy50</t>
  </si>
  <si>
    <t>KU886223</t>
  </si>
  <si>
    <t>Erwinia phage vB_EamM_Simmy50</t>
  </si>
  <si>
    <t>Erwinia virus SpecialG</t>
  </si>
  <si>
    <t>KU886222</t>
  </si>
  <si>
    <t>Erwinia phage vB_EamM_Special G</t>
  </si>
  <si>
    <t>Arv1virus</t>
  </si>
  <si>
    <t>Arthrobacter virus ArV1</t>
  </si>
  <si>
    <t>KM879463</t>
  </si>
  <si>
    <t xml:space="preserve">Arthrobacter phage vB_ArtM-ArV1 </t>
  </si>
  <si>
    <t>2016.004a-dB.A.v1.Arv1virus</t>
  </si>
  <si>
    <t>Arthrobacter virus Trina</t>
  </si>
  <si>
    <t>KU160660</t>
  </si>
  <si>
    <t>Arthrobacter phage PrincessTrina</t>
  </si>
  <si>
    <t>Bacillus virus AvesoBmore</t>
  </si>
  <si>
    <t>KT307976</t>
  </si>
  <si>
    <t>Bacillus phage AvesoBmore</t>
  </si>
  <si>
    <t>Bacillus virus BM15</t>
  </si>
  <si>
    <t>KT995480</t>
  </si>
  <si>
    <t>Bacillus phage BM15</t>
  </si>
  <si>
    <t>Bacillus virus Deepblue</t>
  </si>
  <si>
    <t>KU577463</t>
  </si>
  <si>
    <t>Bacillus phage Deep Blue</t>
  </si>
  <si>
    <t>Mycobacterium virus Alice</t>
  </si>
  <si>
    <t>JF704092</t>
  </si>
  <si>
    <t>Mycobacterium phage Alice</t>
  </si>
  <si>
    <t>2016.008aB.A.v3.Bxz1virus_6sp</t>
  </si>
  <si>
    <t>Mycobacterium virus Bxz1</t>
  </si>
  <si>
    <t>AY129337</t>
  </si>
  <si>
    <t>Mycobacterium phage Bxz1</t>
  </si>
  <si>
    <t>Mycobacterium virus Dandelion</t>
  </si>
  <si>
    <t>JN412588</t>
  </si>
  <si>
    <t>Mycobacterium phage Dandelion</t>
  </si>
  <si>
    <t>Mycobacterium virus HyRo</t>
  </si>
  <si>
    <t>KT281790</t>
  </si>
  <si>
    <t>Mycobacterium phage HyRo</t>
  </si>
  <si>
    <t>Mycobacterium virus Nappy</t>
  </si>
  <si>
    <t>JN699627</t>
  </si>
  <si>
    <t>Mycobacterium phage Nappy</t>
  </si>
  <si>
    <t>Mycobacterium virus Sebata</t>
  </si>
  <si>
    <t>JN204348</t>
  </si>
  <si>
    <t>Mycobacterium phage Sebata</t>
  </si>
  <si>
    <t>Jimmervirus</t>
  </si>
  <si>
    <t>Brevibacillus virus Jimmer</t>
  </si>
  <si>
    <t>KC595514</t>
  </si>
  <si>
    <t>Brevibacillus phage Jimmer2</t>
  </si>
  <si>
    <t>2016.019a-dB.A.v1.Jimmervirus</t>
  </si>
  <si>
    <t>Brevibacillus virus Osiris</t>
  </si>
  <si>
    <t>KT151956</t>
  </si>
  <si>
    <t>Brevibacillus phage Osiris</t>
  </si>
  <si>
    <t>M12virus</t>
  </si>
  <si>
    <t>Sinorhizobium virus M7</t>
  </si>
  <si>
    <t>KR052480</t>
  </si>
  <si>
    <t>Sinorhizobium phage phiM7</t>
  </si>
  <si>
    <t>2016.025a-dB.A.v1.M12virus</t>
  </si>
  <si>
    <t>Sinorhizobium virus M12</t>
  </si>
  <si>
    <t>KF381361</t>
  </si>
  <si>
    <t>Sinorhizobium phage phiM12</t>
  </si>
  <si>
    <t>Sinorhizobium virus N3</t>
  </si>
  <si>
    <t>KR052482</t>
  </si>
  <si>
    <t>Sinorhizobium phage phiN3</t>
  </si>
  <si>
    <t>Marthavirus</t>
  </si>
  <si>
    <t>Arthrobacter virus Brent</t>
  </si>
  <si>
    <t>KT365401</t>
  </si>
  <si>
    <t xml:space="preserve">Arthrobacter phage Brent </t>
  </si>
  <si>
    <t>2016.026a-dB.A.v1.Marthavirus</t>
  </si>
  <si>
    <t>Arthrobacter virus Jawnski</t>
  </si>
  <si>
    <t>KU160651</t>
  </si>
  <si>
    <t>Arthrobacter phage Jawnski</t>
  </si>
  <si>
    <t>Arthrobacter virus Martha</t>
  </si>
  <si>
    <t>KU160656</t>
  </si>
  <si>
    <t xml:space="preserve">Arthrobacter phage Martha </t>
  </si>
  <si>
    <t>Arthrobacter virus Sonny</t>
  </si>
  <si>
    <t>KU160665</t>
  </si>
  <si>
    <t xml:space="preserve">Arthrobacter phage Sonny </t>
  </si>
  <si>
    <t>Msw3virus</t>
  </si>
  <si>
    <t>Edwardsiella virus MSW3</t>
  </si>
  <si>
    <t>AB767244</t>
  </si>
  <si>
    <t>Edwardsiella phage MSW-3</t>
  </si>
  <si>
    <t>2016.030a-dB.A.v1.Msw3virus</t>
  </si>
  <si>
    <t>Edwardsiella virus PEi21</t>
  </si>
  <si>
    <t>AP013057</t>
  </si>
  <si>
    <t>Edwardsiella phage PEi21</t>
  </si>
  <si>
    <t>Shigella virus SfMu</t>
  </si>
  <si>
    <t>KP010268</t>
  </si>
  <si>
    <t>Shigella phage SfMu</t>
  </si>
  <si>
    <t>Pseudomonas virus PA7</t>
  </si>
  <si>
    <t>JX233784</t>
  </si>
  <si>
    <t>Pseudomonas phage PA7</t>
  </si>
  <si>
    <t>Rsl2virus</t>
  </si>
  <si>
    <t>Ralstonia virus RSF1</t>
  </si>
  <si>
    <t>AP014927</t>
  </si>
  <si>
    <t>Ralstonia phage RSF1</t>
  </si>
  <si>
    <t>2016.042a-dB.A.v1.Rsl2virus</t>
  </si>
  <si>
    <t>Ralstonia virus RSL2</t>
  </si>
  <si>
    <t>AP014693</t>
  </si>
  <si>
    <t>Ralstonia phage RSL2</t>
  </si>
  <si>
    <t>Rslunavirus</t>
  </si>
  <si>
    <t>Ralstonia virus RSL1</t>
  </si>
  <si>
    <t>AB366653</t>
  </si>
  <si>
    <t>Ralstonia phage phiRSL1</t>
  </si>
  <si>
    <t>2016.043a-dB.A.v1.Rslunavirus</t>
  </si>
  <si>
    <t>Sep1virus</t>
  </si>
  <si>
    <t>Staphylococcus virus IPLAC1C</t>
  </si>
  <si>
    <t>KP027447</t>
  </si>
  <si>
    <t>Staphylococcus phage vB_SepM_ phiIPLA-C1C</t>
  </si>
  <si>
    <t>2016.060a-dB.A.v1.Sep1virus</t>
  </si>
  <si>
    <t>Staphylococcus virus SEP1</t>
  </si>
  <si>
    <t>KF021268</t>
  </si>
  <si>
    <t>Staphylococcus phage phiIBB-SEP1</t>
  </si>
  <si>
    <t>Spn3virus</t>
  </si>
  <si>
    <t>Salmonella virus SPN3US</t>
  </si>
  <si>
    <t>JN641803</t>
  </si>
  <si>
    <t>Salmonella phage SPN3US</t>
  </si>
  <si>
    <t>2016.047a-dB.A.v2.Spn3virus</t>
  </si>
  <si>
    <t>Bacillus virus BPS13</t>
  </si>
  <si>
    <t>JN654439</t>
  </si>
  <si>
    <t>Bacillus phage BPS13</t>
  </si>
  <si>
    <t>2016.055aB.A.v1.Wphvirus_3sp</t>
  </si>
  <si>
    <t>Bacillus virus Hakuna</t>
  </si>
  <si>
    <t>KJ489399</t>
  </si>
  <si>
    <t>Bacillus phage Hakuna</t>
  </si>
  <si>
    <t>Bacillus virus Megatron</t>
  </si>
  <si>
    <t>KJ489401</t>
  </si>
  <si>
    <t>Bacillus phage Megatron</t>
  </si>
  <si>
    <t>Fri1virus</t>
  </si>
  <si>
    <t>Acinetobacter virus AB3</t>
  </si>
  <si>
    <t>KC311669</t>
  </si>
  <si>
    <t>Acinetobacter phage AB3</t>
  </si>
  <si>
    <t>2016.013a-dB.A.v1.Fri1virus</t>
  </si>
  <si>
    <t>Acinetobacter virus Abp1</t>
  </si>
  <si>
    <t>JX658790</t>
  </si>
  <si>
    <t>Acinetobacter phage Abp1</t>
  </si>
  <si>
    <t>Acinetobacter virus Fri1</t>
  </si>
  <si>
    <t>KR149290</t>
  </si>
  <si>
    <t>Acinetobacter phage Fri1</t>
  </si>
  <si>
    <t>Acinetobacter virus IME200</t>
  </si>
  <si>
    <t>KT804908</t>
  </si>
  <si>
    <t>Acinetobacter phage IME-200</t>
  </si>
  <si>
    <t>Acinetobacter virus PD6A3</t>
  </si>
  <si>
    <t>KT388102</t>
  </si>
  <si>
    <t>Acinetobacter phage vB_AbaP_PD-6A3</t>
  </si>
  <si>
    <t>Acinetobacter virus PDAB9</t>
  </si>
  <si>
    <t>KT388103</t>
  </si>
  <si>
    <t>Acinetobacter phage vB_AbaP_PD-AB9</t>
  </si>
  <si>
    <t>Acinetobacter virus phiAB1</t>
  </si>
  <si>
    <t>HQ186308</t>
  </si>
  <si>
    <t>Acinetobacter phage phiAB1</t>
  </si>
  <si>
    <t>Kp32virus</t>
  </si>
  <si>
    <t>Escherichia virus K30</t>
  </si>
  <si>
    <t>HM480846</t>
  </si>
  <si>
    <t>Escherichia phage K30</t>
  </si>
  <si>
    <t>2016.023a-dB.A.v1.Kp32virus</t>
  </si>
  <si>
    <t>Klebsiella virus K5</t>
  </si>
  <si>
    <t>KR149291</t>
  </si>
  <si>
    <t>Klebsiella phage K5</t>
  </si>
  <si>
    <t>Klebsiella virus K11</t>
  </si>
  <si>
    <t>EU734173</t>
  </si>
  <si>
    <t>Klebsiella phage K11</t>
  </si>
  <si>
    <t>Klebsiella virus Kp1</t>
  </si>
  <si>
    <t>KT367885</t>
  </si>
  <si>
    <t>Klebsiella phage vB_Kp1</t>
  </si>
  <si>
    <t>Klebsiella virus KP32</t>
  </si>
  <si>
    <t>GQ413937</t>
  </si>
  <si>
    <t>Klebsiella phage KP32</t>
  </si>
  <si>
    <t>Klebsiella virus KpV289</t>
  </si>
  <si>
    <t>LN866626</t>
  </si>
  <si>
    <t>Klebsiella phage vB_KpnP_KpV289</t>
  </si>
  <si>
    <t>Klebsiella virus Kp2</t>
  </si>
  <si>
    <t>KT367886</t>
  </si>
  <si>
    <t>Klebsiella phage Kp2</t>
  </si>
  <si>
    <t>Klebsiella virus KpV41</t>
  </si>
  <si>
    <t>KT964103</t>
  </si>
  <si>
    <t>Klebsiella phage KpV41</t>
  </si>
  <si>
    <t>Klebsiella virus KpV71</t>
  </si>
  <si>
    <t>KU666550</t>
  </si>
  <si>
    <t>Klebsiella phage KpV71</t>
  </si>
  <si>
    <t>Klebsiella virus KpV475</t>
  </si>
  <si>
    <t>KX211991</t>
  </si>
  <si>
    <t>Klebsiella phage KpV475</t>
  </si>
  <si>
    <t>Pradovirus</t>
  </si>
  <si>
    <t>Xanthomonas virus f20</t>
  </si>
  <si>
    <t>KU595432</t>
  </si>
  <si>
    <t>Xanthomonas phage f20-Xaj</t>
  </si>
  <si>
    <t>2016.079a-dB.A.v1.Pradovirus</t>
  </si>
  <si>
    <t>Xanthomonas virus f30</t>
  </si>
  <si>
    <t>KU595433</t>
  </si>
  <si>
    <t>Xanthomonas phage f30-Xaj</t>
  </si>
  <si>
    <t>Xylella virus Prado</t>
  </si>
  <si>
    <t>KF626667</t>
  </si>
  <si>
    <t>Xylella phage Prado</t>
  </si>
  <si>
    <t>Streptococcus virus Cp7</t>
  </si>
  <si>
    <t>LK392619</t>
  </si>
  <si>
    <t>Streptococcus phage Cp-7</t>
  </si>
  <si>
    <t>Sepvirinae</t>
  </si>
  <si>
    <t>Nona33virus</t>
  </si>
  <si>
    <t>Escherichia virus 24B</t>
  </si>
  <si>
    <t>HM208303</t>
  </si>
  <si>
    <t>Escherichia phage vB_EcoP_24B</t>
  </si>
  <si>
    <t>2016.045a-oB.A.v1.Sepvirinae</t>
  </si>
  <si>
    <t>Escherichia virus 933W</t>
  </si>
  <si>
    <t>AF125520</t>
  </si>
  <si>
    <t>Escherichia phage 933W</t>
  </si>
  <si>
    <t>Escherichia virus Min27</t>
  </si>
  <si>
    <t>EU311208</t>
  </si>
  <si>
    <t>Escherichia phage Min27</t>
  </si>
  <si>
    <t>Escherichia virus PA28</t>
  </si>
  <si>
    <t>KP682381</t>
  </si>
  <si>
    <t>Escherichia phage PA28</t>
  </si>
  <si>
    <t>Escherichia virus Stx2 II</t>
  </si>
  <si>
    <t>AP005154</t>
  </si>
  <si>
    <t>Escherichia phage Stx2 II</t>
  </si>
  <si>
    <t>Pocjvirus</t>
  </si>
  <si>
    <t>Shigella virus 7502Stx</t>
  </si>
  <si>
    <t>KF766125</t>
  </si>
  <si>
    <t>Shigella phage 75/02 Stx</t>
  </si>
  <si>
    <t>Shigella virus POCJ13</t>
  </si>
  <si>
    <t>KJ603229</t>
  </si>
  <si>
    <t>Shigella phage POCJ13</t>
  </si>
  <si>
    <t>Tl2011virus</t>
  </si>
  <si>
    <t>Escherichia virus 191</t>
  </si>
  <si>
    <t>KF971864</t>
  </si>
  <si>
    <t>Escherichia phage phi191</t>
  </si>
  <si>
    <t>Escherichia virus PA2</t>
  </si>
  <si>
    <t>KP682371</t>
  </si>
  <si>
    <t>Escherichia phage PA2</t>
  </si>
  <si>
    <t>Escherichia virus TL2011</t>
  </si>
  <si>
    <t>JQ011318</t>
  </si>
  <si>
    <t>Escherichia phage TL-2011c</t>
  </si>
  <si>
    <t>Shigella virus VASD</t>
  </si>
  <si>
    <t>KR781488</t>
  </si>
  <si>
    <t>Shigella phage Ss-VASD</t>
  </si>
  <si>
    <t>Ea92virus</t>
  </si>
  <si>
    <t>Erwinia virus Ea9-2</t>
  </si>
  <si>
    <t>KF806588</t>
  </si>
  <si>
    <t>Erwinia phage Ea9-2</t>
  </si>
  <si>
    <t>2016.078a-dB.A.v1.Ea92virus</t>
  </si>
  <si>
    <t>Erwinia virus Frozen</t>
  </si>
  <si>
    <t>KX098389</t>
  </si>
  <si>
    <t>Erwinia phage vB_EamP_Frozen</t>
  </si>
  <si>
    <t>Salmonella virus SPN1S</t>
  </si>
  <si>
    <t>JN391180</t>
  </si>
  <si>
    <t>Salmonella phage SPN1S</t>
  </si>
  <si>
    <t>2016.068aB.A.v2.Epsilon15virus_sp</t>
  </si>
  <si>
    <t>Kf1virus</t>
  </si>
  <si>
    <t>Edwardsiella virus KF1</t>
  </si>
  <si>
    <t>AB757800</t>
  </si>
  <si>
    <t>Edwardsiella phage KF-1</t>
  </si>
  <si>
    <t>2016.021a-dB.A.v2.Kf1virus</t>
  </si>
  <si>
    <t>Kpp25virus</t>
  </si>
  <si>
    <t>Pseudomonas virus KPP25</t>
  </si>
  <si>
    <t>AB910393</t>
  </si>
  <si>
    <t xml:space="preserve">Pseudomonas phage KPP25 </t>
  </si>
  <si>
    <t>2016.057a-dB.A.v1.Kpp25virus</t>
  </si>
  <si>
    <t>Pseudomonas virus R18</t>
  </si>
  <si>
    <t>LC102729</t>
  </si>
  <si>
    <t>Pseudomonas phage PhiR18</t>
  </si>
  <si>
    <t>Luz7virus</t>
  </si>
  <si>
    <t>Pseudomonas virus KPP21</t>
  </si>
  <si>
    <t>LC064302</t>
  </si>
  <si>
    <t>Pseudomonas phage KPP21</t>
  </si>
  <si>
    <t>2016.024a-dB.A.v2.Luz7virus</t>
  </si>
  <si>
    <t>Pseudomonas virus LUZ7</t>
  </si>
  <si>
    <t>FN422398</t>
  </si>
  <si>
    <t>Pseudomonas phage LUZ7</t>
  </si>
  <si>
    <t>Escherichia virus 172-1</t>
  </si>
  <si>
    <t>KP308307</t>
  </si>
  <si>
    <t>Escherichia phage 172-1</t>
  </si>
  <si>
    <t>Prtbvirus</t>
  </si>
  <si>
    <t>Brucella virus Pr</t>
  </si>
  <si>
    <t>JN939332</t>
  </si>
  <si>
    <t>Brucella phage Pr</t>
  </si>
  <si>
    <t>2016.039a-dB.A.v2.Prtbvirus</t>
  </si>
  <si>
    <t>Brucella virus Tb</t>
  </si>
  <si>
    <t>JN939331</t>
  </si>
  <si>
    <t>Brucella phage Tb</t>
  </si>
  <si>
    <t>Una961virus</t>
  </si>
  <si>
    <t>Helicobacter virus 1961P</t>
  </si>
  <si>
    <t>JQ617284</t>
  </si>
  <si>
    <t>Helicobacter phage 1961P</t>
  </si>
  <si>
    <t>2016.081a-dB.A.v1.Una961virus</t>
  </si>
  <si>
    <t>Helicobacter virus KHP30</t>
  </si>
  <si>
    <t>AB647160</t>
  </si>
  <si>
    <t>Helicobacter phage KHP30</t>
  </si>
  <si>
    <t>Helicobacter virus KHP40</t>
  </si>
  <si>
    <t>AB731695</t>
  </si>
  <si>
    <t>Helicobacter phage KHP40</t>
  </si>
  <si>
    <t>Arquatrovirinae</t>
  </si>
  <si>
    <t>Camvirus</t>
  </si>
  <si>
    <t>Streptomyces virus Amela</t>
  </si>
  <si>
    <t>KT186228</t>
  </si>
  <si>
    <t>Streptomyces phage Amela</t>
  </si>
  <si>
    <t>2016.077a-pB.A.v4.Arquatrovirinae</t>
  </si>
  <si>
    <t>Streptomyces virus phiCAM</t>
  </si>
  <si>
    <t>JX889246</t>
  </si>
  <si>
    <t>Streptomyces phage phiCAM</t>
  </si>
  <si>
    <t>Likavirus</t>
  </si>
  <si>
    <t>Streptomyces virus Aaronocolus</t>
  </si>
  <si>
    <t>KT124227</t>
  </si>
  <si>
    <t>Streptomyces phage Aaronocolus</t>
  </si>
  <si>
    <t>Streptomyces virus Caliburn</t>
  </si>
  <si>
    <t>KT152029</t>
  </si>
  <si>
    <t>Streptomyces phage Caliburn</t>
  </si>
  <si>
    <t>Streptomyces virus Danzina</t>
  </si>
  <si>
    <t>KC124228</t>
  </si>
  <si>
    <t>Streptomyces phage Danzina</t>
  </si>
  <si>
    <t>Streptomyces virus Hydra</t>
  </si>
  <si>
    <t>KT124229</t>
  </si>
  <si>
    <t>Streptomyces phage Hydra</t>
  </si>
  <si>
    <t>Streptomyces virus Izzy</t>
  </si>
  <si>
    <t>KT184390</t>
  </si>
  <si>
    <t>Streptomyces phage Izzy</t>
  </si>
  <si>
    <t>Streptomyces virus Lannister</t>
  </si>
  <si>
    <t>KT184391</t>
  </si>
  <si>
    <t>Streptomyces phage Lannister</t>
  </si>
  <si>
    <t>Streptomyces virus Lika</t>
  </si>
  <si>
    <t>KC700556</t>
  </si>
  <si>
    <t>Streptomyces phage Lika</t>
  </si>
  <si>
    <t>Streptomyces virus Sujidade</t>
  </si>
  <si>
    <t>KC700557</t>
  </si>
  <si>
    <t>Streptomyces phage Sujidade</t>
  </si>
  <si>
    <t>Streptomyces virus Zemlya</t>
  </si>
  <si>
    <t>KC700558</t>
  </si>
  <si>
    <t>Streptomyces phage Zemlya</t>
  </si>
  <si>
    <t>R4virus</t>
  </si>
  <si>
    <t>Streptomyces virus ELB20</t>
  </si>
  <si>
    <t>JX262376</t>
  </si>
  <si>
    <t>Streptomyces phage phiELB20</t>
  </si>
  <si>
    <t>Streptomyces virus R4</t>
  </si>
  <si>
    <t>JX182370</t>
  </si>
  <si>
    <t>Streptomyces phage R4</t>
  </si>
  <si>
    <t>Streptomyces virus phiHau3</t>
  </si>
  <si>
    <t>JX182369</t>
  </si>
  <si>
    <t>Streptomyces phage phiHau3</t>
  </si>
  <si>
    <t>Mycobacterium virus Baee</t>
  </si>
  <si>
    <t>KR080199</t>
  </si>
  <si>
    <t>Mycobacterium phage Baee</t>
  </si>
  <si>
    <t>Mycobacterium virus Reprobate</t>
  </si>
  <si>
    <t>KF024727</t>
  </si>
  <si>
    <t>Mycobacterium phage Reprobate</t>
  </si>
  <si>
    <t>Mycobacterium virus Adawi</t>
  </si>
  <si>
    <t>KF279411</t>
  </si>
  <si>
    <t>Mycobacterium phage Adawi</t>
  </si>
  <si>
    <t>Mycobacterium virus Bane1</t>
  </si>
  <si>
    <t>KF279412</t>
  </si>
  <si>
    <t>Mycobacterium phage Bane1</t>
  </si>
  <si>
    <t>Mycobacterium virus BrownCNA</t>
  </si>
  <si>
    <t>KT270441</t>
  </si>
  <si>
    <t>Mycobacterium phage BrownCNA</t>
  </si>
  <si>
    <t>Mycobacterium virus JAMaL</t>
  </si>
  <si>
    <t>KF493881</t>
  </si>
  <si>
    <t>Mycobacterium phage JAMaL</t>
  </si>
  <si>
    <t>Mycobacterium virus Vincenzo</t>
  </si>
  <si>
    <t>KR080194</t>
  </si>
  <si>
    <t>Mycobacterium phage Vincenzo</t>
  </si>
  <si>
    <t>Mycobacterium virus Apizium</t>
  </si>
  <si>
    <t>KR781349</t>
  </si>
  <si>
    <t>Mycobacterium phage Apizium</t>
  </si>
  <si>
    <t>Mycobacterium virus Manad</t>
  </si>
  <si>
    <t>KJ595576</t>
  </si>
  <si>
    <t>Mycobacterium phage Manad</t>
  </si>
  <si>
    <t>Mycobacterium virus Osmaximus</t>
  </si>
  <si>
    <t>JN006064</t>
  </si>
  <si>
    <t>Mycobacterium phage OSmaximus</t>
  </si>
  <si>
    <t>Mycobacterium virus Soto</t>
  </si>
  <si>
    <t>KJ174157</t>
  </si>
  <si>
    <t>Mycobacterium phage Soto</t>
  </si>
  <si>
    <t>Mycobacterium virus Suffolk</t>
  </si>
  <si>
    <t>KF713485</t>
  </si>
  <si>
    <t>Mycobacterium phage Suffolk</t>
  </si>
  <si>
    <t>Mycobacterium virus Bernardo</t>
  </si>
  <si>
    <t>KF493879</t>
  </si>
  <si>
    <t>Mycobacterium phage Bernardo</t>
  </si>
  <si>
    <t>Mycobacterium virus Godines</t>
  </si>
  <si>
    <t>KR997932</t>
  </si>
  <si>
    <t>Mycobacterium phage Godines</t>
  </si>
  <si>
    <t>Mycobacterium virus Brusacoram</t>
  </si>
  <si>
    <t>KT347313</t>
  </si>
  <si>
    <t>Mycobacterium phage Brusacoram</t>
  </si>
  <si>
    <t>Mycobacterium virus Donovan</t>
  </si>
  <si>
    <t>KF841477</t>
  </si>
  <si>
    <t>Mycobacterium phage Donovan</t>
  </si>
  <si>
    <t>Mycobacterium virus Fishburne</t>
  </si>
  <si>
    <t>KC691256</t>
  </si>
  <si>
    <t>Mycobacterium phage Fishburne</t>
  </si>
  <si>
    <t>Mycobacterium virus Malithi</t>
  </si>
  <si>
    <t>KP027200</t>
  </si>
  <si>
    <t>Mycobacterium phage Malithi</t>
  </si>
  <si>
    <t>Phayoncevirus</t>
  </si>
  <si>
    <t>Mycobacterium virus Phayonce</t>
  </si>
  <si>
    <t>KR080195</t>
  </si>
  <si>
    <t>Mycobacterium phage Phayonce</t>
  </si>
  <si>
    <t>Klebsiella virus KLPN1</t>
  </si>
  <si>
    <t>KR262148</t>
  </si>
  <si>
    <t>Klebsiella phage KLPN1</t>
  </si>
  <si>
    <t>Klebsiella virus PKP126</t>
  </si>
  <si>
    <t>KR269719</t>
  </si>
  <si>
    <t>Klebsiella phage PKP126</t>
  </si>
  <si>
    <t>Klebsiella virus Sushi</t>
  </si>
  <si>
    <t>KT001920</t>
  </si>
  <si>
    <t>Klebsiella phage Sushi</t>
  </si>
  <si>
    <t>Escherichia virus C119</t>
  </si>
  <si>
    <t>KT825490</t>
  </si>
  <si>
    <t>Escherichia phage C119</t>
  </si>
  <si>
    <t>Escherichia virus JMPW1</t>
  </si>
  <si>
    <t>KU194206</t>
  </si>
  <si>
    <t>Escherichia phage JMPW1</t>
  </si>
  <si>
    <t>Escherichia virus JMPW2</t>
  </si>
  <si>
    <t>KU194205</t>
  </si>
  <si>
    <t>Escherichia phage JMPW2</t>
  </si>
  <si>
    <t>Ab18virus</t>
  </si>
  <si>
    <t>Pseudomonas virus Ab18</t>
  </si>
  <si>
    <t>LN610577</t>
  </si>
  <si>
    <t>Pseudomonas phage vB_PaeS_PAO1_Ab18</t>
  </si>
  <si>
    <t>2016.001a-dB.A.v1.Ab18virus</t>
  </si>
  <si>
    <t>Pseudomonas virus Ab19</t>
  </si>
  <si>
    <t>LN610584</t>
  </si>
  <si>
    <t>Pseudomonas phage vB_PaeS_PAO1_Ab19</t>
  </si>
  <si>
    <t>Pseudomonas virus PaMx11</t>
  </si>
  <si>
    <t>JQ067087</t>
  </si>
  <si>
    <t>Pseudomonas phage PaMx11</t>
  </si>
  <si>
    <t>Amigovirus</t>
  </si>
  <si>
    <t>Arthrobacter virus Amigo</t>
  </si>
  <si>
    <t>KU160638</t>
  </si>
  <si>
    <t>Arthrobacter phage Amigo</t>
  </si>
  <si>
    <t>2016.003a-dB.A.v1.Amigovirus</t>
  </si>
  <si>
    <t>Bernal13virus</t>
  </si>
  <si>
    <t>Mycobacterium virus Bernal13</t>
  </si>
  <si>
    <t>KJ510413</t>
  </si>
  <si>
    <t>Mycobacterium phage Bernal13</t>
  </si>
  <si>
    <t>2016.007a-dB.A.v1.Bernal13virus</t>
  </si>
  <si>
    <t>Lactobacillus virus Ld3</t>
  </si>
  <si>
    <t>KJ564038</t>
  </si>
  <si>
    <t xml:space="preserve">Lactobacillus phage Ld3 </t>
  </si>
  <si>
    <t>Lactobacillus virus Ld17</t>
  </si>
  <si>
    <t>KJ564037</t>
  </si>
  <si>
    <t xml:space="preserve">Lactobacillus phage Ld17 </t>
  </si>
  <si>
    <t>Lactobacillus virus Ld25A</t>
  </si>
  <si>
    <t>KJ564036</t>
  </si>
  <si>
    <t xml:space="preserve">Lactobacillus phage Ld25A </t>
  </si>
  <si>
    <t>Lactobacillus virus phiLdb</t>
  </si>
  <si>
    <t>KF188410</t>
  </si>
  <si>
    <t xml:space="preserve">Lactobacillus phage phiLdb </t>
  </si>
  <si>
    <t>Cronusvirus</t>
  </si>
  <si>
    <t>Rhodobacter virus RcCronus</t>
  </si>
  <si>
    <t>KR935217</t>
  </si>
  <si>
    <t>Rhodobacter phage RcCronus</t>
  </si>
  <si>
    <t>2016.056a-dB.A.v1.Cronusvirus</t>
  </si>
  <si>
    <t>Decurrovirus</t>
  </si>
  <si>
    <t>Arthrobacter virus Decurro</t>
  </si>
  <si>
    <t>KT355471</t>
  </si>
  <si>
    <t>Arthrobacter phage Decurro</t>
  </si>
  <si>
    <t>2016.010a-dB.A.v1.Decurrovirus</t>
  </si>
  <si>
    <t>Demosthenesvirus</t>
  </si>
  <si>
    <t>Gordonia virus Demosthenes</t>
  </si>
  <si>
    <t>KU998242</t>
  </si>
  <si>
    <t>Gordonia phage Demosthenes</t>
  </si>
  <si>
    <t>2016.011a-dB.A.v1.Demosthenesvirus</t>
  </si>
  <si>
    <t>Gordonia virus Katyusha</t>
  </si>
  <si>
    <t>KU963258</t>
  </si>
  <si>
    <t>Gordonia phage Katyusha</t>
  </si>
  <si>
    <t>Gordonia virus Kvothe</t>
  </si>
  <si>
    <t>KU998243</t>
  </si>
  <si>
    <t>Gordonia phage Kvothe</t>
  </si>
  <si>
    <t>Eiauvirus</t>
  </si>
  <si>
    <t>Edwardsiella virus eiAU</t>
  </si>
  <si>
    <t>KF772233</t>
  </si>
  <si>
    <t>Edwardsiella phage eiAU</t>
  </si>
  <si>
    <t>2016.012a-dB.A.v1.Eiauvirus</t>
  </si>
  <si>
    <t>Gaiavirus</t>
  </si>
  <si>
    <t>Mycobacterium virus Gaia</t>
  </si>
  <si>
    <t>KJ567043</t>
  </si>
  <si>
    <t>2016.014a-dB.A.v1.Gaiavirus</t>
  </si>
  <si>
    <t>Gilesvirus</t>
  </si>
  <si>
    <t>Mycobacterium virus Giles</t>
  </si>
  <si>
    <t>EU203571</t>
  </si>
  <si>
    <t>2016.015a-dB.A.v1.Gilesvirus</t>
  </si>
  <si>
    <t>Gordonvirus</t>
  </si>
  <si>
    <t>Arthrobacter virus Captnmurica</t>
  </si>
  <si>
    <t>KU160641</t>
  </si>
  <si>
    <t>Arthrobacter phage CaptnMurica</t>
  </si>
  <si>
    <t>2016.070a-dB.A.v1.Gordonvirus</t>
  </si>
  <si>
    <t>Arthrobacter virus Gordon</t>
  </si>
  <si>
    <t>KU160646</t>
  </si>
  <si>
    <t>Arthrobacter phage Gordon</t>
  </si>
  <si>
    <t>Gordtnkvirus</t>
  </si>
  <si>
    <t>Gordonia virus GordTnk2</t>
  </si>
  <si>
    <t>KP790008</t>
  </si>
  <si>
    <t>Gordonia phage GordTnk2</t>
  </si>
  <si>
    <t>2016.016a-dB.A.v1.Gordtnkvirus</t>
  </si>
  <si>
    <t>Harrisonvirus</t>
  </si>
  <si>
    <t>Paenibacillus virus Harrison</t>
  </si>
  <si>
    <t>KT361651</t>
  </si>
  <si>
    <t>Paenibacillus phage Harrison</t>
  </si>
  <si>
    <t>2016.017a-dB.A.v1.Harrisonvirus</t>
  </si>
  <si>
    <t>Escherichia virus EK99P1</t>
  </si>
  <si>
    <t>KM233151</t>
  </si>
  <si>
    <t>Escherichia phage EK99P-1</t>
  </si>
  <si>
    <t>Escherichia virus YD2008s</t>
  </si>
  <si>
    <t>KM896878</t>
  </si>
  <si>
    <t>Escherichia phage YD-2008.s</t>
  </si>
  <si>
    <t>Jenstvirus</t>
  </si>
  <si>
    <t>Brevibacillus virus Jenst</t>
  </si>
  <si>
    <t>KT151955</t>
  </si>
  <si>
    <t>Brevibacillus phage Jenst</t>
  </si>
  <si>
    <t>2016.018a-dB.A.v1.Jenstvirus</t>
  </si>
  <si>
    <t>Jwxvirus</t>
  </si>
  <si>
    <t>Achromobacter virus 83-24</t>
  </si>
  <si>
    <t>KP202970</t>
  </si>
  <si>
    <t>Achromobacter phage 83-24</t>
  </si>
  <si>
    <t>2016.020a-dB.A.v1.Jwxvirus</t>
  </si>
  <si>
    <t>Achromobacter virus JWX</t>
  </si>
  <si>
    <t>KP202969</t>
  </si>
  <si>
    <t>Achromobacter phage JWX</t>
  </si>
  <si>
    <t>Kelleziovirus</t>
  </si>
  <si>
    <t>Arthrobacter virus Kellezzio</t>
  </si>
  <si>
    <t>KU647626</t>
  </si>
  <si>
    <t>Arthrobacter phage KellEzio</t>
  </si>
  <si>
    <t>2016.072a-dB.A.v1.Kelleziovirus</t>
  </si>
  <si>
    <t>Arthrobacter virus Kitkat</t>
  </si>
  <si>
    <t>KU647627</t>
  </si>
  <si>
    <t>Arthrobacter phage Kitkat</t>
  </si>
  <si>
    <t>Korravirus</t>
  </si>
  <si>
    <t>Arthrobacter virus Bennie</t>
  </si>
  <si>
    <t>KU160640</t>
  </si>
  <si>
    <t>Arthrobacter phage Bennie</t>
  </si>
  <si>
    <t>2016.006a-dB.A.v2.Korravirus</t>
  </si>
  <si>
    <t>Arthrobacter virus DrRobert</t>
  </si>
  <si>
    <t>KU160643</t>
  </si>
  <si>
    <t>Arthrobacter phage DrRobert</t>
  </si>
  <si>
    <t>Arthrobacter virus Glenn</t>
  </si>
  <si>
    <t>KU160645</t>
  </si>
  <si>
    <t>Arthrobacter phage Glenn</t>
  </si>
  <si>
    <t>Arthrobacter virus HunterDalle</t>
  </si>
  <si>
    <t>KU160648</t>
  </si>
  <si>
    <t>Arthrobacter phage HunterDalle</t>
  </si>
  <si>
    <t>Arthrobacter virus Joann</t>
  </si>
  <si>
    <t>KU160652</t>
  </si>
  <si>
    <t>Arthrobacter phage Joann</t>
  </si>
  <si>
    <t>Arthrobacter virus Korra</t>
  </si>
  <si>
    <t>KU160653</t>
  </si>
  <si>
    <t>Arthrobacter phage Korra</t>
  </si>
  <si>
    <t>Arthrobacter virus Preamble</t>
  </si>
  <si>
    <t>KU160659</t>
  </si>
  <si>
    <t>Arthrobacter phage Preamble</t>
  </si>
  <si>
    <t>Arthrobacter virus Pumancara</t>
  </si>
  <si>
    <t>KU160661</t>
  </si>
  <si>
    <t>Arthrobacter phage Pumancara</t>
  </si>
  <si>
    <t>Arthrobacter virus Wayne</t>
  </si>
  <si>
    <t>KU160672</t>
  </si>
  <si>
    <t>Arthrobacter phage Wayne</t>
  </si>
  <si>
    <t>Laroyevirus</t>
  </si>
  <si>
    <t>Arthrobacter virus Laroye</t>
  </si>
  <si>
    <t>KU160654</t>
  </si>
  <si>
    <t>Arthrobacter phage Laroye</t>
  </si>
  <si>
    <t>2016.073a-dB.A.v2.Laroyevirus</t>
  </si>
  <si>
    <t>Marvinvirus</t>
  </si>
  <si>
    <t>Mycobacterium virus Marvin</t>
  </si>
  <si>
    <t>JF704100</t>
  </si>
  <si>
    <t>Mycobacterium phage Marvin</t>
  </si>
  <si>
    <t>2016.027a-dB.A.v1.Marvinvirus</t>
  </si>
  <si>
    <t>Mycobacterium virus Mosmoris</t>
  </si>
  <si>
    <t>KJ538721</t>
  </si>
  <si>
    <t>Mycobacterium phage MosMoris</t>
  </si>
  <si>
    <t>Mudcatvirus</t>
  </si>
  <si>
    <t>Arthrobacter virus Circum</t>
  </si>
  <si>
    <t>KU160642</t>
  </si>
  <si>
    <t>Arthrobacter phage Circum</t>
  </si>
  <si>
    <t>2016.074a-dB.A.v1.Mudcatvirus</t>
  </si>
  <si>
    <t>Arthrobacter virus Mudcat</t>
  </si>
  <si>
    <t>KU647628</t>
  </si>
  <si>
    <t>Arthrobacter phage Mudcat</t>
  </si>
  <si>
    <t>Np1virus</t>
  </si>
  <si>
    <t>Pseudomonas virus NP1</t>
  </si>
  <si>
    <t>KX129925</t>
  </si>
  <si>
    <t>Pseudomonas phage NP1</t>
  </si>
  <si>
    <t>2016.058a-dB.A.v1.Np1virus</t>
  </si>
  <si>
    <t>Pseudomonas virus PaMx25</t>
  </si>
  <si>
    <t>JQ067084</t>
  </si>
  <si>
    <t>Pseudomonas phage PaMx25</t>
  </si>
  <si>
    <t>P12002virus</t>
  </si>
  <si>
    <t>Polaribacter virus P12002L</t>
  </si>
  <si>
    <t>KR136259</t>
  </si>
  <si>
    <t>Polaribacter phage P12002L</t>
  </si>
  <si>
    <t>2016.032a-dB.A.v1.P12002virus</t>
  </si>
  <si>
    <t>Polaribacter virus P12002S</t>
  </si>
  <si>
    <t>KR136260</t>
  </si>
  <si>
    <t>Polaribacter phage P12002S</t>
  </si>
  <si>
    <t>P12024virus</t>
  </si>
  <si>
    <t>Nonlabens virus P12024L</t>
  </si>
  <si>
    <t>JQ823123</t>
  </si>
  <si>
    <t>Nonlabens phage P12024S</t>
  </si>
  <si>
    <t>2016.033a-dB.A.v1.P12024virus</t>
  </si>
  <si>
    <t>Nonlabens virus P12024S</t>
  </si>
  <si>
    <t>JQ823122</t>
  </si>
  <si>
    <t>Pa6virus</t>
  </si>
  <si>
    <t>Propionibacterium virus ATCC29399BC</t>
  </si>
  <si>
    <t>JX262225</t>
  </si>
  <si>
    <t>Propionibacterium phage ATCC29399B_C</t>
  </si>
  <si>
    <t>2016.034a-dB.A.v1.Pa6virus</t>
  </si>
  <si>
    <t>Propionibacterium virus ATCC29399BT</t>
  </si>
  <si>
    <t>JX262224</t>
  </si>
  <si>
    <t>Propionibacterium phage ATCC29399B_T</t>
  </si>
  <si>
    <t>Propionibacterium virus Attacne</t>
  </si>
  <si>
    <t>KR337651</t>
  </si>
  <si>
    <t>Propionibacterium phage Attacne</t>
  </si>
  <si>
    <t>Propionibacterium virus Keiki</t>
  </si>
  <si>
    <t>KR337649</t>
  </si>
  <si>
    <t>Propionibacterium phage Keiki</t>
  </si>
  <si>
    <t>Propionibacterium virus Kubed</t>
  </si>
  <si>
    <t>KR337645</t>
  </si>
  <si>
    <t>Propionibacterium phage Kubed</t>
  </si>
  <si>
    <t>Propionibacterium virus Lauchelly</t>
  </si>
  <si>
    <t>KR337650</t>
  </si>
  <si>
    <t>Propionibacterium phage Lauchelly</t>
  </si>
  <si>
    <t>Propionibacterium virus MrAK</t>
  </si>
  <si>
    <t>KR337643</t>
  </si>
  <si>
    <t>Propionibacterium phage MrAK</t>
  </si>
  <si>
    <t>Propionibacterium virus Ouroboros</t>
  </si>
  <si>
    <t>KR337654</t>
  </si>
  <si>
    <t>Propionibacterium phage Ouroboros</t>
  </si>
  <si>
    <t>Propionibacterium virus P91</t>
  </si>
  <si>
    <t>JX262215</t>
  </si>
  <si>
    <t>Propionibacterium phage P9.1</t>
  </si>
  <si>
    <t>Propionibacterium virus P105</t>
  </si>
  <si>
    <t>JX262219</t>
  </si>
  <si>
    <t>Propionibacterium phage P105</t>
  </si>
  <si>
    <t>Propionibacterium virus P144</t>
  </si>
  <si>
    <t>JX262216</t>
  </si>
  <si>
    <t>Propionibacterium phage P14</t>
  </si>
  <si>
    <t>Propionibacterium virus P1001</t>
  </si>
  <si>
    <t>JX262222</t>
  </si>
  <si>
    <t>Propionibacterium phage P100_1</t>
  </si>
  <si>
    <t>Propionibacterium virus P1.1</t>
  </si>
  <si>
    <t>JX262223</t>
  </si>
  <si>
    <t>Propionibacterium phage P1.1</t>
  </si>
  <si>
    <t>Propionibacterium virus P100A</t>
  </si>
  <si>
    <t>JX262221</t>
  </si>
  <si>
    <t>Propionibacterium phage P100_A</t>
  </si>
  <si>
    <t>Propionibacterium virus P100D</t>
  </si>
  <si>
    <t>JX262220</t>
  </si>
  <si>
    <t>Propionibacterium phage P100D</t>
  </si>
  <si>
    <t>Propionibacterium virus P101A</t>
  </si>
  <si>
    <t>JX262217</t>
  </si>
  <si>
    <t>Propionibacterium phage P101A</t>
  </si>
  <si>
    <t>Propionibacterium virus P104A</t>
  </si>
  <si>
    <t>JX262218</t>
  </si>
  <si>
    <t>Propionibacterium phage P104A</t>
  </si>
  <si>
    <t>Propionibacterium virus PA6</t>
  </si>
  <si>
    <t>DQ431235</t>
  </si>
  <si>
    <t>Propionibacterium phage PA6</t>
  </si>
  <si>
    <t>Propionibacterium virus Pacnes201215</t>
  </si>
  <si>
    <t>KJ722067</t>
  </si>
  <si>
    <t>Propionibacterium phage Pacnes 2012-15</t>
  </si>
  <si>
    <t>Propionibacterium virus PAD20</t>
  </si>
  <si>
    <t>FJ706171</t>
  </si>
  <si>
    <t>Propionibacterium phage PAD20</t>
  </si>
  <si>
    <t>Propionibacterium virus PAS50</t>
  </si>
  <si>
    <t>FJ706172</t>
  </si>
  <si>
    <t>Propionibacterium phage PAS50</t>
  </si>
  <si>
    <t>Propionibacterium virus PHL009M11</t>
  </si>
  <si>
    <t>KJ578758</t>
  </si>
  <si>
    <t>Propionibacterium phage PHL009M11</t>
  </si>
  <si>
    <t>Propionibacterium virus PHL025M00</t>
  </si>
  <si>
    <t>KJ578759</t>
  </si>
  <si>
    <t>Propionibacterium phage PHL025M00</t>
  </si>
  <si>
    <t>Propionibacterium virus PHL037M02</t>
  </si>
  <si>
    <t>JX570706</t>
  </si>
  <si>
    <t>Propionibacterium phage PHL037M02</t>
  </si>
  <si>
    <t>Propionibacterium virus PHL041M10</t>
  </si>
  <si>
    <t>KJ578761</t>
  </si>
  <si>
    <t>Propionibacterium phage PHL041M10</t>
  </si>
  <si>
    <t>Propionibacterium virus PHL060L00</t>
  </si>
  <si>
    <t>JX570705</t>
  </si>
  <si>
    <t>Propionibacterium phage PHL060L00</t>
  </si>
  <si>
    <t>Propionibacterium virus PHL067M01</t>
  </si>
  <si>
    <t>KJ578765</t>
  </si>
  <si>
    <t>Propionibacterium phage PHL067M01</t>
  </si>
  <si>
    <t>Propionibacterium virus PHL070N00</t>
  </si>
  <si>
    <t>KJ578767</t>
  </si>
  <si>
    <t>Propionibacterium phage PHL070N00</t>
  </si>
  <si>
    <t>Propionibacterium virus PHL071N05</t>
  </si>
  <si>
    <t>JX570710</t>
  </si>
  <si>
    <t>Propionibacterium phage PHL071N05</t>
  </si>
  <si>
    <t>Propionibacterium virus PHL082M03</t>
  </si>
  <si>
    <t>KJ578770</t>
  </si>
  <si>
    <t>Propionibacterium phage PHL082M03</t>
  </si>
  <si>
    <t>Propionibacterium virus PHL092M00</t>
  </si>
  <si>
    <t>KJ578773</t>
  </si>
  <si>
    <t>Propionibacterium phage PHL092M00</t>
  </si>
  <si>
    <t>Propionibacterium virus PHL095N00</t>
  </si>
  <si>
    <t>KJ578774</t>
  </si>
  <si>
    <t>Propionibacterium phage PHL095N00</t>
  </si>
  <si>
    <t>Propionibacterium virus PHL111M01</t>
  </si>
  <si>
    <t>JX570702</t>
  </si>
  <si>
    <t>Propionibacterium phage PHL111M01</t>
  </si>
  <si>
    <t>Propionibacterium virus PHL112N00</t>
  </si>
  <si>
    <t>JX570714</t>
  </si>
  <si>
    <t>Propionibacterium phage PHL112N00</t>
  </si>
  <si>
    <t>Propionibacterium virus PHL113M01</t>
  </si>
  <si>
    <t>JX570713</t>
  </si>
  <si>
    <t>Propionibacterium phage PHL113M01</t>
  </si>
  <si>
    <t>Propionibacterium virus PHL114L00</t>
  </si>
  <si>
    <t>JX570712</t>
  </si>
  <si>
    <t>Propionibacterium phage PHL114L00</t>
  </si>
  <si>
    <t>Propionibacterium virus PHL116M00</t>
  </si>
  <si>
    <t>KJ578776</t>
  </si>
  <si>
    <t>Propionibacterium phage PHL116M00</t>
  </si>
  <si>
    <t>Propionibacterium virus PHL117M00</t>
  </si>
  <si>
    <t>KJ578778</t>
  </si>
  <si>
    <t>Propionibacterium phage PHL117M00</t>
  </si>
  <si>
    <t>Propionibacterium virus PHL117M01</t>
  </si>
  <si>
    <t>KJ578779</t>
  </si>
  <si>
    <t>Propionibacterium phage PHL117M01</t>
  </si>
  <si>
    <t>Propionibacterium virus PHL132N00</t>
  </si>
  <si>
    <t>KJ578780</t>
  </si>
  <si>
    <t>Propionibacterium phage PHL132N00</t>
  </si>
  <si>
    <t>Propionibacterium virus PHL141N00</t>
  </si>
  <si>
    <t>KJ578781</t>
  </si>
  <si>
    <t>Propionibacterium phage PHL141N00</t>
  </si>
  <si>
    <t>Propionibacterium virus PHL151M00</t>
  </si>
  <si>
    <t>KJ578783</t>
  </si>
  <si>
    <t>Propionibacterium phage PHL151M00</t>
  </si>
  <si>
    <t>Propionibacterium virus PHL151N00</t>
  </si>
  <si>
    <t>KJ578784</t>
  </si>
  <si>
    <t>Propionibacterium phage PHL151N00</t>
  </si>
  <si>
    <t>Propionibacterium virus PHL152M00</t>
  </si>
  <si>
    <t>KJ578785</t>
  </si>
  <si>
    <t>Propionibacterium phage PHL152M00</t>
  </si>
  <si>
    <t>Propionibacterium virus PHL163M00</t>
  </si>
  <si>
    <t>KJ578786</t>
  </si>
  <si>
    <t>Propionibacterium phage PHL163M00</t>
  </si>
  <si>
    <t>Propionibacterium virus PHL171M01</t>
  </si>
  <si>
    <t>KJ578787</t>
  </si>
  <si>
    <t>Propionibacterium phage PHL171M01</t>
  </si>
  <si>
    <t>Propionibacterium virus PHL179M00</t>
  </si>
  <si>
    <t>KJ578788</t>
  </si>
  <si>
    <t>Propionibacterium phage PHL179M00</t>
  </si>
  <si>
    <t>Propionibacterium virus PHL194M00</t>
  </si>
  <si>
    <t>KJ578789</t>
  </si>
  <si>
    <t>Propionibacterium phage PHL194M00</t>
  </si>
  <si>
    <t>Propionibacterium virus PHL199M00</t>
  </si>
  <si>
    <t>KJ578790</t>
  </si>
  <si>
    <t>Propionibacterium phage PHL199M00</t>
  </si>
  <si>
    <t>Propionibacterium virus PHL301M00</t>
  </si>
  <si>
    <t>KJ578791</t>
  </si>
  <si>
    <t>Propionibacterium phage PHL301M00</t>
  </si>
  <si>
    <t>Propionibacterium virus PHL308M00</t>
  </si>
  <si>
    <t>KJ578792</t>
  </si>
  <si>
    <t>Propionibacterium phage PHL308M00</t>
  </si>
  <si>
    <t>Propionibacterium virus Pirate</t>
  </si>
  <si>
    <t>KR337653</t>
  </si>
  <si>
    <t>Propionibacterium phage Pirate</t>
  </si>
  <si>
    <t>Propionibacterium virus Procrass1</t>
  </si>
  <si>
    <t>KR337644</t>
  </si>
  <si>
    <t>Propionibacterium phage Procrass1</t>
  </si>
  <si>
    <t>Propionibacterium virus SKKY</t>
  </si>
  <si>
    <t>KR337648</t>
  </si>
  <si>
    <t>Propionibacterium phage SKKY</t>
  </si>
  <si>
    <t>Propionibacterium virus Solid</t>
  </si>
  <si>
    <t>KR337647</t>
  </si>
  <si>
    <t>Propionibacterium phage Solid</t>
  </si>
  <si>
    <t>Propionibacterium virus Stormborn</t>
  </si>
  <si>
    <t>KR337652</t>
  </si>
  <si>
    <t>Propionibacterium phage Stormborn</t>
  </si>
  <si>
    <t>Propionibacterium virus Wizzo</t>
  </si>
  <si>
    <t>KR337646</t>
  </si>
  <si>
    <t>Propionibacterium phage Wizzo</t>
  </si>
  <si>
    <t>Pamx74virus</t>
  </si>
  <si>
    <t>Pseudomonas virus PaMx28</t>
  </si>
  <si>
    <t>JQ067089</t>
  </si>
  <si>
    <t>Pseudomonas phage PaMx28</t>
  </si>
  <si>
    <t>2016.035a-dB.A.v1.Pamx74virus</t>
  </si>
  <si>
    <t>Pseudomonas virus PaMx74</t>
  </si>
  <si>
    <t>JQ067093</t>
  </si>
  <si>
    <t>Pseudomonas phage PaMx74</t>
  </si>
  <si>
    <t>Pepy6virus</t>
  </si>
  <si>
    <t>Rhodococcus virus Pepy6</t>
  </si>
  <si>
    <t>GU580941</t>
  </si>
  <si>
    <t>Rhodococcus phage ReqiPepy6</t>
  </si>
  <si>
    <t>2016.059a-dB.A.v1.Pepy6virus</t>
  </si>
  <si>
    <t>Rhodococcus virus Poco6</t>
  </si>
  <si>
    <t>GU580942</t>
  </si>
  <si>
    <t xml:space="preserve">Rhodococcus phage ReqiPoco6 </t>
  </si>
  <si>
    <t>Pis4avirus</t>
  </si>
  <si>
    <t>Aeromonas virus pIS4A</t>
  </si>
  <si>
    <t>JF974294</t>
  </si>
  <si>
    <t>Aeromonas phage pIS4-A</t>
  </si>
  <si>
    <t>2016.075a-dB.A.v1.Pis4avirus</t>
  </si>
  <si>
    <t>Rdjlvirus</t>
  </si>
  <si>
    <t>Roseobacter virus RDJL1</t>
  </si>
  <si>
    <t>HM151342</t>
  </si>
  <si>
    <t>Roseobacter phage RDJL Phi 1</t>
  </si>
  <si>
    <t>2016.040a-dB.A.v3.Rdjlvirus</t>
  </si>
  <si>
    <t>Roseobacter virus RDJL2</t>
  </si>
  <si>
    <t>KT266805</t>
  </si>
  <si>
    <t>Roseobacter phage RDJL Phi 2</t>
  </si>
  <si>
    <t>Send513virus</t>
  </si>
  <si>
    <t>Mycobacterium virus Papyrus</t>
  </si>
  <si>
    <t>KF416342</t>
  </si>
  <si>
    <t>Mycobacterium phage Papyrus</t>
  </si>
  <si>
    <t>2016.044a-dB.A.v1.Send513virus</t>
  </si>
  <si>
    <t>Mycobacterium virus Send513</t>
  </si>
  <si>
    <t>JF704112</t>
  </si>
  <si>
    <t>Mycobacterium phage Send513</t>
  </si>
  <si>
    <t>Paenibacillus virus Willow</t>
  </si>
  <si>
    <t>KT361650</t>
  </si>
  <si>
    <t>Paenibacillus phage Willow</t>
  </si>
  <si>
    <t>Smoothievirus</t>
  </si>
  <si>
    <t>Gordonia virus Bachita</t>
  </si>
  <si>
    <t>KU998247</t>
  </si>
  <si>
    <t>Gordonia phage Bachita</t>
  </si>
  <si>
    <t>2016.046a-dB.A.v1.Smoothievirus</t>
  </si>
  <si>
    <t>Gordonia virus ClubL</t>
  </si>
  <si>
    <t>KU998246</t>
  </si>
  <si>
    <t>Gordonia phage ClubL</t>
  </si>
  <si>
    <t>Gordonia virus OneUp</t>
  </si>
  <si>
    <t>KU998245</t>
  </si>
  <si>
    <t>Gordonia phage OneUp</t>
  </si>
  <si>
    <t>Gordonia virus Smoothie</t>
  </si>
  <si>
    <t>KU998244</t>
  </si>
  <si>
    <t>Gordonia phage Smoothie</t>
  </si>
  <si>
    <t>Soupsvirus</t>
  </si>
  <si>
    <t>Gordonia virus Soups</t>
  </si>
  <si>
    <t>KU998249</t>
  </si>
  <si>
    <t>Gordonia phage Soups</t>
  </si>
  <si>
    <t>2016.061a-dB.A.v1.Soupsvirus</t>
  </si>
  <si>
    <t>Escherichia virus slur09</t>
  </si>
  <si>
    <t>LN887948</t>
  </si>
  <si>
    <t>Escherichia phage slur09</t>
  </si>
  <si>
    <t>Salmonella virus 118970sal2</t>
  </si>
  <si>
    <t>KX017521</t>
  </si>
  <si>
    <t>Salmonella phage 118970_sal2</t>
  </si>
  <si>
    <t>Tankvirus</t>
  </si>
  <si>
    <t>Arthrobacter virus Tank</t>
  </si>
  <si>
    <t>KU160669</t>
  </si>
  <si>
    <t>Arthrobacter phage Tank</t>
  </si>
  <si>
    <t>2016.048a-dB.A.v2.Tankvirus</t>
  </si>
  <si>
    <t>Tin2virus</t>
  </si>
  <si>
    <t>Tsukamurella virus TIN2</t>
  </si>
  <si>
    <t>KR011062</t>
  </si>
  <si>
    <t>Tsukamurella phage TIN2</t>
  </si>
  <si>
    <t>2016.049a-dB.A.v1.Tin2virus</t>
  </si>
  <si>
    <t>Tsukamurella virus TIN3</t>
  </si>
  <si>
    <t>KR011064</t>
  </si>
  <si>
    <t>Tsukamurella phage TIN3</t>
  </si>
  <si>
    <t>Tsukamurella virus TIN4</t>
  </si>
  <si>
    <t>KR011063</t>
  </si>
  <si>
    <t>Tsukamurella phage TIN4</t>
  </si>
  <si>
    <t>Titanvirus</t>
  </si>
  <si>
    <t>Rhodobacter virus RcSpartan</t>
  </si>
  <si>
    <t>KR935215</t>
  </si>
  <si>
    <t>Rhodobacter phage RcSpartan</t>
  </si>
  <si>
    <t>2016.050a-dB.A.v1.Titanvirus</t>
  </si>
  <si>
    <t>Rhodobacter virus RcTitan</t>
  </si>
  <si>
    <t>KR935213</t>
  </si>
  <si>
    <t>Rhodobacter phage RcTitan</t>
  </si>
  <si>
    <t>Vegasvirus</t>
  </si>
  <si>
    <t>Paenibacillus virus Vegas</t>
  </si>
  <si>
    <t>KT361654</t>
  </si>
  <si>
    <t>Paenibacillus phage Vegas</t>
  </si>
  <si>
    <t>2016.052a-dB.A.v1.Vegasvirus</t>
  </si>
  <si>
    <t>Vendettavirus</t>
  </si>
  <si>
    <t>Gordonia virus Vendetta</t>
  </si>
  <si>
    <t>KU998237</t>
  </si>
  <si>
    <t>Gordonia phage Vendetta</t>
  </si>
  <si>
    <t>2016.062a-dB.A.v1.Vendettavirus</t>
  </si>
  <si>
    <t>Wildcatvirus</t>
  </si>
  <si>
    <t>Mycobacterium virus Wildcat</t>
  </si>
  <si>
    <t>DQ398052</t>
  </si>
  <si>
    <t>Mycobacterium phage Wildcat</t>
  </si>
  <si>
    <t>2016.053a-dB.A.v1.Wildcatvirus</t>
  </si>
  <si>
    <t>Woesvirus</t>
  </si>
  <si>
    <t>Gordonia virus Hotorobo</t>
  </si>
  <si>
    <t>KU963245</t>
  </si>
  <si>
    <t>Gordonia phage Hotorobo</t>
  </si>
  <si>
    <t>2016.054a-dB.A.v1.Woesvirus</t>
  </si>
  <si>
    <t>Gordonia virus Monty</t>
  </si>
  <si>
    <t>KU998241</t>
  </si>
  <si>
    <t>Gordonia phage Monty</t>
  </si>
  <si>
    <t>Gordonia virus Woes</t>
  </si>
  <si>
    <t>KU998240</t>
  </si>
  <si>
    <t>Gordonia phage Woes</t>
  </si>
  <si>
    <t>Ydn12virus</t>
  </si>
  <si>
    <t>Streptomyces virus TP1604</t>
  </si>
  <si>
    <t>KP876466</t>
  </si>
  <si>
    <t>Streptomyces phage TP1604</t>
  </si>
  <si>
    <t>2016.065a-dB.A.v1.Ydn12virus</t>
  </si>
  <si>
    <t>Streptomyces virus YDN12</t>
  </si>
  <si>
    <t>KP876465</t>
  </si>
  <si>
    <t>Streptomyces phage YDN12</t>
  </si>
  <si>
    <t>Pseudomonas virus LKO4</t>
  </si>
  <si>
    <t>KC758116</t>
  </si>
  <si>
    <t>Pseudomonas phage LKO4</t>
  </si>
  <si>
    <t>Pseudomonas virus MP1412</t>
  </si>
  <si>
    <t>JX131330</t>
  </si>
  <si>
    <t>Pseudomonas phage MP1412</t>
  </si>
  <si>
    <t>Pseudomonas virus PAE1</t>
  </si>
  <si>
    <t>KT734862</t>
  </si>
  <si>
    <t>Pseudomonas phage PAE1</t>
  </si>
  <si>
    <t>Mammalian 2 bornavirus</t>
  </si>
  <si>
    <t>LN713681</t>
  </si>
  <si>
    <t>variegated squirrel bornavirus 1, isolate squirrel brain</t>
  </si>
  <si>
    <t>2016.013aM.A.v1.Bornavirus_sp</t>
  </si>
  <si>
    <t>Peropuvirus</t>
  </si>
  <si>
    <t>Pteromalus puparum peropuvirus</t>
  </si>
  <si>
    <t>KX431032</t>
  </si>
  <si>
    <t>Pteromalus puparum negative-strand RNA virus 1 HZ</t>
  </si>
  <si>
    <t>2016.015a-dM.A.v1.Peropuvirus</t>
  </si>
  <si>
    <t>Avian avulavirus 13</t>
  </si>
  <si>
    <t>LC041132</t>
  </si>
  <si>
    <t>avian paramyxovirus 13 goose/Japan/Shimane67</t>
  </si>
  <si>
    <t>2016.001a,bM.A.v2.Avulavirus_spren</t>
  </si>
  <si>
    <t>Achimota rubulavirus 1</t>
  </si>
  <si>
    <t>JX051319</t>
  </si>
  <si>
    <t>Achimota virus 1</t>
  </si>
  <si>
    <t>2015.016aM.A.v3.Rubulavirus_10sp</t>
  </si>
  <si>
    <t>Achimota rubulavirus 2</t>
  </si>
  <si>
    <t>JX051320</t>
  </si>
  <si>
    <t>Achimota virus 2</t>
  </si>
  <si>
    <t>Bat mumps rubulavirus</t>
  </si>
  <si>
    <t>HQ660095</t>
  </si>
  <si>
    <t>bat mumps virus</t>
  </si>
  <si>
    <t>Menangle rubulavirus</t>
  </si>
  <si>
    <t>JX112711</t>
  </si>
  <si>
    <t>Menangle virus</t>
  </si>
  <si>
    <t>Sosuga rubulavirus</t>
  </si>
  <si>
    <t>KF774436</t>
  </si>
  <si>
    <t>Sosuga virus</t>
  </si>
  <si>
    <t>Teviot rubulavirus</t>
  </si>
  <si>
    <t>KP271124</t>
  </si>
  <si>
    <t>Teviot virus Cedar Grove isolate</t>
  </si>
  <si>
    <t>Tioman rubulavirus</t>
  </si>
  <si>
    <t>AF298895</t>
  </si>
  <si>
    <t>Tioman virus</t>
  </si>
  <si>
    <t>Tuhoko rubulavirus 1</t>
  </si>
  <si>
    <t>GU128080</t>
  </si>
  <si>
    <t>Tuhoko virus 1</t>
  </si>
  <si>
    <t>Tuhoko rubulavirus 2</t>
  </si>
  <si>
    <t>GU128081</t>
  </si>
  <si>
    <t>Tuhoko virus 2</t>
  </si>
  <si>
    <t>Tuhoko rubulavirus 3</t>
  </si>
  <si>
    <t>GU128082</t>
  </si>
  <si>
    <t>Tuhoko virus 3</t>
  </si>
  <si>
    <t>Almendravirus</t>
  </si>
  <si>
    <t>Arboretum almendravirus</t>
  </si>
  <si>
    <t>KC994644</t>
  </si>
  <si>
    <t>Arboretum virus strain Lo-121</t>
  </si>
  <si>
    <t>2016.002a-dM.A.v3.Almendravirus</t>
  </si>
  <si>
    <t>Balsa almendravirus</t>
  </si>
  <si>
    <t>KX228198</t>
  </si>
  <si>
    <t>Balsa virus strain CoB 76</t>
  </si>
  <si>
    <t>Coot Bay almendravirus</t>
  </si>
  <si>
    <t>KX228196</t>
  </si>
  <si>
    <t>Coot Bay virus strain EVG5-53</t>
  </si>
  <si>
    <t>Puerto Almendras almendravirus</t>
  </si>
  <si>
    <t>KF534749</t>
  </si>
  <si>
    <t>Puerto Almendras virus strain Lo-39</t>
  </si>
  <si>
    <t>Rio Chico almendravirus</t>
  </si>
  <si>
    <t>KX228197</t>
  </si>
  <si>
    <t>Rio Chico virus strain GAM-195</t>
  </si>
  <si>
    <t>Curiovirus</t>
  </si>
  <si>
    <t>Curionopolis curiovirus</t>
  </si>
  <si>
    <t>KM204994</t>
  </si>
  <si>
    <t>Curionopolis virus strain BeAr440009</t>
  </si>
  <si>
    <t>2016.003a-dM.A.v3.Curiovirus</t>
  </si>
  <si>
    <t>Iriri curiovirus</t>
  </si>
  <si>
    <t>KM204995</t>
  </si>
  <si>
    <t>Iriri virus strain BeAr408005</t>
  </si>
  <si>
    <t>Itacaiunas curiovirus</t>
  </si>
  <si>
    <t>KM204984</t>
  </si>
  <si>
    <t>Itacaiunas virus strain BeAr427036</t>
  </si>
  <si>
    <t>Rochambeau curiovirus</t>
  </si>
  <si>
    <t>KM205012</t>
  </si>
  <si>
    <t>Rochambeau virus strain CaAr16102</t>
  </si>
  <si>
    <t>Colocasia bobone disease-associated cytorhabdovirus</t>
  </si>
  <si>
    <t>KT381973</t>
  </si>
  <si>
    <t xml:space="preserve">Colocasia bobone disease- associated virus </t>
  </si>
  <si>
    <t>2016.017aM.A.v1.Cytorhabdovirus_sp</t>
  </si>
  <si>
    <t>Kimberley ephemerovirus</t>
  </si>
  <si>
    <t>JQ941664</t>
  </si>
  <si>
    <t>Kimberley virus (CS368)</t>
  </si>
  <si>
    <t>2016.004aM.A.v2.Ephemerovirus_3sp</t>
  </si>
  <si>
    <t>Koolpinyah ephemerovirus</t>
  </si>
  <si>
    <t>KM085029</t>
  </si>
  <si>
    <t>Koolpinyah virus (DPP833)</t>
  </si>
  <si>
    <t>Yata ephemerovirus</t>
  </si>
  <si>
    <t>KM085030</t>
  </si>
  <si>
    <t>Yata virus (DakAr B2181)</t>
  </si>
  <si>
    <t>Gray Lodge hapavirus</t>
  </si>
  <si>
    <t>KM205022</t>
  </si>
  <si>
    <t>Gray Lodge virus BFN3187</t>
  </si>
  <si>
    <t>Hart Park hapavirus</t>
  </si>
  <si>
    <t>KM205011</t>
  </si>
  <si>
    <t>Hart Park virus AR7C</t>
  </si>
  <si>
    <t>Joinjakaka hapavirus</t>
  </si>
  <si>
    <t>KM205016</t>
  </si>
  <si>
    <t>Joinjakaka virus AusMK7937</t>
  </si>
  <si>
    <t>Kamese hapavirus</t>
  </si>
  <si>
    <t>KM204989</t>
  </si>
  <si>
    <t>Kamese virus MP6186</t>
  </si>
  <si>
    <t>La Joya hapavirus</t>
  </si>
  <si>
    <t>KM204986</t>
  </si>
  <si>
    <t>La Joya virus J-134</t>
  </si>
  <si>
    <t>Landjia hapavirus</t>
  </si>
  <si>
    <t>KM205010</t>
  </si>
  <si>
    <t>Landjia viruS DakAnB769d</t>
  </si>
  <si>
    <t>Manitoba hapavirus</t>
  </si>
  <si>
    <t>KM205008</t>
  </si>
  <si>
    <t>Manitoba virus Mn936-77</t>
  </si>
  <si>
    <t>Marco hapavirus</t>
  </si>
  <si>
    <t>KM205005</t>
  </si>
  <si>
    <t>Marco virus BeAn40290</t>
  </si>
  <si>
    <t>Mosqueiro hapavirus</t>
  </si>
  <si>
    <t>KM205014</t>
  </si>
  <si>
    <t>Mosqueiro virus BeAr185559</t>
  </si>
  <si>
    <t>Mossuril hapavirus</t>
  </si>
  <si>
    <t>KM204993</t>
  </si>
  <si>
    <t>Mossuril virus SAAr1995</t>
  </si>
  <si>
    <t>Ord River hapavirus</t>
  </si>
  <si>
    <t>KM204988</t>
  </si>
  <si>
    <t>Ord River virus OR1023</t>
  </si>
  <si>
    <t>Parry Creek hapavirus</t>
  </si>
  <si>
    <t>KM205025</t>
  </si>
  <si>
    <t>Parry Creek virus OR189</t>
  </si>
  <si>
    <t>Ledantevirus</t>
  </si>
  <si>
    <t>Barur ledantevirus</t>
  </si>
  <si>
    <t>KM204983</t>
  </si>
  <si>
    <t>Barur virus 6235</t>
  </si>
  <si>
    <t>2016.006a-dM.A.v2.Ledantevirus</t>
  </si>
  <si>
    <t>Fikirini ledantevirus</t>
  </si>
  <si>
    <t>KC676792</t>
  </si>
  <si>
    <t>Fikirini rhabdovirus KEN352</t>
  </si>
  <si>
    <t>Fukuoka ledantevirus</t>
  </si>
  <si>
    <t>KM205001</t>
  </si>
  <si>
    <t>Fukuoka virus FUK-11</t>
  </si>
  <si>
    <t>Kern Canyon ledantevirus</t>
  </si>
  <si>
    <t>KM204992</t>
  </si>
  <si>
    <t>Kern Canyon virus M03790</t>
  </si>
  <si>
    <t>Keuraliba ledantevirus</t>
  </si>
  <si>
    <t>KM205021</t>
  </si>
  <si>
    <t>Keuraliba virus Dak AnD5314</t>
  </si>
  <si>
    <t>Kolente ledantevirus</t>
  </si>
  <si>
    <t>KC984953</t>
  </si>
  <si>
    <t>Kolente virus DakArK7292</t>
  </si>
  <si>
    <t>Kumasi ledantevirus</t>
  </si>
  <si>
    <t>KJ179955</t>
  </si>
  <si>
    <t>Kumasi rhabdovirus M35</t>
  </si>
  <si>
    <t>Le Dantec ledantevirus</t>
  </si>
  <si>
    <t>KM205006</t>
  </si>
  <si>
    <t>Le Dantec virus DakHD763</t>
  </si>
  <si>
    <t>Mount Elgon bat ledantevirus</t>
  </si>
  <si>
    <t>KM205026</t>
  </si>
  <si>
    <t>Mount Elgon bat virus BP846</t>
  </si>
  <si>
    <t>Nishimuro ledantevirus</t>
  </si>
  <si>
    <t>AB609604</t>
  </si>
  <si>
    <t>Nishimuro virus</t>
  </si>
  <si>
    <t>Nkolbisson ledantevirus</t>
  </si>
  <si>
    <t>KM205017</t>
  </si>
  <si>
    <t>Nkolbisson virus YM 31-65</t>
  </si>
  <si>
    <t>Oita ledantevirus</t>
  </si>
  <si>
    <t>KM204998</t>
  </si>
  <si>
    <t>Oita virus 296-1972</t>
  </si>
  <si>
    <t>Wuhan ledantevirus</t>
  </si>
  <si>
    <t>KM817654</t>
  </si>
  <si>
    <t>Wuhan louse fly virus 5 BFJSC-5</t>
  </si>
  <si>
    <t>Yongjia ledantevirus</t>
  </si>
  <si>
    <t>KM817662</t>
  </si>
  <si>
    <t>Yongjia tick virus 2 YJ1-2</t>
  </si>
  <si>
    <t>Sripuvirus</t>
  </si>
  <si>
    <t>Almpiwar sripuvirus</t>
  </si>
  <si>
    <t>KJ399977</t>
  </si>
  <si>
    <t>Almpiwar virus MRM4059</t>
  </si>
  <si>
    <t>2016.007a-dM.A.v5.Sripuvirus</t>
  </si>
  <si>
    <t>Chaco sripuvirus</t>
  </si>
  <si>
    <t>KM205000</t>
  </si>
  <si>
    <t>Chaco virus BeAn42217</t>
  </si>
  <si>
    <t>Niakha sripuvirus</t>
  </si>
  <si>
    <t>KC585008</t>
  </si>
  <si>
    <t>Niakha virus DakArD88909</t>
  </si>
  <si>
    <t>Sena Madureira sripuvirus</t>
  </si>
  <si>
    <t>KM205004</t>
  </si>
  <si>
    <t>Sena Madureira virus BeAn303197</t>
  </si>
  <si>
    <t>Sripur sripuvirus</t>
  </si>
  <si>
    <t>KM205023</t>
  </si>
  <si>
    <t>Sripur virus 733646</t>
  </si>
  <si>
    <t>Bas-Congo tibrovirus</t>
  </si>
  <si>
    <t>JX297815</t>
  </si>
  <si>
    <t>Bas-Congo virus</t>
  </si>
  <si>
    <t>2016.008aM.A.v3.Tibrovirus_4sp</t>
  </si>
  <si>
    <t>Ekpoma 1 tibrovirus</t>
  </si>
  <si>
    <t>KP324827</t>
  </si>
  <si>
    <t>Ekpoma virus 1</t>
  </si>
  <si>
    <t>Ekpoma 2 tibrovirus</t>
  </si>
  <si>
    <t>KP324828</t>
  </si>
  <si>
    <t>Ekpoma virus 2</t>
  </si>
  <si>
    <t>Sweetwater Branch tibrovirus</t>
  </si>
  <si>
    <t>KM204997</t>
  </si>
  <si>
    <t>Sweetwater Branch virus UF-11</t>
  </si>
  <si>
    <t>Klamath tupavirus</t>
  </si>
  <si>
    <t>KM204999</t>
  </si>
  <si>
    <t>Klamath virus M-1056</t>
  </si>
  <si>
    <t>2016.009aM.A.v2.Tupavirus_sp</t>
  </si>
  <si>
    <t>American bat vesiculovirus</t>
  </si>
  <si>
    <t>JX569193</t>
  </si>
  <si>
    <t>American bat vesiculovirus strain TFFN-2013</t>
  </si>
  <si>
    <t>2016.010aM.A.v3.Vesiculovirus_7sp</t>
  </si>
  <si>
    <t>Jurona vesiculovirus</t>
  </si>
  <si>
    <t>KM204996</t>
  </si>
  <si>
    <t>Jurona virus strain BeAr 40578</t>
  </si>
  <si>
    <t>Malpais Spring vesiculovirus</t>
  </si>
  <si>
    <t>KC412247</t>
  </si>
  <si>
    <t>Malpais Spring virus strain 85-488NM</t>
  </si>
  <si>
    <t>Morreton vesiculovirus</t>
  </si>
  <si>
    <t>KM205007</t>
  </si>
  <si>
    <t>Morreton virus strain CoAr191048</t>
  </si>
  <si>
    <t>Perinet vesiculovirus</t>
  </si>
  <si>
    <t>HM566195</t>
  </si>
  <si>
    <t>Perinet virus strain DakArMg802</t>
  </si>
  <si>
    <t>Radi vesiculovirus</t>
  </si>
  <si>
    <t>KM205024</t>
  </si>
  <si>
    <t>Radi virus 2 strain ISS Phl-166</t>
  </si>
  <si>
    <t>Yug Bogdanovac vesiculovirus</t>
  </si>
  <si>
    <t>JF911700</t>
  </si>
  <si>
    <t>Yug Bogdanovac virus strain YU4-76</t>
  </si>
  <si>
    <t>Rat arterivirus 1</t>
  </si>
  <si>
    <t>KP280006</t>
  </si>
  <si>
    <t>Free State vervet virus</t>
  </si>
  <si>
    <t>KR862307</t>
  </si>
  <si>
    <t>Kafue kinda chacma baboon virus</t>
  </si>
  <si>
    <t>KT447550</t>
  </si>
  <si>
    <t>Kafue kinda x chacma baboon virus</t>
  </si>
  <si>
    <t>Bovine nidovirus 1</t>
  </si>
  <si>
    <t>KM589359</t>
  </si>
  <si>
    <t>bovine nidovirus TCH5</t>
  </si>
  <si>
    <t>2016.019aS.A.v1.Torovirinae_2sp</t>
  </si>
  <si>
    <t>Chinook salmon nidovirus 1</t>
  </si>
  <si>
    <t>KJ681496</t>
  </si>
  <si>
    <t>Chinook salmon bafinivirus NIDO</t>
  </si>
  <si>
    <t>Brevicoryne brassicae virus</t>
  </si>
  <si>
    <t>EF517277</t>
  </si>
  <si>
    <t>Brevicoryne brassicae virus - UK</t>
  </si>
  <si>
    <t>2016.003aS.A.v2.Iflavirus_sp</t>
  </si>
  <si>
    <t>Ampivirus</t>
  </si>
  <si>
    <t>Ampivirus A</t>
  </si>
  <si>
    <t>KP770140</t>
  </si>
  <si>
    <t>2016.007a-dS.A.v1.Ampivirus</t>
  </si>
  <si>
    <t>Avisivirus B</t>
  </si>
  <si>
    <t>KF979333</t>
  </si>
  <si>
    <t>2016.002aS.A.v1.Avisivirus_2sp</t>
  </si>
  <si>
    <t>Avisivirus C</t>
  </si>
  <si>
    <t>KF979334</t>
  </si>
  <si>
    <t>Cosavirus B</t>
  </si>
  <si>
    <t>FJ438907</t>
  </si>
  <si>
    <t>2016.004aS.A.v1.Cosavirus_4sp</t>
  </si>
  <si>
    <t>Cosavirus D</t>
  </si>
  <si>
    <t>FJ438908</t>
  </si>
  <si>
    <t>Cosavirus E</t>
  </si>
  <si>
    <t>FJ555055</t>
  </si>
  <si>
    <t>Cosavirus F</t>
  </si>
  <si>
    <t>JN867758</t>
  </si>
  <si>
    <t>Enterovirus I</t>
  </si>
  <si>
    <t>KP345887</t>
  </si>
  <si>
    <t>2016.005aS.A.v1.Enterovirus_sp</t>
  </si>
  <si>
    <t>Harkavirus</t>
  </si>
  <si>
    <t>Harkavirus A</t>
  </si>
  <si>
    <t>KP230449</t>
  </si>
  <si>
    <t>2016.008a-dS.A.v1.Harkavirus</t>
  </si>
  <si>
    <t>Hepatovirus B</t>
  </si>
  <si>
    <t>KR703607</t>
  </si>
  <si>
    <t>2016.009aS.A.v2.Hepatovirus_8sp</t>
  </si>
  <si>
    <t>Hepatovirus C</t>
  </si>
  <si>
    <t>KT452742</t>
  </si>
  <si>
    <t>Hepatovirus D</t>
  </si>
  <si>
    <t>KT452637</t>
  </si>
  <si>
    <t>Hepatovirus E</t>
  </si>
  <si>
    <t>KT452735</t>
  </si>
  <si>
    <t>Hepatovirus F</t>
  </si>
  <si>
    <t>KT452685</t>
  </si>
  <si>
    <t>Hepatovirus G</t>
  </si>
  <si>
    <t>KT452730</t>
  </si>
  <si>
    <t>Hepatovirus H</t>
  </si>
  <si>
    <t>KT452691</t>
  </si>
  <si>
    <t>Hepatovirus I</t>
  </si>
  <si>
    <t>KT452658</t>
  </si>
  <si>
    <t>Aichivirus D</t>
  </si>
  <si>
    <t>LC055961</t>
  </si>
  <si>
    <t>2016.001aS.A.v2.Kobuvirus_3sp</t>
  </si>
  <si>
    <t>Aichivirus E</t>
  </si>
  <si>
    <t>KT325853</t>
  </si>
  <si>
    <t>Aichivirus F</t>
  </si>
  <si>
    <t>KJ641686</t>
  </si>
  <si>
    <t>Mischivirus B</t>
  </si>
  <si>
    <t>KP054273</t>
  </si>
  <si>
    <t>2016.012aS.A.v2.Mischivirus_2sp</t>
  </si>
  <si>
    <t>Mischivirus C</t>
  </si>
  <si>
    <t>KP100644</t>
  </si>
  <si>
    <t>Parechovirus C</t>
  </si>
  <si>
    <t>HF677705</t>
  </si>
  <si>
    <t>2016.014aS.A.v2.Parechovirus_2sp</t>
  </si>
  <si>
    <t>Parechovirus D</t>
  </si>
  <si>
    <t>KF006989</t>
  </si>
  <si>
    <t>Rabovirus</t>
  </si>
  <si>
    <t>Rabovirus A</t>
  </si>
  <si>
    <t>KP233897</t>
  </si>
  <si>
    <t>2016.015a-dS.A.v1.Rabovirus</t>
  </si>
  <si>
    <t>Torchivirus</t>
  </si>
  <si>
    <t>Torchivirus A</t>
  </si>
  <si>
    <t>KM873611</t>
  </si>
  <si>
    <t>2016.018a-dS.A.v1.Torchivirus</t>
  </si>
  <si>
    <t>Currant latent virus</t>
  </si>
  <si>
    <t>RNA1:KT692952,RNA2:KT692953</t>
  </si>
  <si>
    <t xml:space="preserve">currant latent virus isolate Hol 9/6 </t>
  </si>
  <si>
    <t>2016.003aP.A.v2.Cheravirus_sp</t>
  </si>
  <si>
    <t>Squash chlorotic leaf spot virus</t>
  </si>
  <si>
    <t>RNA1:KU052530,RNA2:KU052531</t>
  </si>
  <si>
    <t xml:space="preserve">squash chlorotic leaf spot virus isolate Su12-10 </t>
  </si>
  <si>
    <t>2016.004a-cP.A.v3.Secoviridae_3sp</t>
  </si>
  <si>
    <t>Chocolate lily virus A</t>
  </si>
  <si>
    <t>RNA1:JN052073,RNA2:JN052074</t>
  </si>
  <si>
    <t xml:space="preserve">chocolate lily virus A isolate KP2 </t>
  </si>
  <si>
    <t>Bellflower vein chlorosis virus</t>
  </si>
  <si>
    <t>KT238881</t>
  </si>
  <si>
    <t xml:space="preserve">bellflower vein chlorosis virus isolate CT1 </t>
  </si>
  <si>
    <t>Nectarine marafivirus M</t>
  </si>
  <si>
    <t>KT273411</t>
  </si>
  <si>
    <t>12C51</t>
  </si>
  <si>
    <t>2016.022a,bP.A.v1.Tymoviridae_2sp</t>
  </si>
  <si>
    <t>Tomato blistering mosaic tymovirus</t>
  </si>
  <si>
    <t>KC840043</t>
  </si>
  <si>
    <t>SC50</t>
  </si>
  <si>
    <t>Lizard atadenovirus A</t>
  </si>
  <si>
    <t>KJ156523</t>
  </si>
  <si>
    <t>lizard adenovirus 2</t>
  </si>
  <si>
    <t>2016.002aD.A.v1.Atadenovirus_2sp</t>
  </si>
  <si>
    <t>Psittacine atadenovirus A</t>
  </si>
  <si>
    <t>KJ675568</t>
  </si>
  <si>
    <t>psittacine adenovirus 3</t>
  </si>
  <si>
    <t>Dolphin mastadenovirus A</t>
  </si>
  <si>
    <t>KR024710</t>
  </si>
  <si>
    <t>bottlenose dolphin adenovirus 1</t>
  </si>
  <si>
    <t>2016.010aD.A.v1.Mastadenovirus_9sp</t>
  </si>
  <si>
    <t>Platyrrhini mastadenovirus A</t>
  </si>
  <si>
    <t>HQ913600</t>
  </si>
  <si>
    <t>titi monkey adenovirus ECC-2011</t>
  </si>
  <si>
    <t>Sea lion mastadenovirus A</t>
  </si>
  <si>
    <t>KJ563221</t>
  </si>
  <si>
    <t>California sea lion adenovirus 1</t>
  </si>
  <si>
    <t>Simian mastadenovirus D</t>
  </si>
  <si>
    <t>KP329563</t>
  </si>
  <si>
    <t>simian adenovirus 13</t>
  </si>
  <si>
    <t>Simian mastadenovirus E</t>
  </si>
  <si>
    <t>KP329564</t>
  </si>
  <si>
    <t>simian adenovirus 16</t>
  </si>
  <si>
    <t>Simian mastadenovirus F</t>
  </si>
  <si>
    <t>FJ025931</t>
  </si>
  <si>
    <t>simian adenovirus 18</t>
  </si>
  <si>
    <t>Simian mastadenovirus G</t>
  </si>
  <si>
    <t>HQ605912</t>
  </si>
  <si>
    <t>simian adenovirus 20</t>
  </si>
  <si>
    <t>Simian mastadenovirus H</t>
  </si>
  <si>
    <t>KM190146</t>
  </si>
  <si>
    <t>simian adenovirus DM-2014</t>
  </si>
  <si>
    <t>Skunk mastadenovirus A</t>
  </si>
  <si>
    <t>KP238322</t>
  </si>
  <si>
    <t>skunk adenovirus PB1</t>
  </si>
  <si>
    <t>Penguin siadenovirus A</t>
  </si>
  <si>
    <t>KP144329</t>
  </si>
  <si>
    <t>chinstrap penguin adenovirus 2</t>
  </si>
  <si>
    <t>2016.012aD.A.v1.Siadenovirus_sp</t>
  </si>
  <si>
    <t>Loei River mammarenavirus</t>
  </si>
  <si>
    <t>L:KC669693,S:KC669698</t>
  </si>
  <si>
    <t>Loei River virus, isolate R5074</t>
  </si>
  <si>
    <t>2016.014aM.A.v1.Mammarenavirus_sp</t>
  </si>
  <si>
    <t>Solwezi mammarenavirus</t>
  </si>
  <si>
    <t>L:AB972429,S:AB972428</t>
  </si>
  <si>
    <t>Solvezi virus 13ZR68</t>
  </si>
  <si>
    <t>2016.019aM.A.v2.Mammarenavirus_sp</t>
  </si>
  <si>
    <t>Catopsilia pomona nucleopolyhedrovirus</t>
  </si>
  <si>
    <t>KU565883</t>
  </si>
  <si>
    <t>Catopsilia pomona nucleopolyhedrovirus isolate 416</t>
  </si>
  <si>
    <t>2016.001aD.A.v2.Alphabaculovirus_sp</t>
  </si>
  <si>
    <t>Choristoneura murinana nucleopolyhedrovirus</t>
  </si>
  <si>
    <t>KF894742</t>
  </si>
  <si>
    <t>Choristoneura murinana alphabaculovirus Darmstadt</t>
  </si>
  <si>
    <t>2016.004aD.A.v1.Alphabaculovirus_4sp</t>
  </si>
  <si>
    <t>Lambdina fiscellaria nucleopolyhedrovirus</t>
  </si>
  <si>
    <t>KP752043</t>
  </si>
  <si>
    <t>Lambdina fiscellaria nucleopolyhedrovirus GR15</t>
  </si>
  <si>
    <t>Lymantria xylina nucleopolyhedrovirus</t>
  </si>
  <si>
    <t>GQ202541</t>
  </si>
  <si>
    <t>Lymantria xylina multiple nucleopolyhedrovirus-5</t>
  </si>
  <si>
    <t>Orgyia leucostigma nucleopolyhedrovirus</t>
  </si>
  <si>
    <t>EU309041</t>
  </si>
  <si>
    <t>Orgyia leucostigma nucleopolyhedrovirus CFS-77</t>
  </si>
  <si>
    <t>Clostera anachoreta granulovirus</t>
  </si>
  <si>
    <t>HQ116624</t>
  </si>
  <si>
    <t>Clostera anachoreta granulovirus HBHN</t>
  </si>
  <si>
    <t>2016.005aD.A.v1.Betabaculovirus_6sp</t>
  </si>
  <si>
    <t>Clostera anastomosis granulovirus A</t>
  </si>
  <si>
    <t>KC179784</t>
  </si>
  <si>
    <t>Clostera anastomosis granulovirus Henan</t>
  </si>
  <si>
    <t>Clostera anastomosis granulovirus B</t>
  </si>
  <si>
    <t>KR091910</t>
  </si>
  <si>
    <t>Diatraea saccharalis granulovirus</t>
  </si>
  <si>
    <t>KP296186</t>
  </si>
  <si>
    <t>Diatraea saccharalis granulovirus Parana-2009</t>
  </si>
  <si>
    <t>Epinotia aporema granulovirus</t>
  </si>
  <si>
    <t>JN408834</t>
  </si>
  <si>
    <t>Epinotia aporema granulovirus Oliveros.Santa Fe</t>
  </si>
  <si>
    <t>Spodoptera litura granulovirus</t>
  </si>
  <si>
    <t>DQ288858</t>
  </si>
  <si>
    <t>Spodoptera litura granulovirus K1</t>
  </si>
  <si>
    <t>Mulberry badnavirus 1</t>
  </si>
  <si>
    <t>LN651258</t>
  </si>
  <si>
    <t>Mulberry badnavirus 1, Lebanon34</t>
  </si>
  <si>
    <t>2016.015aP.A.v1.Badnavirus_sp</t>
  </si>
  <si>
    <t>Taro bacilliform CH virus</t>
  </si>
  <si>
    <t>KP710178</t>
  </si>
  <si>
    <t>Taro bacilliform CH virus, isolate TaBCHV-1</t>
  </si>
  <si>
    <t>2016.012aP.A.v4.Badnavirus_2sp</t>
  </si>
  <si>
    <t>Yacon necrotic mottle virus</t>
  </si>
  <si>
    <t>KM229702</t>
  </si>
  <si>
    <t>Yacon necrotic mottle virus, isolate YV1</t>
  </si>
  <si>
    <t>Atractylodes mild mottle virus</t>
  </si>
  <si>
    <t>KR080327</t>
  </si>
  <si>
    <t>AMMV-ES</t>
  </si>
  <si>
    <t>2016.013aP.A.v1.Caulimovirus_sp</t>
  </si>
  <si>
    <t>Bat associated circovirus 4</t>
  </si>
  <si>
    <t>KT783484</t>
  </si>
  <si>
    <t>Tadarida brasiliensis circovirus 1</t>
  </si>
  <si>
    <t>2016.007a,bD.A.v2.Circovirus_5sp,ren</t>
  </si>
  <si>
    <t>Bat associated circovirus 5</t>
  </si>
  <si>
    <t>KJ641727</t>
  </si>
  <si>
    <t>bat circovirus 5 isolate BtPa-CV-1/NX2013</t>
  </si>
  <si>
    <t>Bat associated circovirus 6</t>
  </si>
  <si>
    <t>KJ641724</t>
  </si>
  <si>
    <t>bat circovirus 6 isolate BtRa-CV/JS2013</t>
  </si>
  <si>
    <t>Bat associated circovirus 7</t>
  </si>
  <si>
    <t>KJ641723</t>
  </si>
  <si>
    <t>bat circovirus 7 isolate BtRs-CV/HuB2013</t>
  </si>
  <si>
    <t>Bat associated circovirus 8</t>
  </si>
  <si>
    <t>KJ641711</t>
  </si>
  <si>
    <t>bat circovirus 8 isolate BtMr-CV/GD2012</t>
  </si>
  <si>
    <t>Bat associated cyclovirus 6</t>
  </si>
  <si>
    <t>KJ641714</t>
  </si>
  <si>
    <t>BtRp-CV-14/GD2012</t>
  </si>
  <si>
    <t>2016.008a,bD.A.v2.Cyclovirus_15sp,ren</t>
  </si>
  <si>
    <t>Bat associated cyclovirus 7</t>
  </si>
  <si>
    <t>KJ641740</t>
  </si>
  <si>
    <t>BtRf-CV-24/YN2010</t>
  </si>
  <si>
    <t>Bat associated cyclovirus 8</t>
  </si>
  <si>
    <t>KJ641715</t>
  </si>
  <si>
    <t>BtRp-CV-52/GD2012</t>
  </si>
  <si>
    <t>Bat associated cyclovirus 9</t>
  </si>
  <si>
    <t>KJ641720</t>
  </si>
  <si>
    <t>BtTp-CV-2/GX2012</t>
  </si>
  <si>
    <t>Bat associated cyclovirus 10</t>
  </si>
  <si>
    <t>KM382270</t>
  </si>
  <si>
    <t>POA/2012/VI</t>
  </si>
  <si>
    <t>Bat associated cyclovirus 11</t>
  </si>
  <si>
    <t>KJ641717</t>
  </si>
  <si>
    <t>BtMspp-CV/GD2012</t>
  </si>
  <si>
    <t>Bat associated cyclovirus 12</t>
  </si>
  <si>
    <t>KM382269</t>
  </si>
  <si>
    <t>POA/2012/II</t>
  </si>
  <si>
    <t>Bat associated cyclovirus 13</t>
  </si>
  <si>
    <t>KJ641728</t>
  </si>
  <si>
    <t>BtPa-CV-2/NX2013</t>
  </si>
  <si>
    <t>Bat associated cyclovirus 14</t>
  </si>
  <si>
    <t>KT732785</t>
  </si>
  <si>
    <t>Tbat_H_103699</t>
  </si>
  <si>
    <t>Bat associated cyclovirus 15</t>
  </si>
  <si>
    <t>KT732786</t>
  </si>
  <si>
    <t>Tbat_H_88317</t>
  </si>
  <si>
    <t>Bat associated cyclovirus 16</t>
  </si>
  <si>
    <t>KT732788</t>
  </si>
  <si>
    <t>Tbat_H_103923</t>
  </si>
  <si>
    <t>Feline associated cyclovirus 1</t>
  </si>
  <si>
    <t>KM017740</t>
  </si>
  <si>
    <t>feline cyclovirus</t>
  </si>
  <si>
    <t>Horse associated cyclovirus 1</t>
  </si>
  <si>
    <t>KR902499</t>
  </si>
  <si>
    <t>Cyclovirus Equ1</t>
  </si>
  <si>
    <t>Human associated cyclovirus 11</t>
  </si>
  <si>
    <t>KJ831064</t>
  </si>
  <si>
    <t>SL-108277</t>
  </si>
  <si>
    <t>Squirrel associated cyclovirus 1</t>
  </si>
  <si>
    <t>LC018134</t>
  </si>
  <si>
    <t>TsCyV-1_JP-NUBS-2014</t>
  </si>
  <si>
    <t>Rose leaf rosette-associated virus</t>
  </si>
  <si>
    <t>KJ748003</t>
  </si>
  <si>
    <t>RLRaV-CWR.1</t>
  </si>
  <si>
    <t>2016.009a-dP.A.v2.Closteroviridae_5sp</t>
  </si>
  <si>
    <t>Tobacco virus 1</t>
  </si>
  <si>
    <t>KT203917</t>
  </si>
  <si>
    <t>TV1-AnHui</t>
  </si>
  <si>
    <t>Tetterwort vein chlorosis virus</t>
  </si>
  <si>
    <t>RNA1:KR002686,RNA2:KR002687</t>
  </si>
  <si>
    <t>TwVCV-Yesan</t>
  </si>
  <si>
    <t>Persimmon virus B</t>
  </si>
  <si>
    <t>AB923924</t>
  </si>
  <si>
    <t>PeBV1-variant 1</t>
  </si>
  <si>
    <t>Areca palm velarivirus 1</t>
  </si>
  <si>
    <t>KR349464</t>
  </si>
  <si>
    <t>ArPV1-HN</t>
  </si>
  <si>
    <t>Cucumis melo alphaendornavirus</t>
  </si>
  <si>
    <t>KT727022</t>
  </si>
  <si>
    <t>CL-01</t>
  </si>
  <si>
    <t>2016.019a,bP.A.v4.Endornaviridae_10sp</t>
  </si>
  <si>
    <t>Erysiphe cichoracearum alphaendornavirus</t>
  </si>
  <si>
    <t>KT388110</t>
  </si>
  <si>
    <t>HBJZ1506</t>
  </si>
  <si>
    <t>Grapevine endophyte alphaendornavirus</t>
  </si>
  <si>
    <t>JX678977</t>
  </si>
  <si>
    <t>South Africa</t>
  </si>
  <si>
    <t>Hordeum vulgare alphaendornavirus</t>
  </si>
  <si>
    <t>KT721705</t>
  </si>
  <si>
    <t>Nerz</t>
  </si>
  <si>
    <t>Hot pepper alphaendornavirus</t>
  </si>
  <si>
    <t>KR080326</t>
  </si>
  <si>
    <t>CS</t>
  </si>
  <si>
    <t>Lagenaria siceraria alphaendornavirus</t>
  </si>
  <si>
    <t>KF562072</t>
  </si>
  <si>
    <t>FB</t>
  </si>
  <si>
    <t>Rhizoctonia cerealis alphaendornavirus 1</t>
  </si>
  <si>
    <t>KF311065</t>
  </si>
  <si>
    <t>R0959</t>
  </si>
  <si>
    <t>Alternaria brassicicola betaendornavirus 1</t>
  </si>
  <si>
    <t>KP239989</t>
  </si>
  <si>
    <t>817-14 Hunan</t>
  </si>
  <si>
    <t>Gremmeniella abietina betaendornavirus 1</t>
  </si>
  <si>
    <t>DQ399289</t>
  </si>
  <si>
    <t>AU58</t>
  </si>
  <si>
    <t>Tuber aestivum betaendornavirus</t>
  </si>
  <si>
    <t>HQ380014</t>
  </si>
  <si>
    <t>Jaszag</t>
  </si>
  <si>
    <t>Hepacivirus A</t>
  </si>
  <si>
    <t>KP325401</t>
  </si>
  <si>
    <t>NZP1 (equine)</t>
  </si>
  <si>
    <t>2016.010a,bS.A.v2.Hepacivirus_13sp1ren</t>
  </si>
  <si>
    <t>Hepacivirus B</t>
  </si>
  <si>
    <t>U22304</t>
  </si>
  <si>
    <t>GBV-B (primate)</t>
  </si>
  <si>
    <t>Hepacivirus D</t>
  </si>
  <si>
    <t>KC551800</t>
  </si>
  <si>
    <t>BWC08 (primate)</t>
  </si>
  <si>
    <t>Hepacivirus E</t>
  </si>
  <si>
    <t>KC815310</t>
  </si>
  <si>
    <t>RHV-339 (rodent)</t>
  </si>
  <si>
    <t>Hepacivirus F</t>
  </si>
  <si>
    <t>KC411784</t>
  </si>
  <si>
    <t>NLR-AP70 (rodent)</t>
  </si>
  <si>
    <t>Hepacivirus G</t>
  </si>
  <si>
    <t>KJ950938</t>
  </si>
  <si>
    <t>NrHV-1/NYC-C12 (rodent)</t>
  </si>
  <si>
    <t>Hepacivirus H</t>
  </si>
  <si>
    <t>KJ950939</t>
  </si>
  <si>
    <t>NrHV-1/NYC-E43 (rodent)</t>
  </si>
  <si>
    <t>Hepacivirus I</t>
  </si>
  <si>
    <t>KC411806</t>
  </si>
  <si>
    <t>SAR-3 (rodent)</t>
  </si>
  <si>
    <t>Hepacivirus J</t>
  </si>
  <si>
    <t>KC411777</t>
  </si>
  <si>
    <t>RMU10-3382 (rodent)</t>
  </si>
  <si>
    <t>Hepacivirus K</t>
  </si>
  <si>
    <t>KC796074</t>
  </si>
  <si>
    <t>PDB-829 (bat)</t>
  </si>
  <si>
    <t>Hepacivirus L</t>
  </si>
  <si>
    <t>KC796077</t>
  </si>
  <si>
    <t>PDB-112 (bat)</t>
  </si>
  <si>
    <t>Hepacivirus M</t>
  </si>
  <si>
    <t>KC796078</t>
  </si>
  <si>
    <t>PDB-491.1 (bat)</t>
  </si>
  <si>
    <t>Hepacivirus N</t>
  </si>
  <si>
    <t>KP641127</t>
  </si>
  <si>
    <t>463 (bovine)</t>
  </si>
  <si>
    <t>Pegivirus C</t>
  </si>
  <si>
    <t>U44402</t>
  </si>
  <si>
    <t>PNF2161 (GBV-C, primate)</t>
  </si>
  <si>
    <t>2016.013aS.A.v1.Pegivirus_9sp</t>
  </si>
  <si>
    <t>Pegivirus D</t>
  </si>
  <si>
    <t>KC145265</t>
  </si>
  <si>
    <t>horse_A1 (equine)</t>
  </si>
  <si>
    <t>Pegivirus E</t>
  </si>
  <si>
    <t>KC410872</t>
  </si>
  <si>
    <t>C0035 (equine)</t>
  </si>
  <si>
    <t>Pegivirus F</t>
  </si>
  <si>
    <t>KC796080</t>
  </si>
  <si>
    <t>PDB-1698 (bat)</t>
  </si>
  <si>
    <t>Pegivirus G</t>
  </si>
  <si>
    <t>KC796076</t>
  </si>
  <si>
    <t>PDB-620 (bat)</t>
  </si>
  <si>
    <t>Pegivirus H</t>
  </si>
  <si>
    <t>KT439329</t>
  </si>
  <si>
    <t>AK-790 (human PgV2)</t>
  </si>
  <si>
    <t>Pegivirus I</t>
  </si>
  <si>
    <t>KC796088</t>
  </si>
  <si>
    <t>PDB-1715 (bat)</t>
  </si>
  <si>
    <t>Pegivirus J</t>
  </si>
  <si>
    <t>KC815311</t>
  </si>
  <si>
    <t>CC61 (rodent)</t>
  </si>
  <si>
    <t>Pegivirus K</t>
  </si>
  <si>
    <t>KU351669</t>
  </si>
  <si>
    <t>PPgV_903 (pig)</t>
  </si>
  <si>
    <t>Capulavirus</t>
  </si>
  <si>
    <t>Alfalfa leaf curl virus</t>
  </si>
  <si>
    <t>KP732474</t>
  </si>
  <si>
    <t>ALCV-[44-1E]</t>
  </si>
  <si>
    <t>2016.014a-iP.A.v2.Geminiviridae_2gen</t>
  </si>
  <si>
    <t>Euphorbia caput-medusae latent virus</t>
  </si>
  <si>
    <t>HF921459</t>
  </si>
  <si>
    <t>EcmLV-[Dar10]</t>
  </si>
  <si>
    <t>French bean severe leaf curl virus</t>
  </si>
  <si>
    <t>JX094280</t>
  </si>
  <si>
    <t>FbSLSV-[1]</t>
  </si>
  <si>
    <t>Plantago lanceolata latent virus</t>
  </si>
  <si>
    <t>KT214389</t>
  </si>
  <si>
    <t>PlLV-[ALA13_Pl11]</t>
  </si>
  <si>
    <t>Grablovirus</t>
  </si>
  <si>
    <t>Grapevine red blotch virus</t>
  </si>
  <si>
    <t>JQ901105</t>
  </si>
  <si>
    <t>GRBV-[RT(456)17NOV10]</t>
  </si>
  <si>
    <t>Citrus chlorotic dwarf associated virus</t>
  </si>
  <si>
    <t>JQ920490</t>
  </si>
  <si>
    <t>CCDaV-[TK4]</t>
  </si>
  <si>
    <t>Mulberry mosaic dwarf associated virus</t>
  </si>
  <si>
    <t>KP303687</t>
  </si>
  <si>
    <t>MMDaV-[AK1-8]</t>
  </si>
  <si>
    <t>Blackbird associated gemycircularvirus 1</t>
  </si>
  <si>
    <t>KF371641</t>
  </si>
  <si>
    <t>P9</t>
  </si>
  <si>
    <t>2016.001a-agF.A.v6.Genomoviridae</t>
  </si>
  <si>
    <t>Bovine associated gemycircularvirus 1</t>
  </si>
  <si>
    <t>KT862253</t>
  </si>
  <si>
    <t>52 Fec78023 cow</t>
  </si>
  <si>
    <t>Bromus associated gemycircularvirus 1</t>
  </si>
  <si>
    <t>KM510192</t>
  </si>
  <si>
    <t>BasCV-3 NZ-NZG01 Sef-2012</t>
  </si>
  <si>
    <t>Cassava associated gemycircularvirus 1</t>
  </si>
  <si>
    <t>JQ412056</t>
  </si>
  <si>
    <t>G14</t>
  </si>
  <si>
    <t>Chickadee associated gemycircularvirus 1</t>
  </si>
  <si>
    <t>KT309029</t>
  </si>
  <si>
    <t>254000000</t>
  </si>
  <si>
    <t>Chicken associated gemycircularvirus 1</t>
  </si>
  <si>
    <t>KT862243</t>
  </si>
  <si>
    <t>27 Fec79971 chicken</t>
  </si>
  <si>
    <t>Chicken associated gemycircularvirus 2</t>
  </si>
  <si>
    <t>KT862242</t>
  </si>
  <si>
    <t>27 Fec16497 chicken</t>
  </si>
  <si>
    <t>Dragonfly associated gemycircularvirus 1</t>
  </si>
  <si>
    <t>JX185429</t>
  </si>
  <si>
    <t>FL2-5X-2010</t>
  </si>
  <si>
    <t>Equine associated gemycircularvirus 1</t>
  </si>
  <si>
    <t>KT862248</t>
  </si>
  <si>
    <t>30 Fec80061 horse</t>
  </si>
  <si>
    <t>Fur seal associated gemycircularvirus 1</t>
  </si>
  <si>
    <t>KF371638</t>
  </si>
  <si>
    <t>as50</t>
  </si>
  <si>
    <t>Gerygone associated gemycircularvirus 1</t>
  </si>
  <si>
    <t>KF371636</t>
  </si>
  <si>
    <t>P24a</t>
  </si>
  <si>
    <t>Gerygone associated gemycircularvirus 2</t>
  </si>
  <si>
    <t>KF371637</t>
  </si>
  <si>
    <t>P24b</t>
  </si>
  <si>
    <t>Gerygone associated gemycircularvirus 3</t>
  </si>
  <si>
    <t>KF371639</t>
  </si>
  <si>
    <t>P24c</t>
  </si>
  <si>
    <t>Hypericum associated gemycircularvirus 1</t>
  </si>
  <si>
    <t>KF413620</t>
  </si>
  <si>
    <t>VNHJ1W</t>
  </si>
  <si>
    <t>Lama associated gemycircularvirus 1</t>
  </si>
  <si>
    <t>KT862245</t>
  </si>
  <si>
    <t>29 Fec80018 llama</t>
  </si>
  <si>
    <t>Mallard associated gemycircularvirus 1</t>
  </si>
  <si>
    <t>KF371635</t>
  </si>
  <si>
    <t>as24</t>
  </si>
  <si>
    <t>Miniopterus associated gemycircularvirus 1</t>
  </si>
  <si>
    <t>KJ641719</t>
  </si>
  <si>
    <t>BtMf-CV-23/GD2012</t>
  </si>
  <si>
    <t>Mongoose associated gemycircularvirus 1</t>
  </si>
  <si>
    <t>KP263547</t>
  </si>
  <si>
    <t>478d</t>
  </si>
  <si>
    <t>Mosquito associated gemycircularvirus 1</t>
  </si>
  <si>
    <t>HQ335086</t>
  </si>
  <si>
    <t>SDBVL G</t>
  </si>
  <si>
    <t>Odonata associated gemycircularvirus 1</t>
  </si>
  <si>
    <t>KM598385</t>
  </si>
  <si>
    <t>OdaGmV-1-US-260BC-12</t>
  </si>
  <si>
    <t>Odonata associated gemycircularvirus 2</t>
  </si>
  <si>
    <t>KM598387</t>
  </si>
  <si>
    <t>OdaGmV-2-US-1642KW-12</t>
  </si>
  <si>
    <t>Poaceae associated gemycircularvirus 1</t>
  </si>
  <si>
    <t>KT253577</t>
  </si>
  <si>
    <t>PaGmV-1 TO STO14-29204 2014</t>
  </si>
  <si>
    <t>Porcine associated gemycircularvirus 1</t>
  </si>
  <si>
    <t>KT862250</t>
  </si>
  <si>
    <t>49 Fec80061 pig</t>
  </si>
  <si>
    <t>Porcine associated gemycircularvirus 2</t>
  </si>
  <si>
    <t>KF371640</t>
  </si>
  <si>
    <t>as5</t>
  </si>
  <si>
    <t>Pteropus associated gemycircularvirus 1</t>
  </si>
  <si>
    <t>KT732804</t>
  </si>
  <si>
    <t>Tbat 45285</t>
  </si>
  <si>
    <t>Pteropus associated gemycircularvirus 2</t>
  </si>
  <si>
    <t>KT732792</t>
  </si>
  <si>
    <t>Tbat 103791</t>
  </si>
  <si>
    <t>Pteropus associated gemycircularvirus 3</t>
  </si>
  <si>
    <t>KT732797</t>
  </si>
  <si>
    <t>Tbat A 103852</t>
  </si>
  <si>
    <t>Pteropus associated gemycircularvirus 4</t>
  </si>
  <si>
    <t>KT732814</t>
  </si>
  <si>
    <t>Tbat H 103806</t>
  </si>
  <si>
    <t>Pteropus associated gemycircularvirus 5</t>
  </si>
  <si>
    <t>KT732801</t>
  </si>
  <si>
    <t>Tbat 12377</t>
  </si>
  <si>
    <t>Pteropus associated gemycircularvirus 6</t>
  </si>
  <si>
    <t>KT732803</t>
  </si>
  <si>
    <t>Tbat 103951</t>
  </si>
  <si>
    <t>Pteropus associated gemycircularvirus 7</t>
  </si>
  <si>
    <t>KT732807</t>
  </si>
  <si>
    <t>Tbat A 103746</t>
  </si>
  <si>
    <t>Pteropus associated gemycircularvirus 8</t>
  </si>
  <si>
    <t>KT732806</t>
  </si>
  <si>
    <t>Tbat 31579</t>
  </si>
  <si>
    <t>Pteropus associated gemycircularvirus 9</t>
  </si>
  <si>
    <t>KT732795</t>
  </si>
  <si>
    <t>Tbat 21383</t>
  </si>
  <si>
    <t>Pteropus associated gemycircularvirus 10</t>
  </si>
  <si>
    <t>KT732794</t>
  </si>
  <si>
    <t>Tbat H 103958</t>
  </si>
  <si>
    <t>Rat associated gemycircularvirus 1</t>
  </si>
  <si>
    <t>KR912221</t>
  </si>
  <si>
    <t>Ch-zjrat-01</t>
  </si>
  <si>
    <t>Sewage derived gemycircularvirus 1</t>
  </si>
  <si>
    <t>KJ547638</t>
  </si>
  <si>
    <t>BS3917</t>
  </si>
  <si>
    <t>Sewage derived gemycircularvirus 2</t>
  </si>
  <si>
    <t>KJ547641</t>
  </si>
  <si>
    <t>BS4117</t>
  </si>
  <si>
    <t>Sewage derived gemycircularvirus 3</t>
  </si>
  <si>
    <t>KJ547636</t>
  </si>
  <si>
    <t>BS4014</t>
  </si>
  <si>
    <t>Sewage derived gemycircularvirus 4</t>
  </si>
  <si>
    <t>KJ547640</t>
  </si>
  <si>
    <t>BS3972</t>
  </si>
  <si>
    <t>Sewage derived gemycircularvirus 5</t>
  </si>
  <si>
    <t>KJ547639</t>
  </si>
  <si>
    <t>BS3970</t>
  </si>
  <si>
    <t>Sheep associated gemycircularvirus 1</t>
  </si>
  <si>
    <t>KT862249</t>
  </si>
  <si>
    <t>47 Fec80064 sheep</t>
  </si>
  <si>
    <t>Soybean associated gemycircularvirus 1</t>
  </si>
  <si>
    <t>KT598248</t>
  </si>
  <si>
    <t>SlaGemV1-1</t>
  </si>
  <si>
    <t>Gemyduguivirus</t>
  </si>
  <si>
    <t>Dragonfly associated gemyduguivirus 1</t>
  </si>
  <si>
    <t>JX185428</t>
  </si>
  <si>
    <t>TO-DFS3B2-2010</t>
  </si>
  <si>
    <t>Gemygorvirus</t>
  </si>
  <si>
    <t>Canine associated gemygorvirus 1</t>
  </si>
  <si>
    <t>KT862254</t>
  </si>
  <si>
    <t>53 Fec7 dog</t>
  </si>
  <si>
    <t>Mallard associated gemygorvirus 1</t>
  </si>
  <si>
    <t>KT862238</t>
  </si>
  <si>
    <t>4 Fec7 duck</t>
  </si>
  <si>
    <t>Pteropus associated gemygorvirus 1</t>
  </si>
  <si>
    <t>KT732790</t>
  </si>
  <si>
    <t>Tbat A 103952</t>
  </si>
  <si>
    <t>Sewage derived gemygorvirus 1</t>
  </si>
  <si>
    <t>KJ547635</t>
  </si>
  <si>
    <t>BS3963</t>
  </si>
  <si>
    <t>Starling associated gemygorvirus 1</t>
  </si>
  <si>
    <t>KF371632</t>
  </si>
  <si>
    <t>P14</t>
  </si>
  <si>
    <t>Gemykibivirus</t>
  </si>
  <si>
    <t>Badger associated gemykibivirus 1</t>
  </si>
  <si>
    <t>KP263543</t>
  </si>
  <si>
    <t>588t</t>
  </si>
  <si>
    <t>Black robin associated gemykibivirus 1</t>
  </si>
  <si>
    <t>KF371634</t>
  </si>
  <si>
    <t>P21</t>
  </si>
  <si>
    <t>Blackbird associated gemykibivirus 1</t>
  </si>
  <si>
    <t>KF371633</t>
  </si>
  <si>
    <t>Bovine associated gemykibivirus 1</t>
  </si>
  <si>
    <t>LK931483</t>
  </si>
  <si>
    <t>HCBI8.215</t>
  </si>
  <si>
    <t>Dragonfly associated gemykibivirus 1</t>
  </si>
  <si>
    <t>JX185430</t>
  </si>
  <si>
    <t>FL1-2X-2010</t>
  </si>
  <si>
    <t>Human associated gemykibivirus 1</t>
  </si>
  <si>
    <t>LK931485</t>
  </si>
  <si>
    <t>MSSI2.225</t>
  </si>
  <si>
    <t>Human associated gemykibivirus 2</t>
  </si>
  <si>
    <t>KP133075</t>
  </si>
  <si>
    <t>SL1</t>
  </si>
  <si>
    <t>Human associated gemykibivirus 3</t>
  </si>
  <si>
    <t>KP987887</t>
  </si>
  <si>
    <t>GemyC1c</t>
  </si>
  <si>
    <t>Human associated gemykibivirus 4</t>
  </si>
  <si>
    <t>KT363839</t>
  </si>
  <si>
    <t>GeTz1</t>
  </si>
  <si>
    <t>Human associated gemykibivirus 5</t>
  </si>
  <si>
    <t>KU343137</t>
  </si>
  <si>
    <t>HV-GcV2</t>
  </si>
  <si>
    <t>Mongoose associated gemykibivirus 1</t>
  </si>
  <si>
    <t>KP263545</t>
  </si>
  <si>
    <t>160b</t>
  </si>
  <si>
    <t>Pteropus associated gemykibivirus 1</t>
  </si>
  <si>
    <t>KT732813</t>
  </si>
  <si>
    <t>Tbat A 64418</t>
  </si>
  <si>
    <t>Rhinolophus associated gemykibivirus 1</t>
  </si>
  <si>
    <t>KJ547642</t>
  </si>
  <si>
    <t>BS3911</t>
  </si>
  <si>
    <t>Rhinolophus associated gemykibivirus 2</t>
  </si>
  <si>
    <t>KJ641726</t>
  </si>
  <si>
    <t>BtRf-CV-8/NM2013</t>
  </si>
  <si>
    <t>Sewage derived gemykibivirus 1</t>
  </si>
  <si>
    <t>KJ547643</t>
  </si>
  <si>
    <t>BS4149</t>
  </si>
  <si>
    <t>Sewage derived gemykibivirus 2</t>
  </si>
  <si>
    <t>Gemykolovirus</t>
  </si>
  <si>
    <t>Pteropus associated gemykolovirus 1</t>
  </si>
  <si>
    <t>KT732798</t>
  </si>
  <si>
    <t>Tbat A 103779</t>
  </si>
  <si>
    <t>Pteropus associated gemykolovirus 2</t>
  </si>
  <si>
    <t>KT732800</t>
  </si>
  <si>
    <t>Tbat H 103921</t>
  </si>
  <si>
    <t>Gemykrogvirus</t>
  </si>
  <si>
    <t>Bovine associated gemykrogvirus 1</t>
  </si>
  <si>
    <t>LK931484</t>
  </si>
  <si>
    <t>HCB19.212</t>
  </si>
  <si>
    <t>Caribou associated gemykrogvirus 1</t>
  </si>
  <si>
    <t>KJ938717</t>
  </si>
  <si>
    <t>FaGmCV-13</t>
  </si>
  <si>
    <t>Sewage derived gemykrogvirus 1</t>
  </si>
  <si>
    <t>KJ547634</t>
  </si>
  <si>
    <t>BS3913</t>
  </si>
  <si>
    <t>Gemykroznavirus</t>
  </si>
  <si>
    <t>Rabbit associated gemykroznavirus 1</t>
  </si>
  <si>
    <t>KF371631</t>
  </si>
  <si>
    <t>as35</t>
  </si>
  <si>
    <t>Gemytondvirus</t>
  </si>
  <si>
    <t>Ostrich associated gemytondvirus 1</t>
  </si>
  <si>
    <t>KF371630</t>
  </si>
  <si>
    <t>as3</t>
  </si>
  <si>
    <t>Gemyvongvirus</t>
  </si>
  <si>
    <t>Human associated gemyvongvirus 1</t>
  </si>
  <si>
    <t>KP974693</t>
  </si>
  <si>
    <t>DB1</t>
  </si>
  <si>
    <t>Parrot hepatitis B virus</t>
  </si>
  <si>
    <t>JN565944</t>
  </si>
  <si>
    <t>parrot hepatitis B virus</t>
  </si>
  <si>
    <t>2016.006aD.A.v2.Avihepadnavirus_sp</t>
  </si>
  <si>
    <t>Pomona bat hepatitis B virus</t>
  </si>
  <si>
    <t>KF939649</t>
  </si>
  <si>
    <t>Pomona bat hepatitis B virus, isolate PEPR7</t>
  </si>
  <si>
    <t>2016.019aD.A.v1.Orthohepadnavirus_sp</t>
  </si>
  <si>
    <t>White sucker hepatitis B virus</t>
  </si>
  <si>
    <t>KR229754</t>
  </si>
  <si>
    <t>white sucker hepatitis B virus, isolate RR173</t>
  </si>
  <si>
    <t>2016.017aD.A.v2.Hepadnaviridae_sp</t>
  </si>
  <si>
    <t>Vibrio virus VGJ</t>
  </si>
  <si>
    <t>AY242528</t>
  </si>
  <si>
    <t>Vibrio phage VGJ</t>
  </si>
  <si>
    <t>Habenivirus</t>
  </si>
  <si>
    <t>Ralstonia virus RS603</t>
  </si>
  <si>
    <t>AB937974</t>
  </si>
  <si>
    <t>Ralstonia phage RS603</t>
  </si>
  <si>
    <t>Ralstonia virus RSM1</t>
  </si>
  <si>
    <t>AB259123</t>
  </si>
  <si>
    <t>Ralstonia phage RSM1</t>
  </si>
  <si>
    <t>Ralstonia virus RSM3</t>
  </si>
  <si>
    <t>AB434711</t>
  </si>
  <si>
    <t>Ralstonia phage RSM3</t>
  </si>
  <si>
    <t>Vibrio virus VFJ</t>
  </si>
  <si>
    <t>KC357596</t>
  </si>
  <si>
    <t>Vibrio phage VFJ</t>
  </si>
  <si>
    <t>Propionibacterium virus B5</t>
  </si>
  <si>
    <t>AF428260</t>
  </si>
  <si>
    <t>Propionibacterium phage B5</t>
  </si>
  <si>
    <t>Ralstonia virus PE226</t>
  </si>
  <si>
    <t>HM064452</t>
  </si>
  <si>
    <t>Ralstonia phage PE226</t>
  </si>
  <si>
    <t>Ralstonia virus RSS1</t>
  </si>
  <si>
    <t>AB259124</t>
  </si>
  <si>
    <t>Ralstonia phage RSS1</t>
  </si>
  <si>
    <t>Spiroplasma virus SVTS2</t>
  </si>
  <si>
    <t>AF133242</t>
  </si>
  <si>
    <t>Spiroplasma phage SVTS2</t>
  </si>
  <si>
    <t>Stenotrophomonas virus PSH1</t>
  </si>
  <si>
    <t>EF489910</t>
  </si>
  <si>
    <t>Stenotrophomonas phage PSH1</t>
  </si>
  <si>
    <t>Stenotrophomonas virus SMA6</t>
  </si>
  <si>
    <t>HG315669</t>
  </si>
  <si>
    <t>Stenotrophomonas phage SMA6</t>
  </si>
  <si>
    <t>Stenotrophomonas virus SMA7</t>
  </si>
  <si>
    <t>HG007973</t>
  </si>
  <si>
    <t>Stenotrophomonas phage SMA7</t>
  </si>
  <si>
    <t>Stenotrophomonas virus SMA9</t>
  </si>
  <si>
    <t>AM040673</t>
  </si>
  <si>
    <t>Stenotrophomonas phage SMA9</t>
  </si>
  <si>
    <t>Vibrio virus KSF1</t>
  </si>
  <si>
    <t>AY714348</t>
  </si>
  <si>
    <t xml:space="preserve"> Vibrio phage KSF1</t>
  </si>
  <si>
    <t>Vibrio virus VCY</t>
  </si>
  <si>
    <t>JN848801</t>
  </si>
  <si>
    <t>Vibrio phage VCY</t>
  </si>
  <si>
    <t>Vibrio virus VfO3K6</t>
  </si>
  <si>
    <t>AB043678</t>
  </si>
  <si>
    <t>Vibrio phage VfO3K6</t>
  </si>
  <si>
    <t>Spiroplasma virus SkV1CR23x</t>
  </si>
  <si>
    <t>EF506570</t>
  </si>
  <si>
    <t>Spiroplasma phage SkV1CR23x</t>
  </si>
  <si>
    <t>Singapore grouper iridovirus</t>
  </si>
  <si>
    <t>AY521625</t>
  </si>
  <si>
    <t>Singapore grouper iridovirus (SGIV)</t>
  </si>
  <si>
    <t>Alfalfa enamovirus 1</t>
  </si>
  <si>
    <t>KU297983</t>
  </si>
  <si>
    <t>alfalfa enamovirus 1</t>
  </si>
  <si>
    <t>2016.002aP.A.v2.Enamovirus_sp</t>
  </si>
  <si>
    <t>Influenzavirus D</t>
  </si>
  <si>
    <t>Influenza D virus</t>
  </si>
  <si>
    <t>RNA1:JQ922305,RNA2:JQ922306,RNA3:JQ922307,RNA4:JQ922308,RNA5:JQ922309,RNA6:JQ922310,RNA6:JQ922310,RNA7:JQ922311</t>
  </si>
  <si>
    <t>D/swine/Oklahoma/1334/2011</t>
  </si>
  <si>
    <t>2014.009a-dM.A.v2.InfluenzavirusD</t>
  </si>
  <si>
    <t>Asteroid ambidensovirus 1</t>
  </si>
  <si>
    <t>KM052275</t>
  </si>
  <si>
    <t>sea star-associated densovirus</t>
  </si>
  <si>
    <t>2016.003a,bD.A.v1.Densovirinae_6sp</t>
  </si>
  <si>
    <t>Decapod ambidensovirus 1</t>
  </si>
  <si>
    <t>KP410261</t>
  </si>
  <si>
    <t>Cherax quadricarinatus densovirus</t>
  </si>
  <si>
    <t>Hemipteran ambidensovirus 2</t>
  </si>
  <si>
    <t>FJ040397</t>
  </si>
  <si>
    <t>Dysaphis plantaginea densovirus 1</t>
  </si>
  <si>
    <t>Hemipteran ambidensovirus 3</t>
  </si>
  <si>
    <t>AY148187</t>
  </si>
  <si>
    <t>Myzus persicae densovirus 1</t>
  </si>
  <si>
    <t>Hymenopteran ambidensovirus 1</t>
  </si>
  <si>
    <t>KC991097</t>
  </si>
  <si>
    <t>Solenopsis invicta densovirus</t>
  </si>
  <si>
    <t>Orthopteran densovirus 1</t>
  </si>
  <si>
    <t>KF275669</t>
  </si>
  <si>
    <t>Acheta domestica mini ambidensovirus</t>
  </si>
  <si>
    <t>Rattus norvegicus polyomavirus 1</t>
  </si>
  <si>
    <t>KR075943</t>
  </si>
  <si>
    <t>Rattus norvegicus polyomavirus 1, isolate 3690</t>
  </si>
  <si>
    <t>2016.014aD.A.v1.Alphapolyomavirus_sp</t>
  </si>
  <si>
    <t>Microtus arvalis polyomavirus 1</t>
  </si>
  <si>
    <t>KR612373</t>
  </si>
  <si>
    <t>Microtus arvalis polyomavirus 1, isolate KS13/0947</t>
  </si>
  <si>
    <t>2016.016aD.A.v1.Betapolyomavirus_2sp</t>
  </si>
  <si>
    <t>Myodes glareolus polyomavirus 1</t>
  </si>
  <si>
    <t>KR612368</t>
  </si>
  <si>
    <t>Myodes glareolus polyomavirus 1, isolate KS/14/281</t>
  </si>
  <si>
    <t>Pan troglodytes polyomavirus 8</t>
  </si>
  <si>
    <t>KT884050</t>
  </si>
  <si>
    <t>Pan troglodytes verus polyomavirus 8, isolate Ch-Regina</t>
  </si>
  <si>
    <t>2016.015aD.A.v1.Betapolyomavirus_sp</t>
  </si>
  <si>
    <t>Broad-leafed dock virus A</t>
  </si>
  <si>
    <t>KU053507</t>
  </si>
  <si>
    <t>broad-leafed dock virus A isolate ab032 Auckland</t>
  </si>
  <si>
    <t>2016.007aP.A.v3.Macluravirus_2sp</t>
  </si>
  <si>
    <t>Yam chlorotic mosaic virus</t>
  </si>
  <si>
    <t>KT724961</t>
  </si>
  <si>
    <t>yam chlorotic mosaic virus isolate YS</t>
  </si>
  <si>
    <t>Jasmine virus T</t>
  </si>
  <si>
    <t>KT222674</t>
  </si>
  <si>
    <t>jasmine virus T isolate FZ</t>
  </si>
  <si>
    <t>2016.008a,bP.A.v3.Potyvirus_3sprem</t>
  </si>
  <si>
    <t>Lettuce Italian necrotic virus</t>
  </si>
  <si>
    <t>KP769852</t>
  </si>
  <si>
    <t>lettuce Italian necrotic virus isolate I234</t>
  </si>
  <si>
    <t>Zucchini shoestring virus</t>
  </si>
  <si>
    <t>KU355553</t>
  </si>
  <si>
    <t>zucchini shoestring virus isolate RSA Patty Pan</t>
  </si>
  <si>
    <t>Centapoxvirus</t>
  </si>
  <si>
    <t>Yokapox virus</t>
  </si>
  <si>
    <t>HQ849551</t>
  </si>
  <si>
    <t>2016.018a-dD.A.v3.Centapoxvirus</t>
  </si>
  <si>
    <t>Pteropox virus</t>
  </si>
  <si>
    <t>KU980965</t>
  </si>
  <si>
    <t>pteropox virus strain Australia (PTPV-Aus)</t>
  </si>
  <si>
    <t>2016.013aD.A.v2.Chordopoxvirinae_sp</t>
  </si>
  <si>
    <t>Rotavirus I</t>
  </si>
  <si>
    <t>Seg5:KM369887,Seg8:KM369888,Seg7:KM369889,Seg10:KM369890,Seg11:KM369891,Seg1:KM369892,Seg2:KM369893,Seg3:KM369894,Seg4:KM369895,Seg6:KM369896,Seg9:KM369897</t>
  </si>
  <si>
    <t>RVI/Dog-wt/HUN/KE135/2012/G1P1</t>
  </si>
  <si>
    <t>2015.020aM.A.v2.Rotavirus_sp</t>
  </si>
  <si>
    <t>Koala retrovirus</t>
  </si>
  <si>
    <t>AF151794</t>
  </si>
  <si>
    <t>koala retrovirus</t>
  </si>
  <si>
    <t>2016.020aD.A.v1.Gammaretrovirus_sp</t>
  </si>
  <si>
    <t>Jembrana disease virus</t>
  </si>
  <si>
    <t>L32870</t>
  </si>
  <si>
    <t>Jembrana disease virus isolate Tabanan/87</t>
  </si>
  <si>
    <t>2016.021aD.A.v1.Lentivirus_sp</t>
  </si>
  <si>
    <t>Solinviviridae</t>
  </si>
  <si>
    <t>Invictavirus</t>
  </si>
  <si>
    <t>Solenopsis invicta virus 3</t>
  </si>
  <si>
    <t>FJ528584</t>
  </si>
  <si>
    <t>Solenopsis invicta virus 3 DM/USA/2007</t>
  </si>
  <si>
    <t>2016.017a-kS.A.v2.Solinviviridae</t>
  </si>
  <si>
    <t>Nyfulvavirus</t>
  </si>
  <si>
    <t>Nylanderia fulva virus 1</t>
  </si>
  <si>
    <t>KX024775</t>
  </si>
  <si>
    <t>Nylanderia fulva virus 1 Florida/USA/2011</t>
  </si>
  <si>
    <t>Haloarcula virus HCIV1</t>
  </si>
  <si>
    <t>KT809302</t>
  </si>
  <si>
    <t xml:space="preserve">Haloarcula californiae icosahedral virus 1 </t>
  </si>
  <si>
    <t>2016.063aB.A.v1.Alphasphaerolipovirus_sp</t>
  </si>
  <si>
    <t>Tolecusatellitidae</t>
  </si>
  <si>
    <t>Betasatellite</t>
  </si>
  <si>
    <t>Ageratum leaf curl Buea betasatellite</t>
  </si>
  <si>
    <t>FR717140</t>
  </si>
  <si>
    <t>ALCuBB-[CM-LIO1-SatB33-09]</t>
  </si>
  <si>
    <t>2016.021a-kP.A.v2.Tolecusatellitidae</t>
  </si>
  <si>
    <t>Ageratum leaf curl Cameroon betasatellite</t>
  </si>
  <si>
    <t>FM164737</t>
  </si>
  <si>
    <t>ALCuCMB-[CM-Man-AMBF-06]</t>
  </si>
  <si>
    <t>Ageratum yellow leaf curl betasatellite</t>
  </si>
  <si>
    <t>AJ316026</t>
  </si>
  <si>
    <t>AYLCB-[PK-Fai4-00]</t>
  </si>
  <si>
    <t>Ageratum yellow vein betasatellite</t>
  </si>
  <si>
    <t>AJ252072</t>
  </si>
  <si>
    <t>AYVB-[SG-95]</t>
  </si>
  <si>
    <t>Ageratum yellow vein India betasatellite</t>
  </si>
  <si>
    <t>AJ557441</t>
  </si>
  <si>
    <t>AYVINB-[IN-Mad-03]</t>
  </si>
  <si>
    <t>Ageratum yellow vein Sri Lanka betasatellite</t>
  </si>
  <si>
    <t>AJ542498</t>
  </si>
  <si>
    <t>AYVSLB-[SL-Ag-03]</t>
  </si>
  <si>
    <t>Alternanthera yellow vein betasatellite</t>
  </si>
  <si>
    <t>DQ641716</t>
  </si>
  <si>
    <t>AlYVB-[VN-Hue-05]</t>
  </si>
  <si>
    <t>Andrographis yellow vein leaf curl betasatellite</t>
  </si>
  <si>
    <t>KC967282</t>
  </si>
  <si>
    <t>AnYVLCuB-[IN-Luc-10]</t>
  </si>
  <si>
    <t>Bhendi yellow vein mosaic betasatellite</t>
  </si>
  <si>
    <t>AJ308425</t>
  </si>
  <si>
    <t>BYVB-[IN-Mut-00]</t>
  </si>
  <si>
    <t>Cardiospermum yellow leaf curl betasatellite</t>
  </si>
  <si>
    <t>AM933578</t>
  </si>
  <si>
    <t>CaYLCuB-[SL-04]</t>
  </si>
  <si>
    <t>Chili leaf curl betasatellite</t>
  </si>
  <si>
    <t>AJ316032</t>
  </si>
  <si>
    <t>ChLCuB-[PK-MC-97]</t>
  </si>
  <si>
    <t>Chili leaf curl Jaunpur betasatellite</t>
  </si>
  <si>
    <t>HM007103</t>
  </si>
  <si>
    <t>ChLCuJB-[IN-Jau-07]</t>
  </si>
  <si>
    <t>Chili leaf curl Sri Lanka betasatellite</t>
  </si>
  <si>
    <t>JN638445</t>
  </si>
  <si>
    <t>ChLCuSLB-[SL-Mih-09]</t>
  </si>
  <si>
    <t>Cotton leaf curl Gezira betasatellite</t>
  </si>
  <si>
    <t>DQ644564</t>
  </si>
  <si>
    <t>CLCuGeB-[SD-Dat-06]</t>
  </si>
  <si>
    <t>Cotton leaf curl Multan betasatellite</t>
  </si>
  <si>
    <t>AJ298903</t>
  </si>
  <si>
    <t>CLCuMuB-[PK-Mul-U89-97]</t>
  </si>
  <si>
    <t>Croton yellow vein mosaic betasatellite</t>
  </si>
  <si>
    <t>AM410551</t>
  </si>
  <si>
    <t>CroYVMB-[PK-Pun-06]</t>
  </si>
  <si>
    <t>Eupatorium yellow vein betasatellite</t>
  </si>
  <si>
    <t>AJ438938</t>
  </si>
  <si>
    <t>EpYVB-[JR-MNS2-00]</t>
  </si>
  <si>
    <t>Eupatorium yellow vein mosaic betasatellite</t>
  </si>
  <si>
    <t>AB300464</t>
  </si>
  <si>
    <t>EpYVV-[JR-Suya-03]</t>
  </si>
  <si>
    <t>French bean leaf curl betasatellite</t>
  </si>
  <si>
    <t>JQ866298</t>
  </si>
  <si>
    <t>FBLCuB-[IN-Kan-11]</t>
  </si>
  <si>
    <t>Hedyotis yellow mosaic betasatellite</t>
  </si>
  <si>
    <t>KF641186</t>
  </si>
  <si>
    <t>HYMB-[VN-BinhDinh-13]</t>
  </si>
  <si>
    <t>Honeysuckle yellow vein betasatellite</t>
  </si>
  <si>
    <t>AJ316040</t>
  </si>
  <si>
    <t>HYVB-[UK-Nor1-99]</t>
  </si>
  <si>
    <t>Honeysuckle yellow vein mosaic betasatellite</t>
  </si>
  <si>
    <t>AB182263</t>
  </si>
  <si>
    <t>HYVMB-[JR-Hy-04]</t>
  </si>
  <si>
    <t>Malvastrum leaf curl betasatellite</t>
  </si>
  <si>
    <t>AM072289</t>
  </si>
  <si>
    <t>MaLCuB-[CN-Gx87-04]</t>
  </si>
  <si>
    <t>Malvastrum leaf curl Guangdong betasatellite</t>
  </si>
  <si>
    <t>KF912951</t>
  </si>
  <si>
    <t>MaLCuGuB-[CN-Gua-11]</t>
  </si>
  <si>
    <t>Mirabilis leaf curl betasatellite</t>
  </si>
  <si>
    <t>LK054803</t>
  </si>
  <si>
    <t>MiLCuB-[IN-Him-13]</t>
  </si>
  <si>
    <t>Momordica yellow mosaic betasatellite</t>
  </si>
  <si>
    <t>KT454829</t>
  </si>
  <si>
    <t>MamYMB-[BJ-57-14-14]</t>
  </si>
  <si>
    <t>Mungbean yellow mosaic betasatellite</t>
  </si>
  <si>
    <t>JX443646</t>
  </si>
  <si>
    <t>MYMB-[IN-Cowpea-12]</t>
  </si>
  <si>
    <t>Okra leaf curl Oman betasatellite</t>
  </si>
  <si>
    <t>KF267444</t>
  </si>
  <si>
    <t>OLCuOMB-[OM-Barka-12]</t>
  </si>
  <si>
    <t>Papaya leaf curl betasatellite</t>
  </si>
  <si>
    <t>AY244706</t>
  </si>
  <si>
    <t>PaLCuB-[IN-ND-03]</t>
  </si>
  <si>
    <t>Papaya leaf curl China betasatellite</t>
  </si>
  <si>
    <t>KJ642219</t>
  </si>
  <si>
    <t>PaLCuCNB-[CN-Hainan-14]</t>
  </si>
  <si>
    <t>Papaya leaf curl India betasatellite</t>
  </si>
  <si>
    <t>HM143906</t>
  </si>
  <si>
    <t>PaLCuINA-[India-Panipat-08]</t>
  </si>
  <si>
    <t>Rhynchosia yellow mosaic betasatellite</t>
  </si>
  <si>
    <t>KP752092</t>
  </si>
  <si>
    <t>RhYMB-[IN-Pha-14]</t>
  </si>
  <si>
    <t>Rose leaf curl betasatellite</t>
  </si>
  <si>
    <t>GQ478344</t>
  </si>
  <si>
    <t>RoLCuB-[PK-Fai-06]</t>
  </si>
  <si>
    <t>Siegesbeckia yellow vein betasatellite</t>
  </si>
  <si>
    <t>KF499590</t>
  </si>
  <si>
    <t>SiYVB-[CN-FZ02-12]</t>
  </si>
  <si>
    <t>Tobacco curly shoot betasatellite</t>
  </si>
  <si>
    <t>AJ421484</t>
  </si>
  <si>
    <t>TobCSB-[CN-Yn35-01]</t>
  </si>
  <si>
    <t>Tobacco leaf curl betasatellite</t>
  </si>
  <si>
    <t>AM260465</t>
  </si>
  <si>
    <t>TobLCuB-[PK-Lah-04]</t>
  </si>
  <si>
    <t>Tobacco leaf curl Japan betasatellite</t>
  </si>
  <si>
    <t>AB236324</t>
  </si>
  <si>
    <t>TbLCJRB-[JR-Miy-05]</t>
  </si>
  <si>
    <t>Tobacco leaf curl Patna betasatellite</t>
  </si>
  <si>
    <t>HQ180394</t>
  </si>
  <si>
    <t>TobLCuPatB-[IN-Pusa-09]</t>
  </si>
  <si>
    <t>Tomato leaf curl Bangalore betasatellite</t>
  </si>
  <si>
    <t>AY428768</t>
  </si>
  <si>
    <t>ToLCBaB-[IN-Ban-03]</t>
  </si>
  <si>
    <t>Tomato leaf curl Bangladesh betasatellite</t>
  </si>
  <si>
    <t>AJ542489</t>
  </si>
  <si>
    <t>ToLCBDB-[BD-Gaz-01]</t>
  </si>
  <si>
    <t>Tomato leaf curl betasatellite</t>
  </si>
  <si>
    <t>AJ316036</t>
  </si>
  <si>
    <t>ToLCB-[PK-RYK-97]</t>
  </si>
  <si>
    <t>Tomato leaf curl China betasatellite</t>
  </si>
  <si>
    <t>AJ704609</t>
  </si>
  <si>
    <t>ToLCCNB-[CN-Gx14-02]</t>
  </si>
  <si>
    <t>Tomato leaf curl Gandhinagar betasatellite</t>
  </si>
  <si>
    <t>KC952006</t>
  </si>
  <si>
    <t>ToLCGanB-[IN-pToGNbH14-12]</t>
  </si>
  <si>
    <t>Tomato leaf curl Java virus betasatellite</t>
  </si>
  <si>
    <t>KC282642</t>
  </si>
  <si>
    <t>ToLCJaB-[NP-R7-Papaya-2010]</t>
  </si>
  <si>
    <t>Tomato leaf curl Joydebpur betasatellite</t>
  </si>
  <si>
    <t>AJ966244</t>
  </si>
  <si>
    <t>ToLCJoB-[BD-Gaz-05]</t>
  </si>
  <si>
    <t>Tomato leaf curl Laguna betasatellite</t>
  </si>
  <si>
    <t>AB307732</t>
  </si>
  <si>
    <t>ToLCLaB-[PH-Lag2-06]</t>
  </si>
  <si>
    <t>Tomato leaf curl Laos betasatellite</t>
  </si>
  <si>
    <t>AJ542491</t>
  </si>
  <si>
    <t>ToLCLAB-[LA-Sav-01]</t>
  </si>
  <si>
    <t>Tomato leaf curl Malaysia betasatellite</t>
  </si>
  <si>
    <t>KM051528</t>
  </si>
  <si>
    <t>ToLCMYB-[MY-13]</t>
  </si>
  <si>
    <t>Tomato leaf curl Nepal betasatellite</t>
  </si>
  <si>
    <t>AJ542492</t>
  </si>
  <si>
    <t>ToLCNPB-[NP-Jhapa]</t>
  </si>
  <si>
    <t>Tomato leaf curl Patna betasatellite</t>
  </si>
  <si>
    <t>EU862324</t>
  </si>
  <si>
    <t>ToLCPaB-[IN-Pat-07]</t>
  </si>
  <si>
    <t>Tomato leaf curl Philippine betasatellite</t>
  </si>
  <si>
    <t>AB308071</t>
  </si>
  <si>
    <t>ToLCPHB-[PH-Lag1-06]</t>
  </si>
  <si>
    <t>Tomato leaf curl Sri Lanka betasatellite</t>
  </si>
  <si>
    <t>AJ542493</t>
  </si>
  <si>
    <t>ToLCSLB-[SL]</t>
  </si>
  <si>
    <t>Tomato leaf curl Yemen betasatellite</t>
  </si>
  <si>
    <t>JF919717</t>
  </si>
  <si>
    <t>ToLCYEB-[YE-tob56-89]</t>
  </si>
  <si>
    <t>Tomato yellow leaf curl China betasatellite</t>
  </si>
  <si>
    <t>AJ420313</t>
  </si>
  <si>
    <t>TYLCCNB-[CN-Yn45-01]</t>
  </si>
  <si>
    <t>Tomato yellow leaf curl Rajasthan betasatellite</t>
  </si>
  <si>
    <t>AY438558</t>
  </si>
  <si>
    <t>ToLCRaB-[IN-Raj-03]</t>
  </si>
  <si>
    <t>Tomato yellow leaf curl Shandong betasatellite</t>
  </si>
  <si>
    <t>KP322555</t>
  </si>
  <si>
    <t>ToYLCShB-[CN-SDSG-14]</t>
  </si>
  <si>
    <t>Tomato yellow leaf curl Thailand betasatellite</t>
  </si>
  <si>
    <t>AJ566746</t>
  </si>
  <si>
    <t>TYLCTHB-[CN-Yn72-02]</t>
  </si>
  <si>
    <t>Tomato yellow leaf curl Vietnam betasatellite</t>
  </si>
  <si>
    <t>DQ641714</t>
  </si>
  <si>
    <t>TYLCVNB-[VN-Han-05]</t>
  </si>
  <si>
    <t>Tomato yellow leaf curl Yunnan betasatellite</t>
  </si>
  <si>
    <t>KF640694</t>
  </si>
  <si>
    <t>ToYLCYnB-[CN-tob-]</t>
  </si>
  <si>
    <t>Vernonia yellow vein betasatellite</t>
  </si>
  <si>
    <t>FN435836</t>
  </si>
  <si>
    <t>VYVB-[IN-Mad-09]</t>
  </si>
  <si>
    <t>Vernonia yellow vein Fujian betasatellite</t>
  </si>
  <si>
    <t>JF733779</t>
  </si>
  <si>
    <t>VYVFuB-[CN-09]</t>
  </si>
  <si>
    <t>Deltasatellite</t>
  </si>
  <si>
    <t>Croton yellow vein deltasatellite</t>
  </si>
  <si>
    <t>AJ968684</t>
  </si>
  <si>
    <t>CrYVD-[IN-09]</t>
  </si>
  <si>
    <t>Malvastrum leaf curl deltasatellite</t>
  </si>
  <si>
    <t>KF433066</t>
  </si>
  <si>
    <t>MaLCuD-[PH-12]</t>
  </si>
  <si>
    <t>Sida golden yellow vein deltasatellite 1</t>
  </si>
  <si>
    <t>JN986808</t>
  </si>
  <si>
    <t>SiGYVD1-[CU-177H1-09]</t>
  </si>
  <si>
    <t>Sida golden yellow vein deltasatellite 2</t>
  </si>
  <si>
    <t>JN819490</t>
  </si>
  <si>
    <t>SiGYVD2-[CU-228H1-09]</t>
  </si>
  <si>
    <t>Sida golden yellow vein deltasatellite 3</t>
  </si>
  <si>
    <t>JN819498</t>
  </si>
  <si>
    <t>SiGYVD3-[CU-412N1-10]</t>
  </si>
  <si>
    <t>Sweet potato leaf curl deltasatellite 1</t>
  </si>
  <si>
    <t>FJ914390</t>
  </si>
  <si>
    <t>SPLCD1-[ES-SBG51-02]</t>
  </si>
  <si>
    <t>Sweet potato leaf curl deltasatellite 2</t>
  </si>
  <si>
    <t>KF716173</t>
  </si>
  <si>
    <t>SPLCD2-[VE-1764E13-09]</t>
  </si>
  <si>
    <t>Sweet potato leaf curl deltasatellite 3</t>
  </si>
  <si>
    <t>KT099179</t>
  </si>
  <si>
    <t>SPLCD3-[PR-T1_1-10]</t>
  </si>
  <si>
    <t>Tomato leaf curl deltasatellite</t>
  </si>
  <si>
    <t>U74627</t>
  </si>
  <si>
    <t>ToLCD-[AU-96]</t>
  </si>
  <si>
    <t>Tomato yellow leaf distortion deltasatellite 1</t>
  </si>
  <si>
    <t>JN819495</t>
  </si>
  <si>
    <t>ToYLDD1-[CU-404N1-10]</t>
  </si>
  <si>
    <t>Tomato yellow leaf distortion deltasatellite 2</t>
  </si>
  <si>
    <t>KU232893</t>
  </si>
  <si>
    <t>ToYLDD2-[CU-603N1-11]</t>
  </si>
  <si>
    <t>Ethiopian tobacco bushy top virus</t>
  </si>
  <si>
    <t>KJ918748</t>
  </si>
  <si>
    <t xml:space="preserve"> 18-2</t>
  </si>
  <si>
    <t>2016.006aP.A.v1.Umbravirus_2sp</t>
  </si>
  <si>
    <t>Opium poppy mosaic virus</t>
  </si>
  <si>
    <t>EU151723</t>
  </si>
  <si>
    <t>PHEL5235</t>
  </si>
  <si>
    <t>Pyrobaculum filamentous virus 1</t>
  </si>
  <si>
    <t>KU307456</t>
  </si>
  <si>
    <t>Blunervirus</t>
  </si>
  <si>
    <t>Blueberry necrotic ring blotch virus</t>
  </si>
  <si>
    <t>RNA1:JN651148,RNA2:JN651149,RNA3:JN651150,RNA4:JN651151</t>
  </si>
  <si>
    <t>Georgia</t>
  </si>
  <si>
    <t>2016.011a-dP.A.v1.Blunervirus</t>
  </si>
  <si>
    <t>Citrus leprosis virus C2</t>
  </si>
  <si>
    <t>RNA1:JX000024,RNA2:JX000025</t>
  </si>
  <si>
    <t>L147V1</t>
  </si>
  <si>
    <t>2016.010aP.A.v1.Cilevirus_sp</t>
  </si>
  <si>
    <t>Tilapinevirus</t>
  </si>
  <si>
    <t>Tilapia tilapinevirus</t>
  </si>
  <si>
    <t>RNA1:KU751814,RNA2:KU751815,RNA3:KU751816,RNA4:KU751817,RNA5:KU751818,RNA6:KU751819,RNA7:KU751820,RNA8:KU751821,RNA9:KU751822,RNA10:KU751823</t>
  </si>
  <si>
    <t xml:space="preserve">Tilapia lake virus isolate Til-4-2011 </t>
  </si>
  <si>
    <t>2016.016a-dM.A.v2.Tilapinevirus</t>
  </si>
  <si>
    <t>Colombian potato soil-borne virus</t>
  </si>
  <si>
    <t>RNA1:KT225271,RNA2:KT225272,RNA3:KT225273</t>
  </si>
  <si>
    <t>IS9</t>
  </si>
  <si>
    <t>2016.005aP.A.v2.Pomovirus_sp</t>
  </si>
  <si>
    <t>Plumeria mosaic virus</t>
  </si>
  <si>
    <t>KJ395757</t>
  </si>
  <si>
    <t>Plu-Ind-1</t>
  </si>
  <si>
    <t>2016.001aP.A.v2.Tobamovirus_2sp</t>
  </si>
  <si>
    <t>Tomato brown rugose fruit virus</t>
  </si>
  <si>
    <t>KT383474</t>
  </si>
  <si>
    <t>Tom1-Jo</t>
  </si>
  <si>
    <t>RNA1: AF166084, RNA2: Z36974</t>
  </si>
  <si>
    <t>PpK20</t>
  </si>
  <si>
    <t>Campylobacter virus CP21</t>
  </si>
  <si>
    <t>New,</t>
  </si>
  <si>
    <t>Renamed,Moved,</t>
  </si>
  <si>
    <t>2016.030a-vM.A.v6.Bunyavirales</t>
  </si>
  <si>
    <t>Moved,</t>
  </si>
  <si>
    <t>2015.025aB.A.v4.phagesp_ren</t>
  </si>
  <si>
    <t>2015.005a-gB.A.v3.Kayvirus</t>
  </si>
  <si>
    <t>2015.012a-dB.A.v2.P100virus</t>
  </si>
  <si>
    <t>2015.018a-dB.A.v2.Silviavirus</t>
  </si>
  <si>
    <t>Renamed,</t>
  </si>
  <si>
    <t>2015.020a-aeB.A.v4.Tevenvirinae</t>
  </si>
  <si>
    <t>2015.052aB.A.v3.Schizot4virus_sp</t>
  </si>
  <si>
    <t>2015.023a-oB.A.v2.Vequintavirinae</t>
  </si>
  <si>
    <t>2015.032a-dB.A.v2.Agatevirus</t>
  </si>
  <si>
    <t>2015.043a-dB.A.v2.Ap22virus</t>
  </si>
  <si>
    <t>2015.033a-dB.A.v2.B4virus</t>
  </si>
  <si>
    <t>2015.034a-dB.A.v2.Bastillevirus</t>
  </si>
  <si>
    <t>2015.035a-dB.A.v2.Bc431virus</t>
  </si>
  <si>
    <t>2015.036a-dBA.v2.Cp51virus</t>
  </si>
  <si>
    <t>2015.049a-dB.A.v2.Cvm10virus</t>
  </si>
  <si>
    <t>2015.028a-dB.A.v2.Kpp10virus</t>
  </si>
  <si>
    <t>2015.038a-dB.A.v3.Nit1virus</t>
  </si>
  <si>
    <t>2015.029a-dB.A.v2.Pakpunavirus</t>
  </si>
  <si>
    <t>2015.030aB.A.v3.Pbunalikevirus_5sp</t>
  </si>
  <si>
    <t>2015.045a-dB.A.v2.Rheph4virus</t>
  </si>
  <si>
    <t>2015.016a-dB.A.v3.Secunda5virus</t>
  </si>
  <si>
    <t>2015.022a-dB.A.v2.Tg1virus</t>
  </si>
  <si>
    <t>2015.024a-dB.A.v2.Vhmlvirus</t>
  </si>
  <si>
    <t>2015.027aB.A.v3.Viunalikevirus_7sp</t>
  </si>
  <si>
    <t>2015.041a-dB.A.v2.Wphvirus</t>
  </si>
  <si>
    <t>2015.007a-dB.A.v1.Kp34virus</t>
  </si>
  <si>
    <t>2016.076aB.A.v2.1genus13sp_ren</t>
  </si>
  <si>
    <t>2015.001a-dB.A.v2.Cba41virus</t>
  </si>
  <si>
    <t>2015.050a-dB.A.v2.G7cvirus</t>
  </si>
  <si>
    <t>2015.008a-dB.A.v3.Lit1virus</t>
  </si>
  <si>
    <t>2015.009aB.A.v3.Luz24virus_5sp</t>
  </si>
  <si>
    <t>2015.010a-dB.A.v2.Nonanavirus</t>
  </si>
  <si>
    <t>2015.039a-dB.A.v2.Pagevirus</t>
  </si>
  <si>
    <t>2015.014aB.A.v3.Phieco32virus_4sp</t>
  </si>
  <si>
    <t>2015.031a-dB.A.v1.Vp5virus</t>
  </si>
  <si>
    <t>2015.044a-nB.A.v1.Guernseyvirinae</t>
  </si>
  <si>
    <t>2015.006aB.A.v2.Phage_Genera_ren</t>
  </si>
  <si>
    <t>2016.028a-jB.A.v2.Mclasvirinae</t>
  </si>
  <si>
    <t>2015.019a-abB.A.v3.Tunavirinae</t>
  </si>
  <si>
    <t>2015.002a-dB.A.v2.Cba181virus</t>
  </si>
  <si>
    <t>2015.003a-dB.A.v2.Cbastvirus</t>
  </si>
  <si>
    <t>2015.004a-dB.A.v2.Ff47virus</t>
  </si>
  <si>
    <t>2015.051a-dB.A.v2.Nonagvirus</t>
  </si>
  <si>
    <t>2015.011a-dB.A.v2.P70virus</t>
  </si>
  <si>
    <t>2016.036a-eB.A.v1.Patiencevirus</t>
  </si>
  <si>
    <t>2015.015a-dB.A.v2.Psavirus</t>
  </si>
  <si>
    <t>2016.041a-fB.A.v3.Rer2virus</t>
  </si>
  <si>
    <t>2015.054a-dB.A.v3.Septima3virus</t>
  </si>
  <si>
    <t>2015.053a-dB.A.v2.Seuratvirus</t>
  </si>
  <si>
    <t>2015.017a-dB.A.v3.Sextaecvirus</t>
  </si>
  <si>
    <t>2015.037a-dB.A.v3.Sitaravirus</t>
  </si>
  <si>
    <t>2015.040a-dB.A.v2.Slashvirus</t>
  </si>
  <si>
    <t>2015.048a-dB.A.v2.Ssp2virus</t>
  </si>
  <si>
    <t>2015.021a,bB.A.v2.T5virus_4sp1rem</t>
  </si>
  <si>
    <t>Merged,Moved,</t>
  </si>
  <si>
    <t>New,Assigned as Type Species,</t>
  </si>
  <si>
    <t>2008.018-022V.v1.Batrachovirus</t>
  </si>
  <si>
    <t>2010.015aV.A.v1.Cyprinivirus-sp</t>
  </si>
  <si>
    <t>2008.023-027V.v1.Cyprinivirus</t>
  </si>
  <si>
    <t>Moved,Assigned as Type Species,</t>
  </si>
  <si>
    <t>2009.016aV.v3.Ictalurivirus-2Sp</t>
  </si>
  <si>
    <t>2005.020-72.04.Herpes</t>
  </si>
  <si>
    <t>2008.028-032V.v2.Salmonivirus</t>
  </si>
  <si>
    <t>2015.010aD.A.v2.Herpesvirales_spren</t>
  </si>
  <si>
    <t>2015.006aD.A.v2.Simplexvirus_sp</t>
  </si>
  <si>
    <t>2011.022a-dV.A.v1.Aurivirus</t>
  </si>
  <si>
    <t>2011.008a-cB.A.v2.Ligamenvirales</t>
  </si>
  <si>
    <t>2015.002aM.A.v2.Bornavirus_2sp</t>
  </si>
  <si>
    <t>2014.010a,bV.A.v2.Bornaviridae_spren</t>
  </si>
  <si>
    <t>2012.005a-dV.A.v2.Cuevavirus</t>
  </si>
  <si>
    <t>2010.010aV.A.v1.Ebolavirus-sp</t>
  </si>
  <si>
    <t>2002.V034-039.Filoviridae</t>
  </si>
  <si>
    <t>2010.010bV.A.v3.Ebolavirus-ren-Sp</t>
  </si>
  <si>
    <t>2015.008a-gM.A.v3.Mymonaviridae</t>
  </si>
  <si>
    <t>2013.002a-hV.A.v1.Nyamiviridae</t>
  </si>
  <si>
    <t>2014.007aV.A.v2.Nyavirus_sp</t>
  </si>
  <si>
    <t>2015.004a-fM.A.v3.Socyvirus</t>
  </si>
  <si>
    <t>2015.011a-iM.A.v2.Pneumoviridae</t>
  </si>
  <si>
    <t>2015.012aM.A.v3.Avulavirus_3sp</t>
  </si>
  <si>
    <t>2015.013aM.A.v3.Henipavirus_3sp</t>
  </si>
  <si>
    <t>2015.014aM.A.v2.Morbillivirus_sp</t>
  </si>
  <si>
    <t>2015.007aM.A.v1.Cytorhabdovirus_sp</t>
  </si>
  <si>
    <t>2015.006aM.A.v3.Rhabdoviridae_spren</t>
  </si>
  <si>
    <t>2014.003a-dV.A.v3.Dichorhavirus</t>
  </si>
  <si>
    <t>ICTV 7th Report</t>
  </si>
  <si>
    <t>2012.009bV.A.v2.Lyssavirus_sp</t>
  </si>
  <si>
    <t>2012.009aV.A.v4.Lyssavirus_sp</t>
  </si>
  <si>
    <t>2011.007a-dV.A.v2.Sigmavirus</t>
  </si>
  <si>
    <t>Renamed,Moved,Assigned as Type Species,</t>
  </si>
  <si>
    <t>2010.009aV.A.v2.Rhabdoviridae-sp</t>
  </si>
  <si>
    <t>2015.009a-gM.A.v4.Sunviridae</t>
  </si>
  <si>
    <t>2015.010a-tM.A.v3.Mononegavirales_5gen</t>
  </si>
  <si>
    <t>Merged,Renamed,Moved,Assigned as Type Species,</t>
  </si>
  <si>
    <t>2008.085-122V.v4.Coronaviridae</t>
  </si>
  <si>
    <t>2015.003a-eS.A.v2.Coronaviridae_12sp</t>
  </si>
  <si>
    <t>2010.023a-dV.A.v2.Deltacoronavirus</t>
  </si>
  <si>
    <t>2011.001a-gI.A.v2.Mesoniviridae</t>
  </si>
  <si>
    <t>2015.004a,bS.A.v2.Mesoniviridae_6sp</t>
  </si>
  <si>
    <t>Ratification_2002a</t>
  </si>
  <si>
    <t>2008.001-004,6I.A.v3.Aparavirus</t>
  </si>
  <si>
    <t>2011.004aI.A.v1.Aparavirus-Sp</t>
  </si>
  <si>
    <t>2005.200-2G.04.Picornavirales</t>
  </si>
  <si>
    <t>2015.006a-eS.A.v3.Triatovirus</t>
  </si>
  <si>
    <t>2015.009aS.A.v2.Iflavirus_sp</t>
  </si>
  <si>
    <t>2005.120I.04.Ifla</t>
  </si>
  <si>
    <t>2015.010aS.A.v2.Iflavirus_sp</t>
  </si>
  <si>
    <t>2006.029-31I.04.Iflaviridae</t>
  </si>
  <si>
    <t>2013.001aI.A.v2.Iflavirus_2sp</t>
  </si>
  <si>
    <t>2015.011aS.A.v2.Iflavirus_sp</t>
  </si>
  <si>
    <t>2011.005aI.A.v1.Iflavirus-Sp</t>
  </si>
  <si>
    <t>2015.012aS.A.v2.Iflavirus_sp</t>
  </si>
  <si>
    <t>2015.013aS.A.v2.Iflavirus_sp</t>
  </si>
  <si>
    <t>2011.016aV.A.v2.Aphthovirus-Sp</t>
  </si>
  <si>
    <t>2008.083V.BRBV-Sp</t>
  </si>
  <si>
    <t>2014.016aV.A.v1.Picornaviridae_spren</t>
  </si>
  <si>
    <t>2011.015a-dV.A.v1.Aquamavirus</t>
  </si>
  <si>
    <t>2013.009a-dV.A.v1.Avisivirus</t>
  </si>
  <si>
    <t>2014.014aV.A.v2.Cardiovirus_sp</t>
  </si>
  <si>
    <t>2011.017a-dV.A.v1.Cosavirus</t>
  </si>
  <si>
    <t>2012.013a-dV.A.v1.Dicipivirus</t>
  </si>
  <si>
    <t>2011.018a,bV.A.v2.Enterovirus-Sp,Ren</t>
  </si>
  <si>
    <t>2013.007a-dV.A.v1.Gallivirus</t>
  </si>
  <si>
    <t>2013.008a-dV.A.v2.Hunnivirus</t>
  </si>
  <si>
    <t>2012.014aV.A.v1.Kobuvirus-Sp,Ren</t>
  </si>
  <si>
    <t>2011.020aV.A.v2.Kobuvirus-Sp</t>
  </si>
  <si>
    <t>2014.015a-dV.A.v3.Kunsagivirus</t>
  </si>
  <si>
    <t>2015.007a-dS.A.v4.Limnipivirus</t>
  </si>
  <si>
    <t>2011.019a-dV.A.v2.Megrivirus</t>
  </si>
  <si>
    <t>2013.010a-dV.A.v1.Mischivirus</t>
  </si>
  <si>
    <t>2013.011a-dV.A.v1.Mosavirus</t>
  </si>
  <si>
    <t>2013.012a-dV.A.v2.Oscivirus</t>
  </si>
  <si>
    <t>2013.013a-dV.A.v1.Pasivirus</t>
  </si>
  <si>
    <t>2013.015a-dV.A.v2.Passerivirus</t>
  </si>
  <si>
    <t>2015.008a-dS.A.v4.Potamipivirus</t>
  </si>
  <si>
    <t>2013.014a-dV.A.v1.Rosavirus</t>
  </si>
  <si>
    <t>2014.017a-dV.A.v3.Sakobuvirus</t>
  </si>
  <si>
    <t>2011.021a-dV.A.v1.Salivirus</t>
  </si>
  <si>
    <t>2007.103-6V.v3.Sapelovirus</t>
  </si>
  <si>
    <t>2014.018a-dV.A.v3.Sicinivirus</t>
  </si>
  <si>
    <t>2007.060-2P.Comovirinae</t>
  </si>
  <si>
    <t>2012.006aP.A.v2.Fabavirus-sp</t>
  </si>
  <si>
    <t>2015.005aP.A.v3.Nepovirus_2sp</t>
  </si>
  <si>
    <t>2012.005aP.A.v1.Nepovirus-sp</t>
  </si>
  <si>
    <t>2011.003aP.A.v1.Nepovirus_1sp</t>
  </si>
  <si>
    <t>2007.057-9P.Secoviridae</t>
  </si>
  <si>
    <t>2013.004aP.A.v1.Cheravirus_sp</t>
  </si>
  <si>
    <t>2009.007a-hP.v2.Secoviridae_changes</t>
  </si>
  <si>
    <t>2015.006aP.A.v2.Torradovirus_2sp</t>
  </si>
  <si>
    <t>2014.004aP.A.v2.Torradovirus_sp</t>
  </si>
  <si>
    <t>2007.039-42P.v2.Torradovirus</t>
  </si>
  <si>
    <t>2009.015a-kP.A.v6.Bacillarnavirus</t>
  </si>
  <si>
    <t>2009.012a-fP.A.v6.Labyrnavirus</t>
  </si>
  <si>
    <t>2007.018-20P.v2.Alphaflexiviridae</t>
  </si>
  <si>
    <t>2007.014-017P.Botrexvirus</t>
  </si>
  <si>
    <t>2008.008-011bP.v3.Lolavirus</t>
  </si>
  <si>
    <t>2013.003aP.A.v1.Mandarivirus_sp</t>
  </si>
  <si>
    <t>2015.012a-dP.A.v4.Platypuvirus</t>
  </si>
  <si>
    <t>2012.017a,bP.A.v2.Alphaflexiviridae-3sp</t>
  </si>
  <si>
    <t>2009.005a,bP.v1.Potexvirus-Sp</t>
  </si>
  <si>
    <t>2008.006P.v2.Potexvirus-2Sp</t>
  </si>
  <si>
    <t>2015.013aP.A.v3.Potexvirus_sp</t>
  </si>
  <si>
    <t>2007.010-013P.Sclerodarnavirus</t>
  </si>
  <si>
    <t>2015.011a-adP.A.v2.Betaflexiviridae_rev</t>
  </si>
  <si>
    <t>2007.006-009P.Mycoflexivirus</t>
  </si>
  <si>
    <t>2007.027a-fP.v2.Tymovirales</t>
  </si>
  <si>
    <t>2010.007aP.A.v1.Marafivirus-sp_BlVS</t>
  </si>
  <si>
    <t>2010.008aP.A.v1.Marafivirus-sp_GSyV-1</t>
  </si>
  <si>
    <t>2011.014aP.A.v1.Marafivirus_1sp</t>
  </si>
  <si>
    <t>2013.013aP.A.v2.Tymovirus_sp</t>
  </si>
  <si>
    <t>2010.019aP.A.v1.Tymovirus_1sp</t>
  </si>
  <si>
    <t>2010.006aP.A.v2.Tymoviridae-sp</t>
  </si>
  <si>
    <t>2010.012aP.A.v1.Tymoviridae-sp</t>
  </si>
  <si>
    <t>2013.003aV.A.v1.Adenoviridae_spren</t>
  </si>
  <si>
    <t>2015.005aD.A.v2.Aviadenovirus_4sp</t>
  </si>
  <si>
    <t>2015.012aD.A.v2.Mastadenovirus_2sp</t>
  </si>
  <si>
    <t>2010.001a-qI.A.v4.Tetraviridae</t>
  </si>
  <si>
    <t>2009.016a-iP.A.v7.Alvernaviridae</t>
  </si>
  <si>
    <t>2013.005a-gP.A.v2.Amalgaviridae</t>
  </si>
  <si>
    <t>2005.084B.04.Ampullavirus</t>
  </si>
  <si>
    <t>2007.075a-xxV.v4.Anelloviridae</t>
  </si>
  <si>
    <t>2010.007aV.A.v2.Betatorquevirus-3sp</t>
  </si>
  <si>
    <t>2010.006aV.A.v2.Etatorquevirus-sp</t>
  </si>
  <si>
    <t>2010.008aV.A.v2.Gammatorquevirus-13sp</t>
  </si>
  <si>
    <t>2014.006f,gD.A.v3.Gyrovirus_move</t>
  </si>
  <si>
    <t>2011.002aV.A.v2.Anelloviridae_2Sp-ren</t>
  </si>
  <si>
    <t>2015.003a,bD.A.v1.Kappatorquevirus_sp,ren</t>
  </si>
  <si>
    <t>2010.004a-dV.A.v2.Lambdatorquevirus</t>
  </si>
  <si>
    <t>2014.012aV.A.v3.Arenavirus_ren</t>
  </si>
  <si>
    <t>2015.001aM.A.v2.Mammarenavirus_4sp</t>
  </si>
  <si>
    <t>2014.013aV.A.v3.Mammarenavirus_2sp</t>
  </si>
  <si>
    <t>2014.011a-dV.A.v2.Reptarenavirus</t>
  </si>
  <si>
    <t>Ratification_1998</t>
  </si>
  <si>
    <t>2010.017a-cV.A.v3.Avastrovirus</t>
  </si>
  <si>
    <t>2010.018a-cV.A.v4.Mamastrovirus</t>
  </si>
  <si>
    <t>2005.255-8P.04.Elaviroid</t>
  </si>
  <si>
    <t>2006.034-039I 04 Alphabaculovirus</t>
  </si>
  <si>
    <t>2015.002a,bD.A.v2.Alphabaculovirus_sp,ren</t>
  </si>
  <si>
    <t>2012.001aI.A.v2.Alphabaculovirus-8sp</t>
  </si>
  <si>
    <t>2015.007aD.A.v2.Alphabaculovirus_sp</t>
  </si>
  <si>
    <t>Merged,</t>
  </si>
  <si>
    <t>2014.002aI.A.v1.Alphabaculovirus-sprem</t>
  </si>
  <si>
    <t>2015.016aD.A.v2.Alphabaculovirus_sp</t>
  </si>
  <si>
    <t>2006.033I 04 Betabaculovirus</t>
  </si>
  <si>
    <t>2015.001aD.A.v2.Betabaculovirus_sp</t>
  </si>
  <si>
    <t>2015.011aD.A.v2.Betabaculovirus_sp</t>
  </si>
  <si>
    <t>2015.013aD.A.v2.Betabaculovirus_sp</t>
  </si>
  <si>
    <t>2006.044-048I 04 Deltabaculovirus</t>
  </si>
  <si>
    <t>2006.040-043I 04 Gammabaculovirus</t>
  </si>
  <si>
    <t>Ratification_1993</t>
  </si>
  <si>
    <t>2013.011a-dP.A.v1.Benyviridae</t>
  </si>
  <si>
    <t>2007.086-89B.Bicaudavirus</t>
  </si>
  <si>
    <t>2010.021a-gV.A.v1.Bidnaviridae</t>
  </si>
  <si>
    <t>ICTV 8th Report</t>
  </si>
  <si>
    <t>2005.212-5V.04.Blosnavirus</t>
  </si>
  <si>
    <t>2013.009aP.A.v2.Anulavirus_sp</t>
  </si>
  <si>
    <t>2004.008-11P.04.Anula</t>
  </si>
  <si>
    <t>2010.004aP.A.v1.Cucumovirus-1sp</t>
  </si>
  <si>
    <t>ICTV 6th Report</t>
  </si>
  <si>
    <t>2010.005aP.A.v1.Ilarvirus-2sp</t>
  </si>
  <si>
    <t>2010.016aP.A.v1.Ilarvirus_1sp</t>
  </si>
  <si>
    <t>Ratification_1997</t>
  </si>
  <si>
    <t>2008.123-126V.v2.Nebovirus</t>
  </si>
  <si>
    <t>Merged,Moved,Assigned as Type Species,</t>
  </si>
  <si>
    <t>2010.013a,bP.A.v1.Badnavirus_5sp_and_renames</t>
  </si>
  <si>
    <t>2014.012aP.A.v2.Badnavirus_7sp</t>
  </si>
  <si>
    <t>2015.026aP.A.v2.Badnavirus_4sp</t>
  </si>
  <si>
    <t>2015.025aP.A.v1.Badnavirus_sp</t>
  </si>
  <si>
    <t>2011.013aP.A.v1.Badnavirus_2sp</t>
  </si>
  <si>
    <t>MSL24_changes</t>
  </si>
  <si>
    <t>2003.P106-108.Badnavirus</t>
  </si>
  <si>
    <t>2010.014aP.A.v1.Caulimovirus_1sp</t>
  </si>
  <si>
    <t>2014.011aP.A.v2.Caulimovirus_sp</t>
  </si>
  <si>
    <t>2002.P084-087.Caulimoviridae</t>
  </si>
  <si>
    <t>2011.001aP.A.v1.Cavemovirus_1sp</t>
  </si>
  <si>
    <t>2014.010a-dP.A.v2.Rosadnavirus</t>
  </si>
  <si>
    <t>2011.002aP.A.v1.Solendovirus_1sp</t>
  </si>
  <si>
    <t>2010.017a-eP.A.v2.Solendovirus</t>
  </si>
  <si>
    <t>2003.P111-112.Caulimo.Soy</t>
  </si>
  <si>
    <t>2010.018aP.A.v1.Soymovirus_1sp</t>
  </si>
  <si>
    <t>2012.004aF.A.v2.Chrysovirus-5sp</t>
  </si>
  <si>
    <t>2014.006a,hD.A.v6.Circovirus_11sp</t>
  </si>
  <si>
    <t>2002.V022-025.Circoviridae</t>
  </si>
  <si>
    <t>2004.007V.04.Circo</t>
  </si>
  <si>
    <t>2007.081V.04.SpCircovirus</t>
  </si>
  <si>
    <t>2009.006a,bV.v1.Circovirus_Sp</t>
  </si>
  <si>
    <t>2010.002a-gB.A.v2.Clavaviridae</t>
  </si>
  <si>
    <t>2015.024a-cP.A.v2.Closteroviridae_5sp</t>
  </si>
  <si>
    <t>2012.002abP.A.v2.Ampelovirus_rev-sp</t>
  </si>
  <si>
    <t>Split,Moved,</t>
  </si>
  <si>
    <t>2009.001a,bP.v1.Ampelovirus-Sp</t>
  </si>
  <si>
    <t>2008.012P.Ampelovirus-Sp</t>
  </si>
  <si>
    <t>Ratification_1996</t>
  </si>
  <si>
    <t>2006.002P.04.ClosteroMint</t>
  </si>
  <si>
    <t>2010.003aP.A.v1.Closterovirus-2sp</t>
  </si>
  <si>
    <t>2008.013P.Crinivirus-Sp</t>
  </si>
  <si>
    <t>2007.005P.04.CriniSpBYVaV</t>
  </si>
  <si>
    <t>2012.009aP.A.v1.Crinivirus-sp</t>
  </si>
  <si>
    <t>2007.004P.04.CriniSpPYVV</t>
  </si>
  <si>
    <t>2006.006P.04.CriniSPaV</t>
  </si>
  <si>
    <t>2012.003aP.A.v1.Closteroviridae-5spres</t>
  </si>
  <si>
    <t>2006.004P.04.ClosteroMVBaV</t>
  </si>
  <si>
    <t>2012.001a-fP.A.v7.Velarivirus</t>
  </si>
  <si>
    <t>2016.020a-gP.A.v4.Endornaviridae_rev</t>
  </si>
  <si>
    <t>Ratification_1984</t>
  </si>
  <si>
    <t>ICTV 5th Report</t>
  </si>
  <si>
    <t>2012.011a-dV.A.v2.Pegivirus</t>
  </si>
  <si>
    <t>Ratification_1990</t>
  </si>
  <si>
    <t>Split,</t>
  </si>
  <si>
    <t>2011.001a-fB.A.v3.Betafusellovirus</t>
  </si>
  <si>
    <t>2012.018a-pP.A.v4.Geminiviridae</t>
  </si>
  <si>
    <t>2015.015a,bP.A.v3.Begomovirus_sprem</t>
  </si>
  <si>
    <t>2013.015a,bP.A.v2.Begomovirus_100sp</t>
  </si>
  <si>
    <t>2002.P108-109.Geminiviridae</t>
  </si>
  <si>
    <t>2005.002P.04.Begomo</t>
  </si>
  <si>
    <t>2007.001P.04.GeminiSp43</t>
  </si>
  <si>
    <t>Merged,Renamed,</t>
  </si>
  <si>
    <t>2007.002P.04.Remove6GeminiSp</t>
  </si>
  <si>
    <t>2006.001P.04.GeminiSp revised 06.08</t>
  </si>
  <si>
    <t>2002.P110.Geminiviridae</t>
  </si>
  <si>
    <t>2011.006a,bP.A.v1_Begomo_rem,ren_Sp</t>
  </si>
  <si>
    <t>2003.P009-012.Begomovirus</t>
  </si>
  <si>
    <t>2003.P141.Begomovirus</t>
  </si>
  <si>
    <t>2003.P142.Begomovirus</t>
  </si>
  <si>
    <t>Merged,Assigned as Type Species,</t>
  </si>
  <si>
    <t>2015.016aP.A.v2.Mastrevirus_3sp</t>
  </si>
  <si>
    <t>2012.019abP.A.v3.Mastrevirus-17sp,rem-2sp</t>
  </si>
  <si>
    <t>2009.014c-fP.v2.Geminiviridae-4Sp</t>
  </si>
  <si>
    <t>Ratification_1999</t>
  </si>
  <si>
    <t>2015.002a-gF.A.v2.Genomoviridae</t>
  </si>
  <si>
    <t>2005.077-80B.04.Globulovirus</t>
  </si>
  <si>
    <t>2007.085B.04.TTSV1</t>
  </si>
  <si>
    <t>2011.009a-eB.A.v2.Betaguttavirus</t>
  </si>
  <si>
    <t>2015.009a,bD.A.v3.Orthohepadnavirus_2sp</t>
  </si>
  <si>
    <t>2014.008a-hV.A.v6.Hepeviridae</t>
  </si>
  <si>
    <t>2009.001a-kI.A.v4.Hytrosaviridae</t>
  </si>
  <si>
    <t>2015.001a-kF.A.v1.Lavidaviridae</t>
  </si>
  <si>
    <t>2013.010a,bP.A.v2.Umbravirus_move</t>
  </si>
  <si>
    <t>2013.014aP.A.v2.Luteovirus_2sp</t>
  </si>
  <si>
    <t>2013.016a-cP.A.v2.Luteoviridae_sprem</t>
  </si>
  <si>
    <t>2002.P081-083.Luteoviridae</t>
  </si>
  <si>
    <t>2003.P225.Luteovirus</t>
  </si>
  <si>
    <t>2008.030-032P.Luteoviridae-4Sp</t>
  </si>
  <si>
    <t>2005.014P.04.luteo.CRLV</t>
  </si>
  <si>
    <t>2013.017aP.A.v2.Polerovirus_3sp</t>
  </si>
  <si>
    <t>2003.P226.Polerovirus</t>
  </si>
  <si>
    <t>2012.002a-hF.A.v5.Marseilleviridae</t>
  </si>
  <si>
    <t>2010.002a-gF.A.v1.Megabirnaviridae</t>
  </si>
  <si>
    <t>2003.F187-190.Semotivirus</t>
  </si>
  <si>
    <t>2015.026a-rB.A.v4.Bullavirinae</t>
  </si>
  <si>
    <t>2011.001a-dF.A.v2.Cafeteriavirus</t>
  </si>
  <si>
    <t>2005.004F.04.Mimiviridae</t>
  </si>
  <si>
    <t>2008.028P.Abaca_btv-Sp</t>
  </si>
  <si>
    <t>2008.029P.Cardamom_bdv-Sp</t>
  </si>
  <si>
    <t>2015.010aP.A.v1.Nanovirus_2sp</t>
  </si>
  <si>
    <t>2010.009aP.A.v1.Nanovirus-2sp</t>
  </si>
  <si>
    <t>2012.008aP.A.v1.Nanovirus-sp</t>
  </si>
  <si>
    <t>2002.F114-121.Narnaviridae</t>
  </si>
  <si>
    <t>2007.084I.04NimaName</t>
  </si>
  <si>
    <t>2013.003a-kI.A.v1.Nudiviridae</t>
  </si>
  <si>
    <t>2015.023aP.A.v2.Ophiovirus_sp</t>
  </si>
  <si>
    <t>2005.233-5P.04.Ophioviridae</t>
  </si>
  <si>
    <t>2008.026P.Ophiovirus-Sp</t>
  </si>
  <si>
    <t>2011.012a-dV.A.v3.Quaranjavirus</t>
  </si>
  <si>
    <t>2010.001a-kkkV.A.v2.Papillomaviridae</t>
  </si>
  <si>
    <t>2012.008a-rrV.A.v3.Papillomaviridae_9gen</t>
  </si>
  <si>
    <t>2015.014a-atD.A.v2.Papillomaviridae_10gen</t>
  </si>
  <si>
    <t>2013.001a-kkF.A.v3.Partitiviridae</t>
  </si>
  <si>
    <t>2015.003a,bF.A.v3.Partitiviridae_4sp</t>
  </si>
  <si>
    <t>2008.002-006F.v3.Cryspovirus</t>
  </si>
  <si>
    <t>2013.001a-aaaV.A.v4.Parvoviridae</t>
  </si>
  <si>
    <t>2010.004aF.A.v2.Chlorovirus-Sp</t>
  </si>
  <si>
    <t>2003.F080-083.Coccolithovirus</t>
  </si>
  <si>
    <t>2003.F195.Phaeovirus</t>
  </si>
  <si>
    <t>2010.003aF.A.v1.Prasinovirus-sp</t>
  </si>
  <si>
    <t>2003.F128-131.Raphidovirus</t>
  </si>
  <si>
    <t>2005.216-22V.04.Picobirna</t>
  </si>
  <si>
    <t>2015.015a-aaD.A.v2.Polyomaviridae_rev</t>
  </si>
  <si>
    <t>2005.253P.04.CitrusDwarf</t>
  </si>
  <si>
    <t>2009.013a,bP.v1.Apscaviroid-2Sp</t>
  </si>
  <si>
    <t>2005.254P.04.CitrusbarkCra</t>
  </si>
  <si>
    <t>2014.003aP.A.v2.Hostuviroid_sp</t>
  </si>
  <si>
    <t>2010.010aP.A.v1.Pospiviroid-sp</t>
  </si>
  <si>
    <t>2014.002aP.A.v1.Pospiviroid_sprem</t>
  </si>
  <si>
    <t>2008.016-020P.v2.Brambyvirus</t>
  </si>
  <si>
    <t>2003.P016-029.Potyviridae</t>
  </si>
  <si>
    <t>2007.072P.04.SpIpomovirus</t>
  </si>
  <si>
    <t>2013.012a,bP.A.v2.Potyviridae_spmove</t>
  </si>
  <si>
    <t>2010.001aP.A.v2.Ipomovirus-Sp</t>
  </si>
  <si>
    <t>2007.071P.04.SpMacluraviruses</t>
  </si>
  <si>
    <t>2015.003a-dP.A.v2.Potyviridae</t>
  </si>
  <si>
    <t>2015.002aP.A.v2.Poacevirus</t>
  </si>
  <si>
    <t>2009.004a-iP.A.v2.Poacevirus</t>
  </si>
  <si>
    <t>2008.002P.Potyvirus-7Sp</t>
  </si>
  <si>
    <t>2007.073P.04.SpPotyviruses</t>
  </si>
  <si>
    <t>2009.006a-dP.v2.Potyviridae-10Sp</t>
  </si>
  <si>
    <t>2014.009aP.A.v4.Potyvirus_12sp</t>
  </si>
  <si>
    <t>2008.027P.Remove1spPotyvirus</t>
  </si>
  <si>
    <t>2007.074P.04.SpRemvoePotyviruses</t>
  </si>
  <si>
    <t>2010.020aP.A.v1.Potyvirus_1sp</t>
  </si>
  <si>
    <t>2010.002aP.A.v2.Potyvirus-Sp</t>
  </si>
  <si>
    <t>2011.004aP.A.v1.Potyvirus_1sp</t>
  </si>
  <si>
    <t>2014.005aP.A.v1.Tritimovirus_sp</t>
  </si>
  <si>
    <t>2012.013aP.A.v1.Tritimovirus-sp</t>
  </si>
  <si>
    <t>2013.007aP.A.v2.Potyviridae_sp</t>
  </si>
  <si>
    <t>Ratification_1978</t>
  </si>
  <si>
    <t>2010.020abV.A.v1.Poxviridae-2sp_ren</t>
  </si>
  <si>
    <t>2010.019a-eV.A.v1.Crocodylidpoxvirus</t>
  </si>
  <si>
    <t>ICTV 3rd Report</t>
  </si>
  <si>
    <t>2003.V192-194.Entomopoxvirus</t>
  </si>
  <si>
    <t>2014.001aI.A.v1.Entomopoxvirus-spcorr</t>
  </si>
  <si>
    <t>2013.002aI.A.v3.Betaentomopoxvirus_3sp</t>
  </si>
  <si>
    <t>Ratification_2004</t>
  </si>
  <si>
    <t>2003.Fxxx.Pseudoviridae</t>
  </si>
  <si>
    <t>2012.001a-gF.A.v4.Quadriviridae</t>
  </si>
  <si>
    <t>2007.127-129V.v2.Spina-Sedoreovirinae</t>
  </si>
  <si>
    <t>2014.002aV.A.v2.Rotavirus_3sp</t>
  </si>
  <si>
    <t>2015.018aM.A.v2.Fijivirus_sp</t>
  </si>
  <si>
    <t>2015.019aM.A.v3.Orthoreovirus_sp</t>
  </si>
  <si>
    <t>2002.V043-049.Retroviridae</t>
  </si>
  <si>
    <t>2015.002a-gS.A.v3.Sarthroviridae</t>
  </si>
  <si>
    <t>NULL</t>
  </si>
  <si>
    <t>2013.003a-gB.A.v3.Spiraviridae</t>
  </si>
  <si>
    <t>Ratification_1974</t>
  </si>
  <si>
    <t>ICTV 2nd Report</t>
  </si>
  <si>
    <t>2013.006aV.A.v2.Alphavirus_sp</t>
  </si>
  <si>
    <t>2012.007aV.A.v1.Alphavirus-sp</t>
  </si>
  <si>
    <t>Ratification_1975</t>
  </si>
  <si>
    <t>2015.007a-rP.A.v1.split_Carmovirus</t>
  </si>
  <si>
    <t>2011.009a-mP.A.v3.split_Necrovirus</t>
  </si>
  <si>
    <t>2008.007P.Aureusvirus-2Sp</t>
  </si>
  <si>
    <t>2015.008aP.A.v1.Aureusvirus_sp</t>
  </si>
  <si>
    <t>2011.010a-eP.A.v3.Gallantivirus</t>
  </si>
  <si>
    <t>2011.010f-iP.A.v3.Macanavirus</t>
  </si>
  <si>
    <t>2011.008aP.A.v1.Panicovirus_1sp</t>
  </si>
  <si>
    <t>2014.007aP.A.v1.Panicovirus_sp</t>
  </si>
  <si>
    <t>2014.006b-fP.A.v3.Pelarspovirus</t>
  </si>
  <si>
    <t>2003.P043.Tombusvirus</t>
  </si>
  <si>
    <t>2007.125P.04.SpRemoveTombusvirus</t>
  </si>
  <si>
    <t>2005.012P.04.HRV</t>
  </si>
  <si>
    <t>2007.123P.04.2SpTombusvirus</t>
  </si>
  <si>
    <t>2014.008aP.A.v3.Tombusviridae_sp</t>
  </si>
  <si>
    <t>2011.005a-eP.A.v2.Zeavirus</t>
  </si>
  <si>
    <t>2013.003a,bF.A.v2.Leishmaniavirus-remrensp</t>
  </si>
  <si>
    <t>2013.002a-cF.A.v2.Totiviridae-10sp</t>
  </si>
  <si>
    <t>2010.001a-dF.A.v2.Trichomonasvirus</t>
  </si>
  <si>
    <t>2007.066-9F.v2.Victorivirus</t>
  </si>
  <si>
    <t>2013.002a-gB.A.v3.Turriviridae</t>
  </si>
  <si>
    <t>2015.009a-pP.A.v3.Plant_sat_4unassgen</t>
  </si>
  <si>
    <t>2009.002a-fF.A.v6.Bacilladnavirus</t>
  </si>
  <si>
    <t>2014.001a-dF.A.v3.Botybirnavirus</t>
  </si>
  <si>
    <t>2007.031-5P.Cilevirus</t>
  </si>
  <si>
    <t>2009.001a-fF.A.v6.Dinodnavirus</t>
  </si>
  <si>
    <t>2012.011a-dP.A.v3.Higrevirus</t>
  </si>
  <si>
    <t>2005.248-52P.04.Polemo</t>
  </si>
  <si>
    <t>Ratification_1987</t>
  </si>
  <si>
    <t>2003.B038-041.Salterprovirus</t>
  </si>
  <si>
    <t>2015.005a-dS.A.v2.Sinaivirus</t>
  </si>
  <si>
    <t>2015.017aP.A.v2.Sobemovirus_5sp</t>
  </si>
  <si>
    <t>2011.011aP.A.v1.Sobemovirus_1sp</t>
  </si>
  <si>
    <t>2007.036-8P.Virgaviridae</t>
  </si>
  <si>
    <t>2011.012aP.A.v1.Furovirus_1sp</t>
  </si>
  <si>
    <t>2015.001a-dP.A.v2.Goravirus</t>
  </si>
  <si>
    <t>2012.004aP.A.v3.Tobamovirus-8sp</t>
  </si>
  <si>
    <t>2009.010a,bP.v1.Tobamovirus-2Sp</t>
  </si>
  <si>
    <t>2009.009a,bP.v1.Tobamovirus-Sp</t>
  </si>
  <si>
    <t>2014.001aP.A.v1.Tobamovirus_2sp</t>
  </si>
  <si>
    <t>2016.021a-dM.A.v2.Orthoferavirus</t>
  </si>
  <si>
    <t>RNA1: AY563040, RNA2: AY563041, RNA3: DQ831831, RNA4: DQ831828</t>
  </si>
  <si>
    <t>RNA1: AM941711, RNA2: FM864225, RNA3: FM991954, RNA4: FM992851, RNA5: HE803826, RNA6: HE803827</t>
  </si>
  <si>
    <t>KJ939623 to KJ939631</t>
  </si>
  <si>
    <t>Wheat mosaic virus -Nebraska</t>
  </si>
  <si>
    <t>RNA1: HF568801, RNA2: HF568802, RNA3: HF568803, RNA4: HF568804, RNA5: HF945448</t>
  </si>
  <si>
    <t>RNA1: FR823299, RNA2: FR823300, RNA3: FR823301, RNA4: FR823302, RNA5: FR823303</t>
  </si>
  <si>
    <t>RNA1: HQ871942, RNA2: HQ871943, RNA3: HQ871944, RNA4: HQ871945</t>
  </si>
  <si>
    <t>RNA3: L75930, RNA4: L48441, RNA5: L47430</t>
  </si>
  <si>
    <t>RNA2: AY312434, RNA3: AY312435, RNA4: AY312436</t>
  </si>
  <si>
    <t>RNA2: U53224, RNA3: M57426, RNA4: S40180, RNA5: S58504</t>
  </si>
  <si>
    <t>RNA1: AB009656, RNA2: AB010376, RNA3: AB010377, RNA4: AB010378, RNA5: AB000403, RNA6: AB000404</t>
  </si>
  <si>
    <t>RNA2: L54073, RNA3: AF004658, RNA3: L07940, RNA4: L14952, RNA4: AF004657</t>
  </si>
  <si>
    <t>RNA1: D31879, RNA2: D13176, RNA3: X53563, RNA4: D10979</t>
  </si>
  <si>
    <t>RNA3: U82447, RNA4: U82446</t>
  </si>
  <si>
    <t>L: AF025538, M: U42555, S: U27809</t>
  </si>
  <si>
    <t>groundnut ringspot virus (GRSV)</t>
  </si>
  <si>
    <t>groundnut yellow spot virus (GYSV</t>
  </si>
  <si>
    <t>L: X93218, M: M74904, S: X66972</t>
  </si>
  <si>
    <t>impatiens necrotic spot virus (INSV)</t>
  </si>
  <si>
    <t>L: FJ623474, M: AF214014, S: AF001387</t>
  </si>
  <si>
    <t>L: KJ541746, M: KJ541745, S: KJ541744</t>
  </si>
  <si>
    <t>polygonum ringspot virus (PolRSV)</t>
  </si>
  <si>
    <t>L: HQ700667</t>
  </si>
  <si>
    <t>L: D10066, M: S48091, S: D00645</t>
  </si>
  <si>
    <t>L: GU735408, M: GU584185, S: GU584184</t>
  </si>
  <si>
    <t>L: AF133128, M: U75379, S: U78734</t>
  </si>
  <si>
    <t>Mannheimia virus PHL101</t>
  </si>
  <si>
    <t>Lactobacillus virus Lb338-1</t>
  </si>
  <si>
    <t>Escherichia virus CC31</t>
  </si>
  <si>
    <t>Salmonella virus L13</t>
  </si>
  <si>
    <t>Salmonella virus LSPA1</t>
  </si>
  <si>
    <t>Mycobacterium virus Fionnbarth</t>
  </si>
  <si>
    <t>Salmon aquaparamyxovirus</t>
  </si>
  <si>
    <t>2016.011aM.A.v2.Paramyxoviridae_spren</t>
  </si>
  <si>
    <t>Avian avulavirus 1</t>
  </si>
  <si>
    <t>Avian avulavirus 2</t>
  </si>
  <si>
    <t>Avian avulavirus 3</t>
  </si>
  <si>
    <t>Avian avulavirus 4</t>
  </si>
  <si>
    <t>Avian avulavirus 5</t>
  </si>
  <si>
    <t>Avian avulavirus 6</t>
  </si>
  <si>
    <t>Avian avulavirus 7</t>
  </si>
  <si>
    <t>Avian avulavirus 8</t>
  </si>
  <si>
    <t>Avian avulavirus 9</t>
  </si>
  <si>
    <t>Avian avulavirus 10</t>
  </si>
  <si>
    <t>Avian avulavirus 11</t>
  </si>
  <si>
    <t>Avian avulavirus 12</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</si>
  <si>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</si>
  <si>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</si>
  <si>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</si>
  <si>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</si>
  <si>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</si>
  <si>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</si>
  <si>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</si>
  <si>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</si>
  <si>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</si>
  <si>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</si>
  <si>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</si>
  <si>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</si>
  <si>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</si>
  <si>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Human rubulavirus 2</t>
  </si>
  <si>
    <t>Human rubulavirus 4</t>
  </si>
  <si>
    <t>Mammalian rubulavirus 5</t>
  </si>
  <si>
    <t>Mapuera rubulavirus</t>
  </si>
  <si>
    <t>Mumps rubulavirus</t>
  </si>
  <si>
    <t>Simian rubulavirus</t>
  </si>
  <si>
    <t>Bovine orthopneumovirus</t>
  </si>
  <si>
    <t>2016.012aM.A.v1.Pneumoviridae_spren</t>
  </si>
  <si>
    <t>Human orthopneumovirus</t>
  </si>
  <si>
    <t>Murine orthopneumovirus</t>
  </si>
  <si>
    <t>Piscine novirhabdovirus</t>
  </si>
  <si>
    <t>2016.018aM.A.v1.Novirhabdovirus_spren</t>
  </si>
  <si>
    <t>Salmonid novirhabdovirus</t>
  </si>
  <si>
    <t>Diadromus pulchellus toursvirus</t>
  </si>
  <si>
    <t>2016.011aD.A.v1.Toursvirus_spren</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</si>
  <si>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</si>
  <si>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</si>
  <si>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</si>
  <si>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</si>
  <si>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</si>
  <si>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</si>
  <si>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</si>
  <si>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</si>
  <si>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</si>
  <si>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</si>
  <si>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</si>
  <si>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</si>
  <si>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</si>
  <si>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</si>
  <si>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</si>
  <si>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</si>
  <si>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</si>
  <si>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</si>
  <si>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</si>
  <si>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</si>
  <si>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</si>
  <si>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</si>
  <si>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</si>
  <si>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</si>
  <si>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</si>
  <si>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</si>
  <si>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</si>
  <si>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</si>
  <si>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</si>
  <si>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</si>
  <si>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</si>
  <si>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</si>
  <si>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</si>
  <si>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AB844265</t>
  </si>
  <si>
    <t>Hepacivirus C</t>
  </si>
  <si>
    <t>KC790381, KC790376</t>
  </si>
  <si>
    <t>Haloarcula virus HHPV1</t>
  </si>
  <si>
    <t>dsDNA; ssDNA</t>
  </si>
  <si>
    <t>Haloarcula virus HHPV2</t>
  </si>
  <si>
    <t>Halorubrum virus HRPV1</t>
  </si>
  <si>
    <t>Halorubrum virus HRPV2</t>
  </si>
  <si>
    <t>Halorubrum virus HRPV6</t>
  </si>
  <si>
    <t>Halogeometricum virus HGPV1</t>
  </si>
  <si>
    <t>Halorubrum virus HRPV3</t>
  </si>
  <si>
    <t>ssRNA</t>
  </si>
  <si>
    <t>Dipartevirus</t>
  </si>
  <si>
    <t>Equartevirus</t>
  </si>
  <si>
    <t>Nesartevirus</t>
  </si>
  <si>
    <t>Porartevirus</t>
  </si>
  <si>
    <t>Simartevirus</t>
  </si>
  <si>
    <t>Jonchet orthojonvirus</t>
  </si>
  <si>
    <t>2016.025a-dM.A.v2.Orthojonvirus</t>
  </si>
  <si>
    <t>ampivirus A1 (newt picornavirus) [newt/2013/HUN]</t>
  </si>
  <si>
    <t>KP236128</t>
  </si>
  <si>
    <t>bovine rhinitis A virus 1 [bo/SD-1/GER/c.1962]</t>
  </si>
  <si>
    <t>EU236594</t>
  </si>
  <si>
    <t>bovine rhinitis B virus 1 [bo/EC 11/UK/c.1964]</t>
  </si>
  <si>
    <t>DQ272578</t>
  </si>
  <si>
    <t>equine rhinitis A virus 1 [ho/PERV/UK/c.1962]</t>
  </si>
  <si>
    <t>AY593829</t>
  </si>
  <si>
    <t>foot-and-mouth disease virus O [UK/1/24 (OV1)]</t>
  </si>
  <si>
    <t>EU142040</t>
  </si>
  <si>
    <t>seal aquamavirus A1 [seal/Canada/HO.02.21/2002]</t>
  </si>
  <si>
    <t>DQ226541</t>
  </si>
  <si>
    <t>duck hepatitis A virus 1 [du/R85952/Illinois/USA/1955]</t>
  </si>
  <si>
    <t>KC614703</t>
  </si>
  <si>
    <t>avisivirus A1 [tu/HUN/M176/2011]</t>
  </si>
  <si>
    <t>avisivirus B1 (chicken picornavirus 2) [ch/44C/Hong Kong/2008]</t>
  </si>
  <si>
    <t>avisivirus C1 (chicken picornavirus 3) [ch/45C/Hong Kong/2008]</t>
  </si>
  <si>
    <t>M81861</t>
  </si>
  <si>
    <t>encephalomyocarditis virus 1 [R]</t>
  </si>
  <si>
    <t>X56019</t>
  </si>
  <si>
    <t>Theiler's murine encephalomyeltits virus [mo/GD VII/USA/1937]</t>
  </si>
  <si>
    <t>Boone cardiovirus 1 [rat/USA/2010]</t>
  </si>
  <si>
    <t>FJ438902</t>
  </si>
  <si>
    <t>human cosavirus A1 [hu/0553]</t>
  </si>
  <si>
    <t>human cosavirus B1 [hu/2263/PAK]</t>
  </si>
  <si>
    <t>human cosavirus D1 [hu/5004/PAK]</t>
  </si>
  <si>
    <t>human cosavirus E1 [hu/Australia/81]</t>
  </si>
  <si>
    <t>human cosavirus F1 [hu/PK5006/PAK/2007]</t>
  </si>
  <si>
    <t>JN819202</t>
  </si>
  <si>
    <t>canine picodicistrovirus 1 [dog/209/Hong Kong/2008]</t>
  </si>
  <si>
    <t>AY421760</t>
  </si>
  <si>
    <t>coxsackievirus A16 [hu/G-10/South Africa/1951]</t>
  </si>
  <si>
    <t>M88483</t>
  </si>
  <si>
    <t>coxsackievirus B3 [hu/Nancy/Connecticut/USA/49]</t>
  </si>
  <si>
    <t>V01149</t>
  </si>
  <si>
    <t>poliovirus 1 [hu/Mahoney/Ohio/USA/1941]</t>
  </si>
  <si>
    <t>AY426531</t>
  </si>
  <si>
    <t>enterovirus D68 [hu/Fermon/California/USA/1962]</t>
  </si>
  <si>
    <t>D00214</t>
  </si>
  <si>
    <t>enterovirus E1 [bo/VG(5)27/UK/1957]</t>
  </si>
  <si>
    <t>DQ092770</t>
  </si>
  <si>
    <t>enterovirus F1 [bo/BEV-261/Washington/USA/1958]</t>
  </si>
  <si>
    <t>AF363453</t>
  </si>
  <si>
    <t>enterovirus G1 [sw/UKG/410/73]</t>
  </si>
  <si>
    <t>AF326759</t>
  </si>
  <si>
    <t>enterovirus H1 [rh/SV4-1715 UWB/US/1954]</t>
  </si>
  <si>
    <t>enterovirus I1 [dromedary/19CC/UAE/2013]</t>
  </si>
  <si>
    <t>AF326766</t>
  </si>
  <si>
    <t>simian virus 6 [rh/1631/Indiana/USA/1955]</t>
  </si>
  <si>
    <t>FJ445111</t>
  </si>
  <si>
    <t>rhinovirus A1 [hu/2060/Ohio]</t>
  </si>
  <si>
    <t>DQ473485</t>
  </si>
  <si>
    <t>rhinovirus B3 [hu/FEB]</t>
  </si>
  <si>
    <t>EF077279</t>
  </si>
  <si>
    <t>rhinovirus C1 [hu/NAT001/USA/2001]</t>
  </si>
  <si>
    <t>X96871</t>
  </si>
  <si>
    <t>equine rhinitis B virus 1 [eq/P1436/71/SWI]</t>
  </si>
  <si>
    <t>JQ691613</t>
  </si>
  <si>
    <t>gallivirus A1 [tu/HUN/M176/2011]</t>
  </si>
  <si>
    <t>falcovirus 1 [kestrel/VOVE0622/2013/HUN]</t>
  </si>
  <si>
    <t>M14707</t>
  </si>
  <si>
    <t>hepatitis A virus 1 [hu/HM175/AUS/1976]</t>
  </si>
  <si>
    <t>phopivirus 1 [seal/New England/USA/2011]</t>
  </si>
  <si>
    <t>hepatovirus C1 [bat/SMG18520Minmav2014]</t>
  </si>
  <si>
    <t>hepatovirus D1 [vo/RMU101637Micarv2010]</t>
  </si>
  <si>
    <t>hepatovirus E1 [rat/CIV459Lopsik2004]</t>
  </si>
  <si>
    <t>hepatovirus F1 [rat/KEF121Sigmas2012]</t>
  </si>
  <si>
    <t>hepatovirus G1 [bat/BUO2BF86Colafr2010]</t>
  </si>
  <si>
    <t>hepatovirus H1 [hedgehog/Igel8Erieur2014]</t>
  </si>
  <si>
    <t>hepatovirus I1 [shrew/KS121232Sorara2012]</t>
  </si>
  <si>
    <t>JQ941880</t>
  </si>
  <si>
    <t>hunnivirus A1 [bo/HUN/2008]</t>
  </si>
  <si>
    <t>AB040749</t>
  </si>
  <si>
    <t>Aichi virus 1 [hu/A846/88/JPN]</t>
  </si>
  <si>
    <t>AB084788</t>
  </si>
  <si>
    <t>bovine kobuvirus 1 [bo/U-1/JPN]</t>
  </si>
  <si>
    <t>EU787450</t>
  </si>
  <si>
    <t>porcine kobuvirus 1 [sw/S-1-HUN/2007]</t>
  </si>
  <si>
    <t>kagovirus 1 [bo/Kagoshima-1-22-KoV/2014/Jpn]</t>
  </si>
  <si>
    <t>rabbit picornavirus [rabbit01/2013/HUN]</t>
  </si>
  <si>
    <t>bat kobuvirus [bat/BtMr-PicoV/JX2010]</t>
  </si>
  <si>
    <t>kunsagivirus A1 [roller/SZAL6-KuV/2011/HUN]</t>
  </si>
  <si>
    <t>bluegill picornavirus 1 [bluegill/USA/04-032/2003]</t>
  </si>
  <si>
    <t>carp picornavirus 1 [carp/F37/06/GER]</t>
  </si>
  <si>
    <t>fathead minnow picornavirus 1 [fhm/1/MN/USA/2010]</t>
  </si>
  <si>
    <t>HM751199</t>
  </si>
  <si>
    <t>turkey hepatitis virus 1 [tu/2993D/CA/USA/c.2009]</t>
  </si>
  <si>
    <t>JQ814851</t>
  </si>
  <si>
    <t>mischivirus A1 [bat/China/2010]</t>
  </si>
  <si>
    <t>mischivirus B1 [bat/V1/13 Hun]</t>
  </si>
  <si>
    <t>mischivirus C1 (African bat icavirus) [bat/TNo13/DRC/2013]</t>
  </si>
  <si>
    <t>JF973687</t>
  </si>
  <si>
    <t>mosavirus A1 [mo/M-7/USA/2010]</t>
  </si>
  <si>
    <t>GU182408</t>
  </si>
  <si>
    <t>oscivirus A1 [robin/Hong Kong/10717/2006]</t>
  </si>
  <si>
    <t>S45208</t>
  </si>
  <si>
    <t>human parechovirus 1 [hu/Harris/Ohio/USA/1956]</t>
  </si>
  <si>
    <t>AF327920</t>
  </si>
  <si>
    <t>Ljungan virus 1 [vo/87-012/SWE]</t>
  </si>
  <si>
    <t>Sebokele virus 1 [mo/An B 1227 d/CAR]</t>
  </si>
  <si>
    <t>ferret parechovirus 1 [ferret/MpPeV1/NL]</t>
  </si>
  <si>
    <t>JQ316470</t>
  </si>
  <si>
    <t>pasivirus A1 [sw/France/2011]</t>
  </si>
  <si>
    <t>GU182406</t>
  </si>
  <si>
    <t>passerivirus A1 [thrush/Hong Kong/00356/2007]</t>
  </si>
  <si>
    <t>eel picornavirus 1 [eel/F15/05/GER]</t>
  </si>
  <si>
    <t>rabovirus A1 [rat/Berlin/Jan2011/0572]</t>
  </si>
  <si>
    <t>JF973686</t>
  </si>
  <si>
    <t>rosavirus A1 [mo/M-7/USA/2010]</t>
  </si>
  <si>
    <t>feline sakobuvirus 1 [cat/FFUP1/Portugal/2012]</t>
  </si>
  <si>
    <t>GQ179640</t>
  </si>
  <si>
    <t>salivirus A1 [hu/NG-J1/Nigeria/2007]</t>
  </si>
  <si>
    <t>AY563023</t>
  </si>
  <si>
    <t>avian sapelovirus 1 [du/TW90A]</t>
  </si>
  <si>
    <t>AF406813</t>
  </si>
  <si>
    <t>porcine sapelovirus 1 [sw/V13/UK/1957]</t>
  </si>
  <si>
    <t>AY064708</t>
  </si>
  <si>
    <t>simian sapelovirus 1 [rh/SV2-2383/US/1954]</t>
  </si>
  <si>
    <t>DQ641257</t>
  </si>
  <si>
    <t>Seneca Valley virus 1 [SVV-001]</t>
  </si>
  <si>
    <t>sicinivirus A1 [ch/UCC001/Eire]</t>
  </si>
  <si>
    <t>AF231769</t>
  </si>
  <si>
    <t>porcine teschovirus 1 [sw/Talfan/UK/1957]</t>
  </si>
  <si>
    <t>tortoise picornavirus 1 [tor/14/04/GER]</t>
  </si>
  <si>
    <t>AJ225173</t>
  </si>
  <si>
    <t>avian encephalomyelitis virus 1 [ch/Calnek]</t>
  </si>
  <si>
    <t>2015.042a-oB.A.v3.Pleolipoviridae.pdf</t>
  </si>
  <si>
    <t>Version 1.1</t>
  </si>
  <si>
    <t>Sort</t>
  </si>
  <si>
    <t>Sort on this column to reestablish the original sort order.</t>
  </si>
  <si>
    <t>An 'Order' is the highest taxonomic level into which virus species can be classified. Use of the taxonomic level Order is optional.  If 'Unassigned' has been entered, the taxon has not been assigned to an Order.</t>
  </si>
  <si>
    <t>A  'Family' is a level in the taxonomic hierarchy into which virus species can be classified.  If marked 'Unassigned' (which is rare) the lower taxonomic level of 'Genus' has not been assigned to a Family.</t>
  </si>
  <si>
    <t>A  'Subfamily' is a level in the taxonomic hierarchy into which virus species can be classified. Use of the taxonomic level Subfamily is optional. If left blank, the lower  taxonomic levels of genus and/or species have not been assigned to a Subfamily.</t>
  </si>
  <si>
    <t>The file name of the taxonomic proposal that details the justification for the last change. Proposals can be retrieved by appending the file name and '.pdf' to the end of the following url: http://www.ictvonline.org/proposals/&lt;replace with file name.pdf&gt;.</t>
  </si>
  <si>
    <t>Version 1.2</t>
  </si>
  <si>
    <t>Fixed incorrect exemplar accession number entries.</t>
  </si>
  <si>
    <t>Updates approved during EC 48, Budapest, Hungary, August 2016; Email ratification 2017 (MSL #31).</t>
  </si>
  <si>
    <t>For more information see: http://www.ictvonline.org/.</t>
  </si>
  <si>
    <t>Fixed sorting of species names with numerical suffixes greater than 9. Added Sort column. No data was changed!</t>
  </si>
  <si>
    <t>Version 1.3</t>
  </si>
  <si>
    <r>
      <t xml:space="preserve">Corrected type species designation for </t>
    </r>
    <r>
      <rPr>
        <i/>
        <sz val="12"/>
        <rFont val="Arial"/>
        <family val="2"/>
      </rPr>
      <t>Acoviridae:Toursvirus</t>
    </r>
    <r>
      <rPr>
        <sz val="12"/>
        <rFont val="Arial"/>
        <family val="2"/>
      </rPr>
      <t xml:space="preserve">. Assigned </t>
    </r>
    <r>
      <rPr>
        <i/>
        <sz val="12"/>
        <rFont val="Arial"/>
        <family val="2"/>
      </rPr>
      <t>Diadromus pulchellus toursvirus</t>
    </r>
    <r>
      <rPr>
        <sz val="12"/>
        <rFont val="Arial"/>
        <family val="2"/>
      </rPr>
      <t xml:space="preserve"> as type species.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</si>
</sst>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4" x14ac:knownFonts="1">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sz val="12"/>
      <color rgb="FF000000"/>
      <name val="Arial"/>
      <family val="2"/>
    </font>
    <font>
      <u/>
      <sz val="10"/>
      <color theme="11"/>
      <name val="Arial"/>
    </font>
    <font>
      <i/>
      <sz val="10"/>
      <color rgb="FF000000"/>
      <name val="Verdana"/>
      <family val="2"/>
    </font>
    <font>
      <sz val="10"/>
      <name val="Verdana"/>
    </font>
    <font>
      <i/>
      <sz val="12"/>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4">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
    <xf numFmtId="0" fontId="0" fillId="0" borderId="0"/>
    <xf numFmtId="0" fontId="13" fillId="0" borderId="0"/>
    <xf numFmtId="0" fontId="20" fillId="0" borderId="0" applyNumberFormat="0" applyFill="0" applyBorder="0" applyAlignment="0" applyProtection="0"/>
    <xf numFmtId="0" fontId="20" fillId="0" borderId="0" applyNumberFormat="0" applyFill="0" applyBorder="0" applyAlignment="0" applyProtection="0"/>
  </cellStyleXfs>
  <cellXfs count="51">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2" borderId="4" xfId="0" applyFont="1" applyFill="1" applyBorder="1" applyAlignment="1">
      <alignment horizontal="right"/>
    </xf>
    <xf numFmtId="0" fontId="6" fillId="2" borderId="5" xfId="0" applyFont="1" applyFill="1" applyBorder="1"/>
    <xf numFmtId="0" fontId="10" fillId="3" borderId="6" xfId="0" applyFont="1" applyFill="1" applyBorder="1" applyAlignment="1">
      <alignment horizontal="left" vertical="center"/>
    </xf>
    <xf numFmtId="0" fontId="11" fillId="3" borderId="7" xfId="0"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2" fillId="0" borderId="0" xfId="0" applyFont="1" applyFill="1"/>
    <xf numFmtId="0" fontId="2" fillId="0" borderId="0" xfId="0" applyFont="1" applyFill="1" applyAlignment="1">
      <alignment wrapText="1"/>
    </xf>
    <xf numFmtId="0" fontId="6" fillId="0" borderId="0" xfId="0" applyFont="1" applyBorder="1"/>
    <xf numFmtId="49" fontId="10" fillId="0" borderId="4" xfId="1" applyNumberFormat="1" applyFont="1" applyBorder="1" applyAlignment="1">
      <alignment wrapText="1"/>
    </xf>
    <xf numFmtId="49" fontId="10" fillId="0" borderId="5" xfId="1" applyNumberFormat="1" applyFont="1" applyBorder="1" applyAlignment="1">
      <alignment wrapText="1"/>
    </xf>
    <xf numFmtId="49" fontId="14" fillId="0" borderId="0" xfId="1" applyNumberFormat="1" applyFont="1" applyAlignment="1">
      <alignment wrapText="1"/>
    </xf>
    <xf numFmtId="49" fontId="15" fillId="0" borderId="1" xfId="1" applyNumberFormat="1" applyFont="1" applyBorder="1" applyAlignment="1">
      <alignment horizontal="right" vertical="center" wrapText="1"/>
    </xf>
    <xf numFmtId="49" fontId="16" fillId="0" borderId="8" xfId="1" applyNumberFormat="1" applyFont="1" applyBorder="1" applyAlignment="1">
      <alignment wrapText="1"/>
    </xf>
    <xf numFmtId="49" fontId="16" fillId="0" borderId="0" xfId="1" applyNumberFormat="1" applyFont="1" applyAlignment="1">
      <alignment wrapText="1"/>
    </xf>
    <xf numFmtId="49" fontId="19" fillId="0" borderId="8" xfId="1" applyNumberFormat="1" applyFont="1" applyBorder="1" applyAlignment="1">
      <alignment wrapText="1"/>
    </xf>
    <xf numFmtId="49" fontId="15" fillId="0" borderId="2" xfId="1" applyNumberFormat="1" applyFont="1" applyBorder="1" applyAlignment="1">
      <alignment horizontal="right" vertical="center" wrapText="1"/>
    </xf>
    <xf numFmtId="49" fontId="16" fillId="0" borderId="3" xfId="1" applyNumberFormat="1" applyFont="1" applyBorder="1" applyAlignment="1">
      <alignment wrapText="1"/>
    </xf>
    <xf numFmtId="164" fontId="6" fillId="0" borderId="8" xfId="0" applyNumberFormat="1" applyFont="1" applyFill="1" applyBorder="1" applyAlignment="1">
      <alignment horizontal="right"/>
    </xf>
    <xf numFmtId="0" fontId="0" fillId="0" borderId="0" xfId="0" applyFill="1" applyAlignment="1">
      <alignment horizontal="left"/>
    </xf>
    <xf numFmtId="49" fontId="12" fillId="0" borderId="0" xfId="0" applyNumberFormat="1" applyFont="1" applyFill="1"/>
    <xf numFmtId="49" fontId="8" fillId="3" borderId="9" xfId="0" applyNumberFormat="1" applyFont="1" applyFill="1" applyBorder="1" applyAlignment="1">
      <alignment wrapText="1"/>
    </xf>
    <xf numFmtId="0" fontId="8" fillId="3" borderId="9" xfId="0" applyFont="1" applyFill="1" applyBorder="1" applyAlignment="1">
      <alignment wrapText="1"/>
    </xf>
    <xf numFmtId="0" fontId="21" fillId="0" borderId="0" xfId="0" applyFont="1" applyFill="1"/>
    <xf numFmtId="0" fontId="22" fillId="0" borderId="0" xfId="0" applyFont="1" applyFill="1"/>
    <xf numFmtId="0" fontId="9" fillId="3" borderId="9" xfId="0" applyFont="1" applyFill="1" applyBorder="1" applyAlignment="1">
      <alignment wrapText="1"/>
    </xf>
    <xf numFmtId="49" fontId="0" fillId="0" borderId="0" xfId="0" applyNumberFormat="1" applyBorder="1" applyAlignment="1">
      <alignment horizontal="left" vertical="center" wrapText="1"/>
    </xf>
    <xf numFmtId="49" fontId="11" fillId="3" borderId="7" xfId="0" applyNumberFormat="1" applyFont="1" applyFill="1" applyBorder="1" applyAlignment="1">
      <alignment horizontal="left" vertical="center" wrapText="1"/>
    </xf>
    <xf numFmtId="49" fontId="6" fillId="0" borderId="0" xfId="0" applyNumberFormat="1" applyFont="1" applyFill="1" applyBorder="1" applyAlignment="1">
      <alignment horizontal="left" vertical="center" wrapText="1"/>
    </xf>
    <xf numFmtId="49" fontId="6" fillId="2" borderId="10" xfId="0" applyNumberFormat="1" applyFont="1" applyFill="1" applyBorder="1" applyAlignment="1">
      <alignment horizontal="left" vertical="center" wrapText="1"/>
    </xf>
    <xf numFmtId="49" fontId="5" fillId="0" borderId="11" xfId="0" applyNumberFormat="1" applyFont="1" applyFill="1" applyBorder="1" applyAlignment="1">
      <alignment horizontal="left" vertical="center" wrapText="1"/>
    </xf>
    <xf numFmtId="49" fontId="6" fillId="0" borderId="12" xfId="0" applyNumberFormat="1" applyFont="1" applyFill="1" applyBorder="1" applyAlignment="1">
      <alignment horizontal="left" vertical="center" wrapText="1"/>
    </xf>
    <xf numFmtId="49" fontId="6" fillId="0" borderId="13" xfId="0" applyNumberFormat="1" applyFont="1" applyFill="1" applyBorder="1" applyAlignment="1">
      <alignment horizontal="left" vertical="center" wrapText="1"/>
    </xf>
    <xf numFmtId="49" fontId="6" fillId="0" borderId="0" xfId="0" applyNumberFormat="1" applyFont="1" applyBorder="1" applyAlignment="1">
      <alignment horizontal="left" vertical="center" wrapText="1"/>
    </xf>
  </cellXfs>
  <cellStyles count="4">
    <cellStyle name="Followed Hyperlink" xfId="2" builtinId="9" hidden="1"/>
    <cellStyle name="Followed Hyperlink" xfId="3" builtinId="9" hidden="1"/>
    <cellStyle name="Normal" xfId="0" builtinId="0"/>
    <cellStyle name="Normal 2" xfId="1"/>
  </cellStyles>
  <dxfs count="9">
    <dxf>
      <font>
        <color rgb="FF9C0006"/>
      </font>
      <fill>
        <patternFill>
          <bgColor rgb="FFFFC7CE"/>
        </patternFill>
      </fill>
    </dxf>
    <dxf>
      <font>
        <b val="0"/>
        <i val="0"/>
      </font>
    </dxf>
    <dxf>
      <font>
        <condense val="0"/>
        <extend val="0"/>
        <color indexed="9"/>
      </font>
      <fill>
        <patternFill>
          <bgColor indexed="23"/>
        </patternFill>
      </fill>
    </dxf>
    <dxf>
      <font>
        <color rgb="FF006100"/>
      </font>
      <fill>
        <patternFill>
          <bgColor rgb="FFC6EFCE"/>
        </patternFill>
      </fill>
    </dxf>
    <dxf>
      <font>
        <color rgb="FF9C0006"/>
      </font>
      <fill>
        <patternFill>
          <bgColor rgb="FFFFC7CE"/>
        </patternFill>
      </fill>
    </dxf>
    <dxf>
      <font>
        <b val="0"/>
        <i val="0"/>
      </font>
    </dxf>
    <dxf>
      <font>
        <condense val="0"/>
        <extend val="0"/>
        <color indexed="9"/>
      </font>
      <fill>
        <patternFill>
          <bgColor indexed="23"/>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8"/>
      <tableStyleElement type="headerRow" dxfId="7"/>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tabSelected="1" workbookViewId="0"/>
  </sheetViews>
  <sheetFormatPr baseColWidth="10" defaultColWidth="11.5" defaultRowHeight="13" x14ac:dyDescent="0.15"/>
  <cols>
    <col min="1" max="1" width="3.33203125" style="5" customWidth="1"/>
    <col min="2" max="2" width="11.83203125" style="5" customWidth="1"/>
    <col min="3" max="3" width="23.5" style="5" customWidth="1"/>
    <col min="4" max="4" width="4.6640625" style="5" customWidth="1"/>
    <col min="5" max="5" width="105" style="43" bestFit="1" customWidth="1"/>
    <col min="6" max="6" width="54.6640625" style="5" customWidth="1"/>
    <col min="7" max="7" width="10.83203125" style="5" customWidth="1"/>
    <col min="8" max="16384" width="11.5" style="5"/>
  </cols>
  <sheetData>
    <row r="1" spans="1:6" ht="14" thickBot="1" x14ac:dyDescent="0.2"/>
    <row r="2" spans="1:6" s="7" customFormat="1" ht="19" thickBot="1" x14ac:dyDescent="0.25">
      <c r="B2" s="18" t="s">
        <v>7315</v>
      </c>
      <c r="C2" s="19"/>
      <c r="D2" s="19"/>
      <c r="E2" s="44"/>
      <c r="F2" s="6"/>
    </row>
    <row r="3" spans="1:6" ht="17" thickBot="1" x14ac:dyDescent="0.25">
      <c r="A3" s="11"/>
      <c r="B3" s="9"/>
      <c r="C3" s="9"/>
      <c r="D3" s="9"/>
      <c r="E3" s="45"/>
    </row>
    <row r="4" spans="1:6" ht="18" x14ac:dyDescent="0.2">
      <c r="A4" s="8"/>
      <c r="B4" s="16" t="s">
        <v>426</v>
      </c>
      <c r="C4" s="17">
        <v>1</v>
      </c>
      <c r="D4" s="9"/>
      <c r="E4" s="46" t="str">
        <f>CONCATENATE("Version ",C4)</f>
        <v>Version 1</v>
      </c>
    </row>
    <row r="5" spans="1:6" ht="16" x14ac:dyDescent="0.2">
      <c r="A5" s="9"/>
      <c r="B5" s="13" t="s">
        <v>1334</v>
      </c>
      <c r="C5" s="35">
        <v>42805</v>
      </c>
      <c r="D5" s="10"/>
      <c r="E5" s="47" t="s">
        <v>7316</v>
      </c>
    </row>
    <row r="6" spans="1:6" ht="17" thickBot="1" x14ac:dyDescent="0.25">
      <c r="A6" s="9"/>
      <c r="B6" s="14" t="s">
        <v>1335</v>
      </c>
      <c r="C6" s="15" t="s">
        <v>1332</v>
      </c>
      <c r="D6" s="12"/>
      <c r="E6" s="48" t="s">
        <v>10706</v>
      </c>
    </row>
    <row r="7" spans="1:6" ht="17" thickBot="1" x14ac:dyDescent="0.25">
      <c r="A7" s="9"/>
      <c r="B7" s="9"/>
      <c r="C7" s="9"/>
      <c r="D7" s="9"/>
      <c r="E7" s="49" t="s">
        <v>10707</v>
      </c>
    </row>
    <row r="8" spans="1:6" ht="17" thickBot="1" x14ac:dyDescent="0.25">
      <c r="A8" s="9"/>
      <c r="B8" s="9"/>
      <c r="C8" s="9"/>
      <c r="D8" s="9"/>
      <c r="E8" s="45"/>
    </row>
    <row r="9" spans="1:6" ht="16" x14ac:dyDescent="0.2">
      <c r="A9" s="11"/>
      <c r="B9" s="16" t="s">
        <v>426</v>
      </c>
      <c r="C9" s="17">
        <v>1.1000000000000001</v>
      </c>
      <c r="D9" s="9"/>
      <c r="E9" s="46" t="s">
        <v>10697</v>
      </c>
    </row>
    <row r="10" spans="1:6" ht="17" thickBot="1" x14ac:dyDescent="0.25">
      <c r="A10" s="11"/>
      <c r="B10" s="13" t="s">
        <v>1334</v>
      </c>
      <c r="C10" s="35">
        <v>42831</v>
      </c>
      <c r="D10" s="9"/>
      <c r="E10" s="49" t="s">
        <v>10705</v>
      </c>
    </row>
    <row r="11" spans="1:6" ht="16" x14ac:dyDescent="0.2">
      <c r="B11" s="25"/>
      <c r="C11" s="25"/>
      <c r="D11" s="25"/>
      <c r="E11" s="50"/>
    </row>
    <row r="12" spans="1:6" ht="17" thickBot="1" x14ac:dyDescent="0.25">
      <c r="B12" s="9"/>
      <c r="C12" s="9"/>
      <c r="D12" s="9"/>
      <c r="E12" s="45"/>
    </row>
    <row r="13" spans="1:6" ht="16" x14ac:dyDescent="0.2">
      <c r="B13" s="16" t="s">
        <v>426</v>
      </c>
      <c r="C13" s="17">
        <v>1.2</v>
      </c>
      <c r="D13" s="9"/>
      <c r="E13" s="46" t="s">
        <v>10704</v>
      </c>
    </row>
    <row r="14" spans="1:6" ht="17" thickBot="1" x14ac:dyDescent="0.25">
      <c r="B14" s="13" t="s">
        <v>1334</v>
      </c>
      <c r="C14" s="35">
        <v>42864</v>
      </c>
      <c r="D14" s="9"/>
      <c r="E14" s="49" t="s">
        <v>10708</v>
      </c>
    </row>
    <row r="15" spans="1:6" ht="16" x14ac:dyDescent="0.2">
      <c r="B15" s="25"/>
      <c r="C15" s="25"/>
      <c r="D15" s="25"/>
      <c r="E15" s="50"/>
    </row>
    <row r="16" spans="1:6" ht="17" thickBot="1" x14ac:dyDescent="0.25">
      <c r="B16" s="9"/>
      <c r="C16" s="9"/>
      <c r="D16" s="9"/>
      <c r="E16" s="45"/>
    </row>
    <row r="17" spans="2:5" ht="16" x14ac:dyDescent="0.2">
      <c r="B17" s="16" t="s">
        <v>426</v>
      </c>
      <c r="C17" s="17">
        <v>1.3</v>
      </c>
      <c r="D17" s="9"/>
      <c r="E17" s="46" t="s">
        <v>10709</v>
      </c>
    </row>
    <row r="18" spans="2:5" ht="33" thickBot="1" x14ac:dyDescent="0.25">
      <c r="B18" s="13" t="s">
        <v>1334</v>
      </c>
      <c r="C18" s="35">
        <v>42880</v>
      </c>
      <c r="D18" s="9"/>
      <c r="E18" s="49" t="s">
        <v>10710</v>
      </c>
    </row>
    <row r="19" spans="2:5" ht="16" x14ac:dyDescent="0.2">
      <c r="B19" s="25"/>
      <c r="C19" s="25"/>
      <c r="D19" s="25"/>
      <c r="E19" s="50"/>
    </row>
    <row r="20" spans="2:5" ht="16" x14ac:dyDescent="0.2">
      <c r="B20" s="25"/>
      <c r="C20" s="25"/>
      <c r="D20" s="25"/>
      <c r="E20" s="50"/>
    </row>
    <row r="21" spans="2:5" ht="16" x14ac:dyDescent="0.2">
      <c r="B21" s="25"/>
      <c r="C21" s="25"/>
      <c r="D21" s="25"/>
      <c r="E21" s="50"/>
    </row>
    <row r="22" spans="2:5" ht="16" x14ac:dyDescent="0.2">
      <c r="B22" s="25"/>
      <c r="C22" s="25"/>
      <c r="D22" s="25"/>
      <c r="E22" s="50"/>
    </row>
    <row r="23" spans="2:5" ht="16" x14ac:dyDescent="0.2">
      <c r="B23" s="25"/>
      <c r="C23" s="25"/>
      <c r="D23" s="25"/>
      <c r="E23" s="50"/>
    </row>
    <row r="24" spans="2:5" ht="16" x14ac:dyDescent="0.2">
      <c r="B24" s="25"/>
      <c r="C24" s="25"/>
      <c r="D24" s="25"/>
      <c r="E24" s="50"/>
    </row>
  </sheetData>
  <phoneticPr fontId="3"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baseColWidth="10" defaultColWidth="10.83203125" defaultRowHeight="16" x14ac:dyDescent="0.2"/>
  <cols>
    <col min="1" max="1" width="38.5" style="31" customWidth="1"/>
    <col min="2" max="2" width="59.6640625" style="31" customWidth="1"/>
    <col min="3" max="16384" width="10.83203125" style="31"/>
  </cols>
  <sheetData>
    <row r="1" spans="1:2" s="28" customFormat="1" ht="18" x14ac:dyDescent="0.2">
      <c r="A1" s="26" t="s">
        <v>7302</v>
      </c>
      <c r="B1" s="27" t="s">
        <v>7303</v>
      </c>
    </row>
    <row r="2" spans="1:2" s="28" customFormat="1" ht="18" x14ac:dyDescent="0.2">
      <c r="A2" s="29" t="s">
        <v>10698</v>
      </c>
      <c r="B2" s="30" t="s">
        <v>10699</v>
      </c>
    </row>
    <row r="3" spans="1:2" ht="64" x14ac:dyDescent="0.2">
      <c r="A3" s="29" t="s">
        <v>1070</v>
      </c>
      <c r="B3" s="30" t="s">
        <v>10700</v>
      </c>
    </row>
    <row r="4" spans="1:2" ht="64" x14ac:dyDescent="0.2">
      <c r="A4" s="29" t="s">
        <v>1903</v>
      </c>
      <c r="B4" s="30" t="s">
        <v>10701</v>
      </c>
    </row>
    <row r="5" spans="1:2" ht="64" x14ac:dyDescent="0.2">
      <c r="A5" s="29" t="s">
        <v>1904</v>
      </c>
      <c r="B5" s="30" t="s">
        <v>10702</v>
      </c>
    </row>
    <row r="6" spans="1:2" ht="48" x14ac:dyDescent="0.2">
      <c r="A6" s="29" t="s">
        <v>1905</v>
      </c>
      <c r="B6" s="30" t="s">
        <v>7304</v>
      </c>
    </row>
    <row r="7" spans="1:2" ht="80" x14ac:dyDescent="0.2">
      <c r="A7" s="29" t="s">
        <v>1906</v>
      </c>
      <c r="B7" s="30" t="s">
        <v>7305</v>
      </c>
    </row>
    <row r="8" spans="1:2" ht="64" x14ac:dyDescent="0.2">
      <c r="A8" s="29" t="s">
        <v>3237</v>
      </c>
      <c r="B8" s="30" t="s">
        <v>7306</v>
      </c>
    </row>
    <row r="9" spans="1:2" ht="48" x14ac:dyDescent="0.2">
      <c r="A9" s="29" t="s">
        <v>7307</v>
      </c>
      <c r="B9" s="30" t="s">
        <v>7308</v>
      </c>
    </row>
    <row r="10" spans="1:2" ht="32" x14ac:dyDescent="0.2">
      <c r="A10" s="29" t="s">
        <v>3235</v>
      </c>
      <c r="B10" s="32" t="s">
        <v>7309</v>
      </c>
    </row>
    <row r="11" spans="1:2" ht="224" x14ac:dyDescent="0.2">
      <c r="A11" s="29" t="s">
        <v>3236</v>
      </c>
      <c r="B11" s="30" t="s">
        <v>7310</v>
      </c>
    </row>
    <row r="12" spans="1:2" ht="176" x14ac:dyDescent="0.2">
      <c r="A12" s="29" t="s">
        <v>3239</v>
      </c>
      <c r="B12" s="30" t="s">
        <v>7311</v>
      </c>
    </row>
    <row r="13" spans="1:2" ht="64" x14ac:dyDescent="0.2">
      <c r="A13" s="29" t="s">
        <v>7314</v>
      </c>
      <c r="B13" s="30" t="s">
        <v>7312</v>
      </c>
    </row>
    <row r="14" spans="1:2" ht="64" x14ac:dyDescent="0.2">
      <c r="A14" s="29" t="s">
        <v>2852</v>
      </c>
      <c r="B14" s="30" t="s">
        <v>10703</v>
      </c>
    </row>
    <row r="15" spans="1:2" ht="49" thickBot="1" x14ac:dyDescent="0.25">
      <c r="A15" s="33" t="s">
        <v>3238</v>
      </c>
      <c r="B15" s="34" t="s">
        <v>7313</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4405"/>
  <sheetViews>
    <sheetView zoomScale="110" zoomScaleNormal="110" zoomScalePageLayoutView="110" workbookViewId="0">
      <pane ySplit="1" topLeftCell="A2" activePane="bottomLeft" state="frozen"/>
      <selection pane="bottomLeft" activeCell="A2" sqref="A2"/>
    </sheetView>
  </sheetViews>
  <sheetFormatPr baseColWidth="10" defaultColWidth="8.83203125" defaultRowHeight="13" x14ac:dyDescent="0.15"/>
  <cols>
    <col min="1" max="1" width="8.83203125" style="1"/>
    <col min="2" max="2" width="15.83203125" style="1" bestFit="1" customWidth="1"/>
    <col min="3" max="3" width="18.83203125" style="1" bestFit="1" customWidth="1"/>
    <col min="4" max="4" width="19.6640625" style="1" bestFit="1" customWidth="1"/>
    <col min="5" max="5" width="24" style="1" bestFit="1" customWidth="1"/>
    <col min="6" max="6" width="47.6640625" style="1" customWidth="1"/>
    <col min="7" max="7" width="9.1640625" style="3" bestFit="1" customWidth="1"/>
    <col min="8" max="8" width="29.6640625" style="20" customWidth="1"/>
    <col min="9" max="9" width="28.83203125" style="20" customWidth="1"/>
    <col min="10" max="10" width="13.33203125" style="20" bestFit="1" customWidth="1"/>
    <col min="11" max="11" width="14.83203125" style="20" bestFit="1" customWidth="1"/>
    <col min="12" max="12" width="10.33203125" style="3" customWidth="1"/>
    <col min="13" max="13" width="36.5" style="3" customWidth="1"/>
    <col min="14" max="14" width="20" style="3" bestFit="1" customWidth="1"/>
    <col min="15" max="16384" width="8.83203125" style="1"/>
  </cols>
  <sheetData>
    <row r="1" spans="1:14" s="24" customFormat="1" ht="39" x14ac:dyDescent="0.15">
      <c r="A1" s="42" t="s">
        <v>10698</v>
      </c>
      <c r="B1" s="42" t="s">
        <v>1070</v>
      </c>
      <c r="C1" s="42" t="s">
        <v>1903</v>
      </c>
      <c r="D1" s="42" t="s">
        <v>1904</v>
      </c>
      <c r="E1" s="42" t="s">
        <v>1905</v>
      </c>
      <c r="F1" s="42" t="s">
        <v>1906</v>
      </c>
      <c r="G1" s="42" t="s">
        <v>3237</v>
      </c>
      <c r="H1" s="38" t="s">
        <v>3234</v>
      </c>
      <c r="I1" s="38" t="s">
        <v>3235</v>
      </c>
      <c r="J1" s="38" t="s">
        <v>3236</v>
      </c>
      <c r="K1" s="39" t="s">
        <v>3239</v>
      </c>
      <c r="L1" s="39" t="s">
        <v>7314</v>
      </c>
      <c r="M1" s="39" t="s">
        <v>2852</v>
      </c>
      <c r="N1" s="39" t="s">
        <v>3238</v>
      </c>
    </row>
    <row r="2" spans="1:14" x14ac:dyDescent="0.15">
      <c r="A2" s="3">
        <v>1</v>
      </c>
      <c r="B2" s="1" t="s">
        <v>7449</v>
      </c>
      <c r="C2" s="1" t="s">
        <v>7561</v>
      </c>
      <c r="E2" s="1" t="s">
        <v>7562</v>
      </c>
      <c r="F2" s="1" t="s">
        <v>7563</v>
      </c>
      <c r="G2" s="3">
        <v>1</v>
      </c>
      <c r="H2" s="20" t="s">
        <v>7564</v>
      </c>
      <c r="I2" s="20" t="s">
        <v>7565</v>
      </c>
      <c r="J2" s="20" t="s">
        <v>3149</v>
      </c>
      <c r="K2" s="20" t="s">
        <v>10013</v>
      </c>
      <c r="L2" s="3">
        <v>31</v>
      </c>
      <c r="M2" s="3" t="s">
        <v>10443</v>
      </c>
      <c r="N2" s="3" t="str">
        <f>HYPERLINK("http://ictvonline.org/taxonomyHistory.asp?taxnode_id=20164769","ICTVonline=20164769")</f>
        <v>ICTVonline=20164769</v>
      </c>
    </row>
    <row r="3" spans="1:14" x14ac:dyDescent="0.15">
      <c r="A3" s="3">
        <v>2</v>
      </c>
      <c r="B3" s="1" t="s">
        <v>7449</v>
      </c>
      <c r="C3" s="1" t="s">
        <v>7450</v>
      </c>
      <c r="E3" s="1" t="s">
        <v>563</v>
      </c>
      <c r="F3" s="1" t="s">
        <v>7566</v>
      </c>
      <c r="G3" s="3">
        <v>0</v>
      </c>
      <c r="H3" s="20" t="s">
        <v>7567</v>
      </c>
      <c r="I3" s="20" t="s">
        <v>7568</v>
      </c>
      <c r="J3" s="20" t="s">
        <v>3149</v>
      </c>
      <c r="K3" s="20" t="s">
        <v>10013</v>
      </c>
      <c r="L3" s="3">
        <v>31</v>
      </c>
      <c r="M3" s="3" t="s">
        <v>7569</v>
      </c>
      <c r="N3" s="3" t="str">
        <f>HYPERLINK("http://ictvonline.org/taxonomyHistory.asp?taxnode_id=20164770","ICTVonline=20164770")</f>
        <v>ICTVonline=20164770</v>
      </c>
    </row>
    <row r="4" spans="1:14" x14ac:dyDescent="0.15">
      <c r="A4" s="3">
        <v>3</v>
      </c>
      <c r="B4" s="1" t="s">
        <v>7449</v>
      </c>
      <c r="C4" s="1" t="s">
        <v>7450</v>
      </c>
      <c r="E4" s="1" t="s">
        <v>563</v>
      </c>
      <c r="F4" s="1" t="s">
        <v>7317</v>
      </c>
      <c r="G4" s="3">
        <v>1</v>
      </c>
      <c r="H4" s="20" t="s">
        <v>10444</v>
      </c>
      <c r="I4" s="20" t="s">
        <v>6306</v>
      </c>
      <c r="J4" s="20" t="s">
        <v>3149</v>
      </c>
      <c r="K4" s="20" t="s">
        <v>10014</v>
      </c>
      <c r="L4" s="3">
        <v>31</v>
      </c>
      <c r="M4" s="3" t="s">
        <v>10015</v>
      </c>
      <c r="N4" s="3" t="str">
        <f>HYPERLINK("http://ictvonline.org/taxonomyHistory.asp?taxnode_id=20164483","ICTVonline=20164483")</f>
        <v>ICTVonline=20164483</v>
      </c>
    </row>
    <row r="5" spans="1:14" x14ac:dyDescent="0.15">
      <c r="A5" s="3">
        <v>4</v>
      </c>
      <c r="B5" s="1" t="s">
        <v>7449</v>
      </c>
      <c r="C5" s="1" t="s">
        <v>7450</v>
      </c>
      <c r="E5" s="1" t="s">
        <v>563</v>
      </c>
      <c r="F5" s="1" t="s">
        <v>7318</v>
      </c>
      <c r="G5" s="3">
        <v>0</v>
      </c>
      <c r="H5" s="20" t="s">
        <v>10445</v>
      </c>
      <c r="I5" s="20" t="s">
        <v>6307</v>
      </c>
      <c r="J5" s="20" t="s">
        <v>3149</v>
      </c>
      <c r="K5" s="20" t="s">
        <v>10014</v>
      </c>
      <c r="L5" s="3">
        <v>31</v>
      </c>
      <c r="M5" s="3" t="s">
        <v>10015</v>
      </c>
      <c r="N5" s="3" t="str">
        <f>HYPERLINK("http://ictvonline.org/taxonomyHistory.asp?taxnode_id=20164484","ICTVonline=20164484")</f>
        <v>ICTVonline=20164484</v>
      </c>
    </row>
    <row r="6" spans="1:14" x14ac:dyDescent="0.15">
      <c r="A6" s="3">
        <v>5</v>
      </c>
      <c r="B6" s="1" t="s">
        <v>7449</v>
      </c>
      <c r="C6" s="1" t="s">
        <v>7450</v>
      </c>
      <c r="E6" s="1" t="s">
        <v>563</v>
      </c>
      <c r="F6" s="1" t="s">
        <v>7319</v>
      </c>
      <c r="G6" s="3">
        <v>0</v>
      </c>
      <c r="H6" s="20" t="s">
        <v>10446</v>
      </c>
      <c r="I6" s="20" t="s">
        <v>10447</v>
      </c>
      <c r="J6" s="20" t="s">
        <v>3149</v>
      </c>
      <c r="K6" s="20" t="s">
        <v>10014</v>
      </c>
      <c r="L6" s="3">
        <v>31</v>
      </c>
      <c r="M6" s="3" t="s">
        <v>10015</v>
      </c>
      <c r="N6" s="3" t="str">
        <f>HYPERLINK("http://ictvonline.org/taxonomyHistory.asp?taxnode_id=20164485","ICTVonline=20164485")</f>
        <v>ICTVonline=20164485</v>
      </c>
    </row>
    <row r="7" spans="1:14" x14ac:dyDescent="0.15">
      <c r="A7" s="3">
        <v>6</v>
      </c>
      <c r="B7" s="1" t="s">
        <v>7449</v>
      </c>
      <c r="C7" s="1" t="s">
        <v>7450</v>
      </c>
      <c r="E7" s="1" t="s">
        <v>563</v>
      </c>
      <c r="F7" s="1" t="s">
        <v>7320</v>
      </c>
      <c r="G7" s="3">
        <v>0</v>
      </c>
      <c r="H7" s="20" t="s">
        <v>10448</v>
      </c>
      <c r="I7" s="20" t="s">
        <v>6308</v>
      </c>
      <c r="J7" s="20" t="s">
        <v>3149</v>
      </c>
      <c r="K7" s="20" t="s">
        <v>10014</v>
      </c>
      <c r="L7" s="3">
        <v>31</v>
      </c>
      <c r="M7" s="3" t="s">
        <v>10015</v>
      </c>
      <c r="N7" s="3" t="str">
        <f>HYPERLINK("http://ictvonline.org/taxonomyHistory.asp?taxnode_id=20164486","ICTVonline=20164486")</f>
        <v>ICTVonline=20164486</v>
      </c>
    </row>
    <row r="8" spans="1:14" x14ac:dyDescent="0.15">
      <c r="A8" s="3">
        <v>7</v>
      </c>
      <c r="B8" s="1" t="s">
        <v>7449</v>
      </c>
      <c r="C8" s="1" t="s">
        <v>7450</v>
      </c>
      <c r="E8" s="1" t="s">
        <v>563</v>
      </c>
      <c r="F8" s="1" t="s">
        <v>7570</v>
      </c>
      <c r="G8" s="3">
        <v>0</v>
      </c>
      <c r="H8" s="20" t="s">
        <v>7571</v>
      </c>
      <c r="I8" s="20" t="s">
        <v>7572</v>
      </c>
      <c r="J8" s="20" t="s">
        <v>3149</v>
      </c>
      <c r="K8" s="20" t="s">
        <v>10013</v>
      </c>
      <c r="L8" s="3">
        <v>31</v>
      </c>
      <c r="M8" s="3" t="s">
        <v>7573</v>
      </c>
      <c r="N8" s="3" t="str">
        <f>HYPERLINK("http://ictvonline.org/taxonomyHistory.asp?taxnode_id=20164771","ICTVonline=20164771")</f>
        <v>ICTVonline=20164771</v>
      </c>
    </row>
    <row r="9" spans="1:14" x14ac:dyDescent="0.15">
      <c r="A9" s="3">
        <v>8</v>
      </c>
      <c r="B9" s="1" t="s">
        <v>7449</v>
      </c>
      <c r="C9" s="1" t="s">
        <v>7450</v>
      </c>
      <c r="E9" s="1" t="s">
        <v>563</v>
      </c>
      <c r="F9" s="1" t="s">
        <v>7321</v>
      </c>
      <c r="G9" s="3">
        <v>0</v>
      </c>
      <c r="H9" s="20" t="s">
        <v>10449</v>
      </c>
      <c r="I9" s="20" t="s">
        <v>6309</v>
      </c>
      <c r="J9" s="20" t="s">
        <v>3149</v>
      </c>
      <c r="K9" s="20" t="s">
        <v>10014</v>
      </c>
      <c r="L9" s="3">
        <v>31</v>
      </c>
      <c r="M9" s="3" t="s">
        <v>10015</v>
      </c>
      <c r="N9" s="3" t="str">
        <f>HYPERLINK("http://ictvonline.org/taxonomyHistory.asp?taxnode_id=20164487","ICTVonline=20164487")</f>
        <v>ICTVonline=20164487</v>
      </c>
    </row>
    <row r="10" spans="1:14" x14ac:dyDescent="0.15">
      <c r="A10" s="3">
        <v>9</v>
      </c>
      <c r="B10" s="1" t="s">
        <v>7449</v>
      </c>
      <c r="C10" s="1" t="s">
        <v>7450</v>
      </c>
      <c r="E10" s="1" t="s">
        <v>563</v>
      </c>
      <c r="F10" s="1" t="s">
        <v>7574</v>
      </c>
      <c r="G10" s="3">
        <v>0</v>
      </c>
      <c r="H10" s="20" t="s">
        <v>7575</v>
      </c>
      <c r="I10" s="20" t="s">
        <v>7576</v>
      </c>
      <c r="J10" s="20" t="s">
        <v>3149</v>
      </c>
      <c r="K10" s="20" t="s">
        <v>10013</v>
      </c>
      <c r="L10" s="3">
        <v>31</v>
      </c>
      <c r="M10" s="3" t="s">
        <v>7577</v>
      </c>
      <c r="N10" s="3" t="str">
        <f>HYPERLINK("http://ictvonline.org/taxonomyHistory.asp?taxnode_id=20164772","ICTVonline=20164772")</f>
        <v>ICTVonline=20164772</v>
      </c>
    </row>
    <row r="11" spans="1:14" x14ac:dyDescent="0.15">
      <c r="A11" s="3">
        <v>10</v>
      </c>
      <c r="B11" s="1" t="s">
        <v>7449</v>
      </c>
      <c r="C11" s="1" t="s">
        <v>7450</v>
      </c>
      <c r="E11" s="1" t="s">
        <v>563</v>
      </c>
      <c r="F11" s="1" t="s">
        <v>7322</v>
      </c>
      <c r="G11" s="3">
        <v>0</v>
      </c>
      <c r="H11" s="20" t="s">
        <v>10450</v>
      </c>
      <c r="I11" s="20" t="s">
        <v>6310</v>
      </c>
      <c r="J11" s="20" t="s">
        <v>3149</v>
      </c>
      <c r="K11" s="20" t="s">
        <v>10014</v>
      </c>
      <c r="L11" s="3">
        <v>31</v>
      </c>
      <c r="M11" s="3" t="s">
        <v>10015</v>
      </c>
      <c r="N11" s="3" t="str">
        <f>HYPERLINK("http://ictvonline.org/taxonomyHistory.asp?taxnode_id=20164488","ICTVonline=20164488")</f>
        <v>ICTVonline=20164488</v>
      </c>
    </row>
    <row r="12" spans="1:14" x14ac:dyDescent="0.15">
      <c r="A12" s="3">
        <v>11</v>
      </c>
      <c r="B12" s="1" t="s">
        <v>7449</v>
      </c>
      <c r="C12" s="1" t="s">
        <v>7451</v>
      </c>
      <c r="E12" s="1" t="s">
        <v>7452</v>
      </c>
      <c r="F12" s="1" t="s">
        <v>7578</v>
      </c>
      <c r="G12" s="3">
        <v>0</v>
      </c>
      <c r="H12" s="20" t="s">
        <v>7579</v>
      </c>
      <c r="I12" s="20" t="s">
        <v>7580</v>
      </c>
      <c r="J12" s="20" t="s">
        <v>3149</v>
      </c>
      <c r="K12" s="20" t="s">
        <v>10013</v>
      </c>
      <c r="L12" s="3">
        <v>31</v>
      </c>
      <c r="M12" s="3" t="s">
        <v>7581</v>
      </c>
      <c r="N12" s="3" t="str">
        <f>HYPERLINK("http://ictvonline.org/taxonomyHistory.asp?taxnode_id=20164773","ICTVonline=20164773")</f>
        <v>ICTVonline=20164773</v>
      </c>
    </row>
    <row r="13" spans="1:14" x14ac:dyDescent="0.15">
      <c r="A13" s="3">
        <v>12</v>
      </c>
      <c r="B13" s="1" t="s">
        <v>7449</v>
      </c>
      <c r="C13" s="1" t="s">
        <v>7451</v>
      </c>
      <c r="E13" s="1" t="s">
        <v>7452</v>
      </c>
      <c r="F13" s="1" t="s">
        <v>7323</v>
      </c>
      <c r="G13" s="3">
        <v>0</v>
      </c>
      <c r="I13" s="20" t="s">
        <v>6447</v>
      </c>
      <c r="J13" s="20" t="s">
        <v>3149</v>
      </c>
      <c r="K13" s="20" t="s">
        <v>10014</v>
      </c>
      <c r="L13" s="3">
        <v>31</v>
      </c>
      <c r="M13" s="3" t="s">
        <v>10015</v>
      </c>
      <c r="N13" s="3" t="str">
        <f>HYPERLINK("http://ictvonline.org/taxonomyHistory.asp?taxnode_id=20162090","ICTVonline=20162090")</f>
        <v>ICTVonline=20162090</v>
      </c>
    </row>
    <row r="14" spans="1:14" x14ac:dyDescent="0.15">
      <c r="A14" s="3">
        <v>13</v>
      </c>
      <c r="B14" s="1" t="s">
        <v>7449</v>
      </c>
      <c r="C14" s="1" t="s">
        <v>7451</v>
      </c>
      <c r="E14" s="1" t="s">
        <v>7452</v>
      </c>
      <c r="F14" s="1" t="s">
        <v>7582</v>
      </c>
      <c r="G14" s="3">
        <v>0</v>
      </c>
      <c r="H14" s="20" t="s">
        <v>7583</v>
      </c>
      <c r="I14" s="20" t="s">
        <v>7584</v>
      </c>
      <c r="J14" s="20" t="s">
        <v>3149</v>
      </c>
      <c r="K14" s="20" t="s">
        <v>10013</v>
      </c>
      <c r="L14" s="3">
        <v>31</v>
      </c>
      <c r="M14" s="3" t="s">
        <v>7581</v>
      </c>
      <c r="N14" s="3" t="str">
        <f>HYPERLINK("http://ictvonline.org/taxonomyHistory.asp?taxnode_id=20164774","ICTVonline=20164774")</f>
        <v>ICTVonline=20164774</v>
      </c>
    </row>
    <row r="15" spans="1:14" x14ac:dyDescent="0.15">
      <c r="A15" s="3">
        <v>14</v>
      </c>
      <c r="B15" s="1" t="s">
        <v>7449</v>
      </c>
      <c r="C15" s="1" t="s">
        <v>7451</v>
      </c>
      <c r="E15" s="1" t="s">
        <v>7452</v>
      </c>
      <c r="F15" s="1" t="s">
        <v>7585</v>
      </c>
      <c r="G15" s="3">
        <v>0</v>
      </c>
      <c r="H15" s="20" t="s">
        <v>7586</v>
      </c>
      <c r="I15" s="20" t="s">
        <v>7587</v>
      </c>
      <c r="J15" s="20" t="s">
        <v>3149</v>
      </c>
      <c r="K15" s="20" t="s">
        <v>10013</v>
      </c>
      <c r="L15" s="3">
        <v>31</v>
      </c>
      <c r="M15" s="3" t="s">
        <v>7581</v>
      </c>
      <c r="N15" s="3" t="str">
        <f>HYPERLINK("http://ictvonline.org/taxonomyHistory.asp?taxnode_id=20164775","ICTVonline=20164775")</f>
        <v>ICTVonline=20164775</v>
      </c>
    </row>
    <row r="16" spans="1:14" x14ac:dyDescent="0.15">
      <c r="A16" s="3">
        <v>15</v>
      </c>
      <c r="B16" s="1" t="s">
        <v>7449</v>
      </c>
      <c r="C16" s="1" t="s">
        <v>7451</v>
      </c>
      <c r="E16" s="1" t="s">
        <v>7452</v>
      </c>
      <c r="F16" s="1" t="s">
        <v>7324</v>
      </c>
      <c r="G16" s="3">
        <v>0</v>
      </c>
      <c r="I16" s="20" t="s">
        <v>4983</v>
      </c>
      <c r="J16" s="20" t="s">
        <v>3149</v>
      </c>
      <c r="K16" s="20" t="s">
        <v>10014</v>
      </c>
      <c r="L16" s="3">
        <v>31</v>
      </c>
      <c r="M16" s="3" t="s">
        <v>10015</v>
      </c>
      <c r="N16" s="3" t="str">
        <f>HYPERLINK("http://ictvonline.org/taxonomyHistory.asp?taxnode_id=20162091","ICTVonline=20162091")</f>
        <v>ICTVonline=20162091</v>
      </c>
    </row>
    <row r="17" spans="1:14" x14ac:dyDescent="0.15">
      <c r="A17" s="3">
        <v>16</v>
      </c>
      <c r="B17" s="1" t="s">
        <v>7449</v>
      </c>
      <c r="C17" s="1" t="s">
        <v>7451</v>
      </c>
      <c r="E17" s="1" t="s">
        <v>7452</v>
      </c>
      <c r="F17" s="1" t="s">
        <v>7325</v>
      </c>
      <c r="G17" s="3">
        <v>0</v>
      </c>
      <c r="I17" s="20" t="s">
        <v>4984</v>
      </c>
      <c r="J17" s="20" t="s">
        <v>3149</v>
      </c>
      <c r="K17" s="20" t="s">
        <v>10014</v>
      </c>
      <c r="L17" s="3">
        <v>31</v>
      </c>
      <c r="M17" s="3" t="s">
        <v>10015</v>
      </c>
      <c r="N17" s="3" t="str">
        <f>HYPERLINK("http://ictvonline.org/taxonomyHistory.asp?taxnode_id=20162092","ICTVonline=20162092")</f>
        <v>ICTVonline=20162092</v>
      </c>
    </row>
    <row r="18" spans="1:14" x14ac:dyDescent="0.15">
      <c r="A18" s="3">
        <v>17</v>
      </c>
      <c r="B18" s="1" t="s">
        <v>7449</v>
      </c>
      <c r="C18" s="1" t="s">
        <v>7451</v>
      </c>
      <c r="E18" s="1" t="s">
        <v>7452</v>
      </c>
      <c r="F18" s="1" t="s">
        <v>7588</v>
      </c>
      <c r="G18" s="3">
        <v>0</v>
      </c>
      <c r="H18" s="20" t="s">
        <v>7589</v>
      </c>
      <c r="I18" s="20" t="s">
        <v>7590</v>
      </c>
      <c r="J18" s="20" t="s">
        <v>3149</v>
      </c>
      <c r="K18" s="20" t="s">
        <v>10013</v>
      </c>
      <c r="L18" s="3">
        <v>31</v>
      </c>
      <c r="M18" s="3" t="s">
        <v>7581</v>
      </c>
      <c r="N18" s="3" t="str">
        <f>HYPERLINK("http://ictvonline.org/taxonomyHistory.asp?taxnode_id=20164776","ICTVonline=20164776")</f>
        <v>ICTVonline=20164776</v>
      </c>
    </row>
    <row r="19" spans="1:14" x14ac:dyDescent="0.15">
      <c r="A19" s="3">
        <v>18</v>
      </c>
      <c r="B19" s="1" t="s">
        <v>7449</v>
      </c>
      <c r="C19" s="1" t="s">
        <v>7451</v>
      </c>
      <c r="E19" s="1" t="s">
        <v>7452</v>
      </c>
      <c r="F19" s="1" t="s">
        <v>7591</v>
      </c>
      <c r="G19" s="3">
        <v>0</v>
      </c>
      <c r="H19" s="20" t="s">
        <v>7592</v>
      </c>
      <c r="I19" s="20" t="s">
        <v>7593</v>
      </c>
      <c r="J19" s="20" t="s">
        <v>3149</v>
      </c>
      <c r="K19" s="20" t="s">
        <v>10013</v>
      </c>
      <c r="L19" s="3">
        <v>31</v>
      </c>
      <c r="M19" s="3" t="s">
        <v>7581</v>
      </c>
      <c r="N19" s="3" t="str">
        <f>HYPERLINK("http://ictvonline.org/taxonomyHistory.asp?taxnode_id=20164777","ICTVonline=20164777")</f>
        <v>ICTVonline=20164777</v>
      </c>
    </row>
    <row r="20" spans="1:14" x14ac:dyDescent="0.15">
      <c r="A20" s="3">
        <v>19</v>
      </c>
      <c r="B20" s="1" t="s">
        <v>7449</v>
      </c>
      <c r="C20" s="1" t="s">
        <v>7451</v>
      </c>
      <c r="E20" s="1" t="s">
        <v>7452</v>
      </c>
      <c r="F20" s="1" t="s">
        <v>7326</v>
      </c>
      <c r="G20" s="3">
        <v>0</v>
      </c>
      <c r="I20" s="20" t="s">
        <v>6448</v>
      </c>
      <c r="J20" s="20" t="s">
        <v>3149</v>
      </c>
      <c r="K20" s="20" t="s">
        <v>10014</v>
      </c>
      <c r="L20" s="3">
        <v>31</v>
      </c>
      <c r="M20" s="3" t="s">
        <v>10015</v>
      </c>
      <c r="N20" s="3" t="str">
        <f>HYPERLINK("http://ictvonline.org/taxonomyHistory.asp?taxnode_id=20162093","ICTVonline=20162093")</f>
        <v>ICTVonline=20162093</v>
      </c>
    </row>
    <row r="21" spans="1:14" x14ac:dyDescent="0.15">
      <c r="A21" s="3">
        <v>20</v>
      </c>
      <c r="B21" s="1" t="s">
        <v>7449</v>
      </c>
      <c r="C21" s="1" t="s">
        <v>7451</v>
      </c>
      <c r="E21" s="1" t="s">
        <v>7452</v>
      </c>
      <c r="F21" s="1" t="s">
        <v>7594</v>
      </c>
      <c r="G21" s="3">
        <v>0</v>
      </c>
      <c r="H21" s="20" t="s">
        <v>7595</v>
      </c>
      <c r="I21" s="20" t="s">
        <v>7596</v>
      </c>
      <c r="J21" s="20" t="s">
        <v>3149</v>
      </c>
      <c r="K21" s="20" t="s">
        <v>10013</v>
      </c>
      <c r="L21" s="3">
        <v>31</v>
      </c>
      <c r="M21" s="3" t="s">
        <v>7581</v>
      </c>
      <c r="N21" s="3" t="str">
        <f>HYPERLINK("http://ictvonline.org/taxonomyHistory.asp?taxnode_id=20164778","ICTVonline=20164778")</f>
        <v>ICTVonline=20164778</v>
      </c>
    </row>
    <row r="22" spans="1:14" x14ac:dyDescent="0.15">
      <c r="A22" s="3">
        <v>21</v>
      </c>
      <c r="B22" s="1" t="s">
        <v>7449</v>
      </c>
      <c r="C22" s="1" t="s">
        <v>7451</v>
      </c>
      <c r="E22" s="1" t="s">
        <v>7452</v>
      </c>
      <c r="F22" s="1" t="s">
        <v>7597</v>
      </c>
      <c r="G22" s="3">
        <v>0</v>
      </c>
      <c r="H22" s="20" t="s">
        <v>7598</v>
      </c>
      <c r="I22" s="20" t="s">
        <v>7599</v>
      </c>
      <c r="J22" s="20" t="s">
        <v>3149</v>
      </c>
      <c r="K22" s="20" t="s">
        <v>10013</v>
      </c>
      <c r="L22" s="3">
        <v>31</v>
      </c>
      <c r="M22" s="3" t="s">
        <v>7581</v>
      </c>
      <c r="N22" s="3" t="str">
        <f>HYPERLINK("http://ictvonline.org/taxonomyHistory.asp?taxnode_id=20164779","ICTVonline=20164779")</f>
        <v>ICTVonline=20164779</v>
      </c>
    </row>
    <row r="23" spans="1:14" x14ac:dyDescent="0.15">
      <c r="A23" s="3">
        <v>22</v>
      </c>
      <c r="B23" s="1" t="s">
        <v>7449</v>
      </c>
      <c r="C23" s="1" t="s">
        <v>7451</v>
      </c>
      <c r="E23" s="1" t="s">
        <v>7452</v>
      </c>
      <c r="F23" s="1" t="s">
        <v>7600</v>
      </c>
      <c r="G23" s="3">
        <v>0</v>
      </c>
      <c r="H23" s="20" t="s">
        <v>7601</v>
      </c>
      <c r="I23" s="20" t="s">
        <v>7602</v>
      </c>
      <c r="J23" s="20" t="s">
        <v>3149</v>
      </c>
      <c r="K23" s="20" t="s">
        <v>10013</v>
      </c>
      <c r="L23" s="3">
        <v>31</v>
      </c>
      <c r="M23" s="3" t="s">
        <v>7581</v>
      </c>
      <c r="N23" s="3" t="str">
        <f>HYPERLINK("http://ictvonline.org/taxonomyHistory.asp?taxnode_id=20164780","ICTVonline=20164780")</f>
        <v>ICTVonline=20164780</v>
      </c>
    </row>
    <row r="24" spans="1:14" x14ac:dyDescent="0.15">
      <c r="A24" s="3">
        <v>23</v>
      </c>
      <c r="B24" s="1" t="s">
        <v>7449</v>
      </c>
      <c r="C24" s="1" t="s">
        <v>7451</v>
      </c>
      <c r="E24" s="1" t="s">
        <v>7452</v>
      </c>
      <c r="F24" s="1" t="s">
        <v>7327</v>
      </c>
      <c r="G24" s="3">
        <v>0</v>
      </c>
      <c r="I24" s="20" t="s">
        <v>4985</v>
      </c>
      <c r="J24" s="20" t="s">
        <v>3149</v>
      </c>
      <c r="K24" s="20" t="s">
        <v>10014</v>
      </c>
      <c r="L24" s="3">
        <v>31</v>
      </c>
      <c r="M24" s="3" t="s">
        <v>10015</v>
      </c>
      <c r="N24" s="3" t="str">
        <f>HYPERLINK("http://ictvonline.org/taxonomyHistory.asp?taxnode_id=20162094","ICTVonline=20162094")</f>
        <v>ICTVonline=20162094</v>
      </c>
    </row>
    <row r="25" spans="1:14" x14ac:dyDescent="0.15">
      <c r="A25" s="3">
        <v>24</v>
      </c>
      <c r="B25" s="1" t="s">
        <v>7449</v>
      </c>
      <c r="C25" s="1" t="s">
        <v>7451</v>
      </c>
      <c r="E25" s="1" t="s">
        <v>7452</v>
      </c>
      <c r="F25" s="1" t="s">
        <v>7328</v>
      </c>
      <c r="G25" s="3">
        <v>0</v>
      </c>
      <c r="I25" s="20" t="s">
        <v>4986</v>
      </c>
      <c r="J25" s="20" t="s">
        <v>3149</v>
      </c>
      <c r="K25" s="20" t="s">
        <v>10014</v>
      </c>
      <c r="L25" s="3">
        <v>31</v>
      </c>
      <c r="M25" s="3" t="s">
        <v>10015</v>
      </c>
      <c r="N25" s="3" t="str">
        <f>HYPERLINK("http://ictvonline.org/taxonomyHistory.asp?taxnode_id=20162095","ICTVonline=20162095")</f>
        <v>ICTVonline=20162095</v>
      </c>
    </row>
    <row r="26" spans="1:14" x14ac:dyDescent="0.15">
      <c r="A26" s="3">
        <v>25</v>
      </c>
      <c r="B26" s="1" t="s">
        <v>7449</v>
      </c>
      <c r="C26" s="1" t="s">
        <v>7451</v>
      </c>
      <c r="E26" s="1" t="s">
        <v>7452</v>
      </c>
      <c r="F26" s="1" t="s">
        <v>7603</v>
      </c>
      <c r="G26" s="3">
        <v>0</v>
      </c>
      <c r="H26" s="20" t="s">
        <v>7604</v>
      </c>
      <c r="I26" s="20" t="s">
        <v>7605</v>
      </c>
      <c r="J26" s="20" t="s">
        <v>3149</v>
      </c>
      <c r="K26" s="20" t="s">
        <v>10013</v>
      </c>
      <c r="L26" s="3">
        <v>31</v>
      </c>
      <c r="M26" s="3" t="s">
        <v>7581</v>
      </c>
      <c r="N26" s="3" t="str">
        <f>HYPERLINK("http://ictvonline.org/taxonomyHistory.asp?taxnode_id=20164781","ICTVonline=20164781")</f>
        <v>ICTVonline=20164781</v>
      </c>
    </row>
    <row r="27" spans="1:14" x14ac:dyDescent="0.15">
      <c r="A27" s="3">
        <v>26</v>
      </c>
      <c r="B27" s="1" t="s">
        <v>7449</v>
      </c>
      <c r="C27" s="1" t="s">
        <v>7451</v>
      </c>
      <c r="E27" s="1" t="s">
        <v>7452</v>
      </c>
      <c r="F27" s="1" t="s">
        <v>7606</v>
      </c>
      <c r="G27" s="3">
        <v>0</v>
      </c>
      <c r="H27" s="20" t="s">
        <v>7607</v>
      </c>
      <c r="I27" s="20" t="s">
        <v>7608</v>
      </c>
      <c r="J27" s="20" t="s">
        <v>3149</v>
      </c>
      <c r="K27" s="20" t="s">
        <v>10013</v>
      </c>
      <c r="L27" s="3">
        <v>31</v>
      </c>
      <c r="M27" s="3" t="s">
        <v>7581</v>
      </c>
      <c r="N27" s="3" t="str">
        <f>HYPERLINK("http://ictvonline.org/taxonomyHistory.asp?taxnode_id=20164782","ICTVonline=20164782")</f>
        <v>ICTVonline=20164782</v>
      </c>
    </row>
    <row r="28" spans="1:14" x14ac:dyDescent="0.15">
      <c r="A28" s="3">
        <v>27</v>
      </c>
      <c r="B28" s="1" t="s">
        <v>7449</v>
      </c>
      <c r="C28" s="1" t="s">
        <v>7451</v>
      </c>
      <c r="E28" s="1" t="s">
        <v>7452</v>
      </c>
      <c r="F28" s="1" t="s">
        <v>7329</v>
      </c>
      <c r="G28" s="3">
        <v>1</v>
      </c>
      <c r="I28" s="20" t="s">
        <v>4987</v>
      </c>
      <c r="J28" s="20" t="s">
        <v>3149</v>
      </c>
      <c r="K28" s="20" t="s">
        <v>10014</v>
      </c>
      <c r="L28" s="3">
        <v>31</v>
      </c>
      <c r="M28" s="3" t="s">
        <v>10015</v>
      </c>
      <c r="N28" s="3" t="str">
        <f>HYPERLINK("http://ictvonline.org/taxonomyHistory.asp?taxnode_id=20162096","ICTVonline=20162096")</f>
        <v>ICTVonline=20162096</v>
      </c>
    </row>
    <row r="29" spans="1:14" x14ac:dyDescent="0.15">
      <c r="A29" s="3">
        <v>28</v>
      </c>
      <c r="B29" s="1" t="s">
        <v>7449</v>
      </c>
      <c r="C29" s="1" t="s">
        <v>7451</v>
      </c>
      <c r="E29" s="1" t="s">
        <v>7452</v>
      </c>
      <c r="F29" s="1" t="s">
        <v>7609</v>
      </c>
      <c r="G29" s="3">
        <v>0</v>
      </c>
      <c r="H29" s="20" t="s">
        <v>7610</v>
      </c>
      <c r="I29" s="20" t="s">
        <v>7611</v>
      </c>
      <c r="J29" s="20" t="s">
        <v>3149</v>
      </c>
      <c r="K29" s="20" t="s">
        <v>10013</v>
      </c>
      <c r="L29" s="3">
        <v>31</v>
      </c>
      <c r="M29" s="3" t="s">
        <v>7581</v>
      </c>
      <c r="N29" s="3" t="str">
        <f>HYPERLINK("http://ictvonline.org/taxonomyHistory.asp?taxnode_id=20164783","ICTVonline=20164783")</f>
        <v>ICTVonline=20164783</v>
      </c>
    </row>
    <row r="30" spans="1:14" x14ac:dyDescent="0.15">
      <c r="A30" s="3">
        <v>29</v>
      </c>
      <c r="B30" s="1" t="s">
        <v>7449</v>
      </c>
      <c r="C30" s="1" t="s">
        <v>7451</v>
      </c>
      <c r="E30" s="1" t="s">
        <v>7452</v>
      </c>
      <c r="F30" s="1" t="s">
        <v>7612</v>
      </c>
      <c r="G30" s="3">
        <v>0</v>
      </c>
      <c r="H30" s="20" t="s">
        <v>7613</v>
      </c>
      <c r="I30" s="20" t="s">
        <v>7614</v>
      </c>
      <c r="J30" s="20" t="s">
        <v>3149</v>
      </c>
      <c r="K30" s="20" t="s">
        <v>10013</v>
      </c>
      <c r="L30" s="3">
        <v>31</v>
      </c>
      <c r="M30" s="3" t="s">
        <v>7581</v>
      </c>
      <c r="N30" s="3" t="str">
        <f>HYPERLINK("http://ictvonline.org/taxonomyHistory.asp?taxnode_id=20164784","ICTVonline=20164784")</f>
        <v>ICTVonline=20164784</v>
      </c>
    </row>
    <row r="31" spans="1:14" x14ac:dyDescent="0.15">
      <c r="A31" s="3">
        <v>30</v>
      </c>
      <c r="B31" s="1" t="s">
        <v>7449</v>
      </c>
      <c r="C31" s="1" t="s">
        <v>7451</v>
      </c>
      <c r="E31" s="1" t="s">
        <v>7452</v>
      </c>
      <c r="F31" s="1" t="s">
        <v>7615</v>
      </c>
      <c r="G31" s="3">
        <v>0</v>
      </c>
      <c r="H31" s="20" t="s">
        <v>7616</v>
      </c>
      <c r="I31" s="20" t="s">
        <v>7617</v>
      </c>
      <c r="J31" s="20" t="s">
        <v>3149</v>
      </c>
      <c r="K31" s="20" t="s">
        <v>10013</v>
      </c>
      <c r="L31" s="3">
        <v>31</v>
      </c>
      <c r="M31" s="3" t="s">
        <v>7581</v>
      </c>
      <c r="N31" s="3" t="str">
        <f>HYPERLINK("http://ictvonline.org/taxonomyHistory.asp?taxnode_id=20164785","ICTVonline=20164785")</f>
        <v>ICTVonline=20164785</v>
      </c>
    </row>
    <row r="32" spans="1:14" x14ac:dyDescent="0.15">
      <c r="A32" s="3">
        <v>31</v>
      </c>
      <c r="B32" s="1" t="s">
        <v>7449</v>
      </c>
      <c r="C32" s="1" t="s">
        <v>7451</v>
      </c>
      <c r="E32" s="1" t="s">
        <v>7452</v>
      </c>
      <c r="F32" s="1" t="s">
        <v>7330</v>
      </c>
      <c r="G32" s="3">
        <v>0</v>
      </c>
      <c r="I32" s="20" t="s">
        <v>4988</v>
      </c>
      <c r="J32" s="20" t="s">
        <v>3149</v>
      </c>
      <c r="K32" s="20" t="s">
        <v>10014</v>
      </c>
      <c r="L32" s="3">
        <v>31</v>
      </c>
      <c r="M32" s="3" t="s">
        <v>10015</v>
      </c>
      <c r="N32" s="3" t="str">
        <f>HYPERLINK("http://ictvonline.org/taxonomyHistory.asp?taxnode_id=20162098","ICTVonline=20162098")</f>
        <v>ICTVonline=20162098</v>
      </c>
    </row>
    <row r="33" spans="1:14" x14ac:dyDescent="0.15">
      <c r="A33" s="3">
        <v>32</v>
      </c>
      <c r="B33" s="1" t="s">
        <v>7449</v>
      </c>
      <c r="C33" s="1" t="s">
        <v>7451</v>
      </c>
      <c r="E33" s="1" t="s">
        <v>7452</v>
      </c>
      <c r="F33" s="1" t="s">
        <v>7331</v>
      </c>
      <c r="G33" s="3">
        <v>0</v>
      </c>
      <c r="I33" s="20" t="s">
        <v>4989</v>
      </c>
      <c r="J33" s="20" t="s">
        <v>3149</v>
      </c>
      <c r="K33" s="20" t="s">
        <v>10014</v>
      </c>
      <c r="L33" s="3">
        <v>31</v>
      </c>
      <c r="M33" s="3" t="s">
        <v>10015</v>
      </c>
      <c r="N33" s="3" t="str">
        <f>HYPERLINK("http://ictvonline.org/taxonomyHistory.asp?taxnode_id=20162099","ICTVonline=20162099")</f>
        <v>ICTVonline=20162099</v>
      </c>
    </row>
    <row r="34" spans="1:14" x14ac:dyDescent="0.15">
      <c r="A34" s="3">
        <v>33</v>
      </c>
      <c r="B34" s="1" t="s">
        <v>7449</v>
      </c>
      <c r="C34" s="1" t="s">
        <v>7451</v>
      </c>
      <c r="E34" s="1" t="s">
        <v>7452</v>
      </c>
      <c r="F34" s="1" t="s">
        <v>7618</v>
      </c>
      <c r="G34" s="3">
        <v>0</v>
      </c>
      <c r="H34" s="20" t="s">
        <v>7619</v>
      </c>
      <c r="I34" s="20" t="s">
        <v>7620</v>
      </c>
      <c r="J34" s="20" t="s">
        <v>3149</v>
      </c>
      <c r="K34" s="20" t="s">
        <v>10013</v>
      </c>
      <c r="L34" s="3">
        <v>31</v>
      </c>
      <c r="M34" s="3" t="s">
        <v>7581</v>
      </c>
      <c r="N34" s="3" t="str">
        <f>HYPERLINK("http://ictvonline.org/taxonomyHistory.asp?taxnode_id=20164786","ICTVonline=20164786")</f>
        <v>ICTVonline=20164786</v>
      </c>
    </row>
    <row r="35" spans="1:14" x14ac:dyDescent="0.15">
      <c r="A35" s="3">
        <v>34</v>
      </c>
      <c r="B35" s="1" t="s">
        <v>7449</v>
      </c>
      <c r="C35" s="1" t="s">
        <v>7451</v>
      </c>
      <c r="E35" s="1" t="s">
        <v>7452</v>
      </c>
      <c r="F35" s="1" t="s">
        <v>7621</v>
      </c>
      <c r="G35" s="3">
        <v>0</v>
      </c>
      <c r="H35" s="20" t="s">
        <v>7622</v>
      </c>
      <c r="I35" s="20" t="s">
        <v>7623</v>
      </c>
      <c r="J35" s="20" t="s">
        <v>3149</v>
      </c>
      <c r="K35" s="20" t="s">
        <v>10013</v>
      </c>
      <c r="L35" s="3">
        <v>31</v>
      </c>
      <c r="M35" s="3" t="s">
        <v>7581</v>
      </c>
      <c r="N35" s="3" t="str">
        <f>HYPERLINK("http://ictvonline.org/taxonomyHistory.asp?taxnode_id=20164787","ICTVonline=20164787")</f>
        <v>ICTVonline=20164787</v>
      </c>
    </row>
    <row r="36" spans="1:14" x14ac:dyDescent="0.15">
      <c r="A36" s="3">
        <v>35</v>
      </c>
      <c r="B36" s="1" t="s">
        <v>7449</v>
      </c>
      <c r="C36" s="1" t="s">
        <v>7451</v>
      </c>
      <c r="E36" s="1" t="s">
        <v>7452</v>
      </c>
      <c r="F36" s="1" t="s">
        <v>7624</v>
      </c>
      <c r="G36" s="3">
        <v>0</v>
      </c>
      <c r="H36" s="20" t="s">
        <v>7625</v>
      </c>
      <c r="I36" s="20" t="s">
        <v>7626</v>
      </c>
      <c r="J36" s="20" t="s">
        <v>3149</v>
      </c>
      <c r="K36" s="20" t="s">
        <v>10013</v>
      </c>
      <c r="L36" s="3">
        <v>31</v>
      </c>
      <c r="M36" s="3" t="s">
        <v>7581</v>
      </c>
      <c r="N36" s="3" t="str">
        <f>HYPERLINK("http://ictvonline.org/taxonomyHistory.asp?taxnode_id=20164788","ICTVonline=20164788")</f>
        <v>ICTVonline=20164788</v>
      </c>
    </row>
    <row r="37" spans="1:14" x14ac:dyDescent="0.15">
      <c r="A37" s="3">
        <v>36</v>
      </c>
      <c r="B37" s="1" t="s">
        <v>7449</v>
      </c>
      <c r="C37" s="1" t="s">
        <v>7451</v>
      </c>
      <c r="E37" s="1" t="s">
        <v>7452</v>
      </c>
      <c r="F37" s="1" t="s">
        <v>7627</v>
      </c>
      <c r="G37" s="3">
        <v>0</v>
      </c>
      <c r="H37" s="20" t="s">
        <v>7628</v>
      </c>
      <c r="I37" s="20" t="s">
        <v>7629</v>
      </c>
      <c r="J37" s="20" t="s">
        <v>3149</v>
      </c>
      <c r="K37" s="20" t="s">
        <v>10013</v>
      </c>
      <c r="L37" s="3">
        <v>31</v>
      </c>
      <c r="M37" s="3" t="s">
        <v>7581</v>
      </c>
      <c r="N37" s="3" t="str">
        <f>HYPERLINK("http://ictvonline.org/taxonomyHistory.asp?taxnode_id=20164789","ICTVonline=20164789")</f>
        <v>ICTVonline=20164789</v>
      </c>
    </row>
    <row r="38" spans="1:14" x14ac:dyDescent="0.15">
      <c r="A38" s="3">
        <v>37</v>
      </c>
      <c r="B38" s="1" t="s">
        <v>7449</v>
      </c>
      <c r="C38" s="1" t="s">
        <v>7451</v>
      </c>
      <c r="E38" s="1" t="s">
        <v>7452</v>
      </c>
      <c r="F38" s="1" t="s">
        <v>7630</v>
      </c>
      <c r="G38" s="3">
        <v>0</v>
      </c>
      <c r="H38" s="20" t="s">
        <v>7631</v>
      </c>
      <c r="I38" s="20" t="s">
        <v>7632</v>
      </c>
      <c r="J38" s="20" t="s">
        <v>3149</v>
      </c>
      <c r="K38" s="20" t="s">
        <v>10013</v>
      </c>
      <c r="L38" s="3">
        <v>31</v>
      </c>
      <c r="M38" s="3" t="s">
        <v>7581</v>
      </c>
      <c r="N38" s="3" t="str">
        <f>HYPERLINK("http://ictvonline.org/taxonomyHistory.asp?taxnode_id=20164790","ICTVonline=20164790")</f>
        <v>ICTVonline=20164790</v>
      </c>
    </row>
    <row r="39" spans="1:14" x14ac:dyDescent="0.15">
      <c r="A39" s="3">
        <v>38</v>
      </c>
      <c r="B39" s="1" t="s">
        <v>7449</v>
      </c>
      <c r="C39" s="1" t="s">
        <v>7451</v>
      </c>
      <c r="E39" s="1" t="s">
        <v>7452</v>
      </c>
      <c r="F39" s="1" t="s">
        <v>7633</v>
      </c>
      <c r="G39" s="3">
        <v>0</v>
      </c>
      <c r="H39" s="20" t="s">
        <v>7634</v>
      </c>
      <c r="I39" s="20" t="s">
        <v>7635</v>
      </c>
      <c r="J39" s="20" t="s">
        <v>3149</v>
      </c>
      <c r="K39" s="20" t="s">
        <v>10013</v>
      </c>
      <c r="L39" s="3">
        <v>31</v>
      </c>
      <c r="M39" s="3" t="s">
        <v>7581</v>
      </c>
      <c r="N39" s="3" t="str">
        <f>HYPERLINK("http://ictvonline.org/taxonomyHistory.asp?taxnode_id=20164791","ICTVonline=20164791")</f>
        <v>ICTVonline=20164791</v>
      </c>
    </row>
    <row r="40" spans="1:14" x14ac:dyDescent="0.15">
      <c r="A40" s="3">
        <v>39</v>
      </c>
      <c r="B40" s="1" t="s">
        <v>7449</v>
      </c>
      <c r="C40" s="1" t="s">
        <v>7451</v>
      </c>
      <c r="E40" s="1" t="s">
        <v>7452</v>
      </c>
      <c r="F40" s="1" t="s">
        <v>7636</v>
      </c>
      <c r="G40" s="3">
        <v>0</v>
      </c>
      <c r="H40" s="20" t="s">
        <v>7637</v>
      </c>
      <c r="I40" s="20" t="s">
        <v>7638</v>
      </c>
      <c r="J40" s="20" t="s">
        <v>3149</v>
      </c>
      <c r="K40" s="20" t="s">
        <v>10013</v>
      </c>
      <c r="L40" s="3">
        <v>31</v>
      </c>
      <c r="M40" s="3" t="s">
        <v>7581</v>
      </c>
      <c r="N40" s="3" t="str">
        <f>HYPERLINK("http://ictvonline.org/taxonomyHistory.asp?taxnode_id=20164792","ICTVonline=20164792")</f>
        <v>ICTVonline=20164792</v>
      </c>
    </row>
    <row r="41" spans="1:14" x14ac:dyDescent="0.15">
      <c r="A41" s="3">
        <v>40</v>
      </c>
      <c r="B41" s="1" t="s">
        <v>7449</v>
      </c>
      <c r="C41" s="1" t="s">
        <v>7451</v>
      </c>
      <c r="E41" s="1" t="s">
        <v>7452</v>
      </c>
      <c r="F41" s="1" t="s">
        <v>7639</v>
      </c>
      <c r="G41" s="3">
        <v>0</v>
      </c>
      <c r="H41" s="20" t="s">
        <v>7640</v>
      </c>
      <c r="I41" s="20" t="s">
        <v>7641</v>
      </c>
      <c r="J41" s="20" t="s">
        <v>3149</v>
      </c>
      <c r="K41" s="20" t="s">
        <v>10013</v>
      </c>
      <c r="L41" s="3">
        <v>31</v>
      </c>
      <c r="M41" s="3" t="s">
        <v>7581</v>
      </c>
      <c r="N41" s="3" t="str">
        <f>HYPERLINK("http://ictvonline.org/taxonomyHistory.asp?taxnode_id=20164793","ICTVonline=20164793")</f>
        <v>ICTVonline=20164793</v>
      </c>
    </row>
    <row r="42" spans="1:14" x14ac:dyDescent="0.15">
      <c r="A42" s="3">
        <v>41</v>
      </c>
      <c r="B42" s="1" t="s">
        <v>7449</v>
      </c>
      <c r="C42" s="1" t="s">
        <v>7451</v>
      </c>
      <c r="E42" s="1" t="s">
        <v>7452</v>
      </c>
      <c r="F42" s="1" t="s">
        <v>7332</v>
      </c>
      <c r="G42" s="3">
        <v>0</v>
      </c>
      <c r="I42" s="20" t="s">
        <v>4990</v>
      </c>
      <c r="J42" s="20" t="s">
        <v>3149</v>
      </c>
      <c r="K42" s="20" t="s">
        <v>10014</v>
      </c>
      <c r="L42" s="3">
        <v>31</v>
      </c>
      <c r="M42" s="3" t="s">
        <v>10015</v>
      </c>
      <c r="N42" s="3" t="str">
        <f>HYPERLINK("http://ictvonline.org/taxonomyHistory.asp?taxnode_id=20162102","ICTVonline=20162102")</f>
        <v>ICTVonline=20162102</v>
      </c>
    </row>
    <row r="43" spans="1:14" x14ac:dyDescent="0.15">
      <c r="A43" s="3">
        <v>42</v>
      </c>
      <c r="B43" s="1" t="s">
        <v>7449</v>
      </c>
      <c r="C43" s="1" t="s">
        <v>7451</v>
      </c>
      <c r="E43" s="1" t="s">
        <v>7452</v>
      </c>
      <c r="F43" s="1" t="s">
        <v>7333</v>
      </c>
      <c r="G43" s="3">
        <v>0</v>
      </c>
      <c r="I43" s="20" t="s">
        <v>4991</v>
      </c>
      <c r="J43" s="20" t="s">
        <v>3149</v>
      </c>
      <c r="K43" s="20" t="s">
        <v>10014</v>
      </c>
      <c r="L43" s="3">
        <v>31</v>
      </c>
      <c r="M43" s="3" t="s">
        <v>10015</v>
      </c>
      <c r="N43" s="3" t="str">
        <f>HYPERLINK("http://ictvonline.org/taxonomyHistory.asp?taxnode_id=20162103","ICTVonline=20162103")</f>
        <v>ICTVonline=20162103</v>
      </c>
    </row>
    <row r="44" spans="1:14" x14ac:dyDescent="0.15">
      <c r="A44" s="3">
        <v>43</v>
      </c>
      <c r="B44" s="1" t="s">
        <v>7449</v>
      </c>
      <c r="C44" s="1" t="s">
        <v>7451</v>
      </c>
      <c r="E44" s="1" t="s">
        <v>7452</v>
      </c>
      <c r="F44" s="1" t="s">
        <v>7642</v>
      </c>
      <c r="G44" s="3">
        <v>0</v>
      </c>
      <c r="H44" s="20" t="s">
        <v>7643</v>
      </c>
      <c r="I44" s="20" t="s">
        <v>7644</v>
      </c>
      <c r="J44" s="20" t="s">
        <v>3149</v>
      </c>
      <c r="K44" s="20" t="s">
        <v>10013</v>
      </c>
      <c r="L44" s="3">
        <v>31</v>
      </c>
      <c r="M44" s="3" t="s">
        <v>7581</v>
      </c>
      <c r="N44" s="3" t="str">
        <f>HYPERLINK("http://ictvonline.org/taxonomyHistory.asp?taxnode_id=20164794","ICTVonline=20164794")</f>
        <v>ICTVonline=20164794</v>
      </c>
    </row>
    <row r="45" spans="1:14" x14ac:dyDescent="0.15">
      <c r="A45" s="3">
        <v>44</v>
      </c>
      <c r="B45" s="1" t="s">
        <v>7449</v>
      </c>
      <c r="C45" s="1" t="s">
        <v>7451</v>
      </c>
      <c r="E45" s="1" t="s">
        <v>7452</v>
      </c>
      <c r="F45" s="1" t="s">
        <v>7645</v>
      </c>
      <c r="G45" s="3">
        <v>0</v>
      </c>
      <c r="H45" s="20" t="s">
        <v>7646</v>
      </c>
      <c r="I45" s="20" t="s">
        <v>7647</v>
      </c>
      <c r="J45" s="20" t="s">
        <v>3149</v>
      </c>
      <c r="K45" s="20" t="s">
        <v>10013</v>
      </c>
      <c r="L45" s="3">
        <v>31</v>
      </c>
      <c r="M45" s="3" t="s">
        <v>7581</v>
      </c>
      <c r="N45" s="3" t="str">
        <f>HYPERLINK("http://ictvonline.org/taxonomyHistory.asp?taxnode_id=20164795","ICTVonline=20164795")</f>
        <v>ICTVonline=20164795</v>
      </c>
    </row>
    <row r="46" spans="1:14" x14ac:dyDescent="0.15">
      <c r="A46" s="3">
        <v>45</v>
      </c>
      <c r="B46" s="1" t="s">
        <v>7449</v>
      </c>
      <c r="C46" s="1" t="s">
        <v>7451</v>
      </c>
      <c r="E46" s="1" t="s">
        <v>7452</v>
      </c>
      <c r="F46" s="1" t="s">
        <v>7334</v>
      </c>
      <c r="G46" s="3">
        <v>0</v>
      </c>
      <c r="I46" s="20" t="s">
        <v>4992</v>
      </c>
      <c r="J46" s="20" t="s">
        <v>3149</v>
      </c>
      <c r="K46" s="20" t="s">
        <v>10014</v>
      </c>
      <c r="L46" s="3">
        <v>31</v>
      </c>
      <c r="M46" s="3" t="s">
        <v>10015</v>
      </c>
      <c r="N46" s="3" t="str">
        <f>HYPERLINK("http://ictvonline.org/taxonomyHistory.asp?taxnode_id=20162107","ICTVonline=20162107")</f>
        <v>ICTVonline=20162107</v>
      </c>
    </row>
    <row r="47" spans="1:14" x14ac:dyDescent="0.15">
      <c r="A47" s="3">
        <v>46</v>
      </c>
      <c r="B47" s="1" t="s">
        <v>7449</v>
      </c>
      <c r="C47" s="1" t="s">
        <v>7451</v>
      </c>
      <c r="E47" s="1" t="s">
        <v>7452</v>
      </c>
      <c r="F47" s="1" t="s">
        <v>7335</v>
      </c>
      <c r="G47" s="3">
        <v>0</v>
      </c>
      <c r="I47" s="20" t="s">
        <v>4993</v>
      </c>
      <c r="J47" s="20" t="s">
        <v>3149</v>
      </c>
      <c r="K47" s="20" t="s">
        <v>10014</v>
      </c>
      <c r="L47" s="3">
        <v>31</v>
      </c>
      <c r="M47" s="3" t="s">
        <v>10015</v>
      </c>
      <c r="N47" s="3" t="str">
        <f>HYPERLINK("http://ictvonline.org/taxonomyHistory.asp?taxnode_id=20162108","ICTVonline=20162108")</f>
        <v>ICTVonline=20162108</v>
      </c>
    </row>
    <row r="48" spans="1:14" x14ac:dyDescent="0.15">
      <c r="A48" s="3">
        <v>47</v>
      </c>
      <c r="B48" s="1" t="s">
        <v>7449</v>
      </c>
      <c r="C48" s="1" t="s">
        <v>7451</v>
      </c>
      <c r="E48" s="1" t="s">
        <v>7452</v>
      </c>
      <c r="F48" s="1" t="s">
        <v>7336</v>
      </c>
      <c r="G48" s="3">
        <v>0</v>
      </c>
      <c r="I48" s="20" t="s">
        <v>4994</v>
      </c>
      <c r="J48" s="20" t="s">
        <v>3149</v>
      </c>
      <c r="K48" s="20" t="s">
        <v>10014</v>
      </c>
      <c r="L48" s="3">
        <v>31</v>
      </c>
      <c r="M48" s="3" t="s">
        <v>10015</v>
      </c>
      <c r="N48" s="3" t="str">
        <f>HYPERLINK("http://ictvonline.org/taxonomyHistory.asp?taxnode_id=20162109","ICTVonline=20162109")</f>
        <v>ICTVonline=20162109</v>
      </c>
    </row>
    <row r="49" spans="1:14" x14ac:dyDescent="0.15">
      <c r="A49" s="3">
        <v>48</v>
      </c>
      <c r="B49" s="1" t="s">
        <v>7449</v>
      </c>
      <c r="C49" s="1" t="s">
        <v>7451</v>
      </c>
      <c r="E49" s="1" t="s">
        <v>7452</v>
      </c>
      <c r="F49" s="1" t="s">
        <v>7337</v>
      </c>
      <c r="G49" s="3">
        <v>0</v>
      </c>
      <c r="I49" s="20" t="s">
        <v>4995</v>
      </c>
      <c r="J49" s="20" t="s">
        <v>3149</v>
      </c>
      <c r="K49" s="20" t="s">
        <v>10014</v>
      </c>
      <c r="L49" s="3">
        <v>31</v>
      </c>
      <c r="M49" s="3" t="s">
        <v>10015</v>
      </c>
      <c r="N49" s="3" t="str">
        <f>HYPERLINK("http://ictvonline.org/taxonomyHistory.asp?taxnode_id=20162110","ICTVonline=20162110")</f>
        <v>ICTVonline=20162110</v>
      </c>
    </row>
    <row r="50" spans="1:14" x14ac:dyDescent="0.15">
      <c r="A50" s="3">
        <v>49</v>
      </c>
      <c r="B50" s="1" t="s">
        <v>7449</v>
      </c>
      <c r="C50" s="1" t="s">
        <v>7451</v>
      </c>
      <c r="E50" s="1" t="s">
        <v>7452</v>
      </c>
      <c r="F50" s="1" t="s">
        <v>7338</v>
      </c>
      <c r="G50" s="3">
        <v>0</v>
      </c>
      <c r="I50" s="20" t="s">
        <v>4996</v>
      </c>
      <c r="J50" s="20" t="s">
        <v>3149</v>
      </c>
      <c r="K50" s="20" t="s">
        <v>10014</v>
      </c>
      <c r="L50" s="3">
        <v>31</v>
      </c>
      <c r="M50" s="3" t="s">
        <v>10015</v>
      </c>
      <c r="N50" s="3" t="str">
        <f>HYPERLINK("http://ictvonline.org/taxonomyHistory.asp?taxnode_id=20162111","ICTVonline=20162111")</f>
        <v>ICTVonline=20162111</v>
      </c>
    </row>
    <row r="51" spans="1:14" x14ac:dyDescent="0.15">
      <c r="A51" s="3">
        <v>50</v>
      </c>
      <c r="B51" s="1" t="s">
        <v>7449</v>
      </c>
      <c r="C51" s="1" t="s">
        <v>7451</v>
      </c>
      <c r="E51" s="1" t="s">
        <v>7452</v>
      </c>
      <c r="F51" s="1" t="s">
        <v>7339</v>
      </c>
      <c r="G51" s="3">
        <v>0</v>
      </c>
      <c r="I51" s="20" t="s">
        <v>4997</v>
      </c>
      <c r="J51" s="20" t="s">
        <v>3149</v>
      </c>
      <c r="K51" s="20" t="s">
        <v>10014</v>
      </c>
      <c r="L51" s="3">
        <v>31</v>
      </c>
      <c r="M51" s="3" t="s">
        <v>10015</v>
      </c>
      <c r="N51" s="3" t="str">
        <f>HYPERLINK("http://ictvonline.org/taxonomyHistory.asp?taxnode_id=20162113","ICTVonline=20162113")</f>
        <v>ICTVonline=20162113</v>
      </c>
    </row>
    <row r="52" spans="1:14" x14ac:dyDescent="0.15">
      <c r="A52" s="3">
        <v>51</v>
      </c>
      <c r="B52" s="1" t="s">
        <v>7449</v>
      </c>
      <c r="C52" s="1" t="s">
        <v>7451</v>
      </c>
      <c r="E52" s="1" t="s">
        <v>7452</v>
      </c>
      <c r="F52" s="1" t="s">
        <v>7648</v>
      </c>
      <c r="G52" s="3">
        <v>0</v>
      </c>
      <c r="H52" s="20" t="s">
        <v>7649</v>
      </c>
      <c r="I52" s="20" t="s">
        <v>7650</v>
      </c>
      <c r="J52" s="20" t="s">
        <v>3149</v>
      </c>
      <c r="K52" s="20" t="s">
        <v>10013</v>
      </c>
      <c r="L52" s="3">
        <v>31</v>
      </c>
      <c r="M52" s="3" t="s">
        <v>7581</v>
      </c>
      <c r="N52" s="3" t="str">
        <f>HYPERLINK("http://ictvonline.org/taxonomyHistory.asp?taxnode_id=20164796","ICTVonline=20164796")</f>
        <v>ICTVonline=20164796</v>
      </c>
    </row>
    <row r="53" spans="1:14" x14ac:dyDescent="0.15">
      <c r="A53" s="3">
        <v>52</v>
      </c>
      <c r="B53" s="1" t="s">
        <v>7449</v>
      </c>
      <c r="C53" s="1" t="s">
        <v>7665</v>
      </c>
      <c r="E53" s="1" t="s">
        <v>7666</v>
      </c>
      <c r="F53" s="1" t="s">
        <v>10568</v>
      </c>
      <c r="G53" s="3">
        <v>1</v>
      </c>
      <c r="H53" s="20" t="s">
        <v>7667</v>
      </c>
      <c r="I53" s="20" t="s">
        <v>7668</v>
      </c>
      <c r="J53" s="20" t="s">
        <v>3149</v>
      </c>
      <c r="K53" s="20" t="s">
        <v>10013</v>
      </c>
      <c r="L53" s="3">
        <v>31</v>
      </c>
      <c r="M53" s="3" t="s">
        <v>10569</v>
      </c>
      <c r="N53" s="3" t="str">
        <f>HYPERLINK("http://ictvonline.org/taxonomyHistory.asp?taxnode_id=20164801","ICTVonline=20164801")</f>
        <v>ICTVonline=20164801</v>
      </c>
    </row>
    <row r="54" spans="1:14" x14ac:dyDescent="0.15">
      <c r="A54" s="3">
        <v>53</v>
      </c>
      <c r="B54" s="1" t="s">
        <v>7449</v>
      </c>
      <c r="C54" s="1" t="s">
        <v>7453</v>
      </c>
      <c r="E54" s="1" t="s">
        <v>7454</v>
      </c>
      <c r="F54" s="1" t="s">
        <v>7669</v>
      </c>
      <c r="G54" s="3">
        <v>0</v>
      </c>
      <c r="H54" s="20" t="s">
        <v>7670</v>
      </c>
      <c r="I54" s="20" t="s">
        <v>7671</v>
      </c>
      <c r="J54" s="20" t="s">
        <v>3149</v>
      </c>
      <c r="K54" s="20" t="s">
        <v>10013</v>
      </c>
      <c r="L54" s="3">
        <v>31</v>
      </c>
      <c r="M54" s="3" t="s">
        <v>7672</v>
      </c>
      <c r="N54" s="3" t="str">
        <f>HYPERLINK("http://ictvonline.org/taxonomyHistory.asp?taxnode_id=20164802","ICTVonline=20164802")</f>
        <v>ICTVonline=20164802</v>
      </c>
    </row>
    <row r="55" spans="1:14" x14ac:dyDescent="0.15">
      <c r="A55" s="3">
        <v>54</v>
      </c>
      <c r="B55" s="1" t="s">
        <v>7449</v>
      </c>
      <c r="C55" s="1" t="s">
        <v>7453</v>
      </c>
      <c r="E55" s="1" t="s">
        <v>7454</v>
      </c>
      <c r="F55" s="1" t="s">
        <v>7340</v>
      </c>
      <c r="G55" s="3">
        <v>0</v>
      </c>
      <c r="I55" s="20" t="s">
        <v>4998</v>
      </c>
      <c r="J55" s="20" t="s">
        <v>3149</v>
      </c>
      <c r="K55" s="20" t="s">
        <v>10014</v>
      </c>
      <c r="L55" s="3">
        <v>31</v>
      </c>
      <c r="M55" s="3" t="s">
        <v>10015</v>
      </c>
      <c r="N55" s="3" t="str">
        <f>HYPERLINK("http://ictvonline.org/taxonomyHistory.asp?taxnode_id=20162115","ICTVonline=20162115")</f>
        <v>ICTVonline=20162115</v>
      </c>
    </row>
    <row r="56" spans="1:14" x14ac:dyDescent="0.15">
      <c r="A56" s="3">
        <v>55</v>
      </c>
      <c r="B56" s="1" t="s">
        <v>7449</v>
      </c>
      <c r="C56" s="1" t="s">
        <v>7453</v>
      </c>
      <c r="E56" s="1" t="s">
        <v>7454</v>
      </c>
      <c r="F56" s="1" t="s">
        <v>7341</v>
      </c>
      <c r="G56" s="3">
        <v>0</v>
      </c>
      <c r="I56" s="20" t="s">
        <v>4999</v>
      </c>
      <c r="J56" s="20" t="s">
        <v>3149</v>
      </c>
      <c r="K56" s="20" t="s">
        <v>10014</v>
      </c>
      <c r="L56" s="3">
        <v>31</v>
      </c>
      <c r="M56" s="3" t="s">
        <v>10015</v>
      </c>
      <c r="N56" s="3" t="str">
        <f>HYPERLINK("http://ictvonline.org/taxonomyHistory.asp?taxnode_id=20162116","ICTVonline=20162116")</f>
        <v>ICTVonline=20162116</v>
      </c>
    </row>
    <row r="57" spans="1:14" x14ac:dyDescent="0.15">
      <c r="A57" s="3">
        <v>56</v>
      </c>
      <c r="B57" s="1" t="s">
        <v>7449</v>
      </c>
      <c r="C57" s="1" t="s">
        <v>7453</v>
      </c>
      <c r="E57" s="1" t="s">
        <v>7454</v>
      </c>
      <c r="F57" s="1" t="s">
        <v>7342</v>
      </c>
      <c r="G57" s="3">
        <v>1</v>
      </c>
      <c r="I57" s="20" t="s">
        <v>5000</v>
      </c>
      <c r="J57" s="20" t="s">
        <v>3149</v>
      </c>
      <c r="K57" s="20" t="s">
        <v>10014</v>
      </c>
      <c r="L57" s="3">
        <v>31</v>
      </c>
      <c r="M57" s="3" t="s">
        <v>10015</v>
      </c>
      <c r="N57" s="3" t="str">
        <f>HYPERLINK("http://ictvonline.org/taxonomyHistory.asp?taxnode_id=20162117","ICTVonline=20162117")</f>
        <v>ICTVonline=20162117</v>
      </c>
    </row>
    <row r="58" spans="1:14" x14ac:dyDescent="0.15">
      <c r="A58" s="3">
        <v>57</v>
      </c>
      <c r="B58" s="1" t="s">
        <v>7449</v>
      </c>
      <c r="C58" s="1" t="s">
        <v>7453</v>
      </c>
      <c r="E58" s="1" t="s">
        <v>7454</v>
      </c>
      <c r="F58" s="1" t="s">
        <v>7673</v>
      </c>
      <c r="G58" s="3">
        <v>0</v>
      </c>
      <c r="H58" s="20" t="s">
        <v>7674</v>
      </c>
      <c r="I58" s="20" t="s">
        <v>7675</v>
      </c>
      <c r="J58" s="20" t="s">
        <v>3149</v>
      </c>
      <c r="K58" s="20" t="s">
        <v>10013</v>
      </c>
      <c r="L58" s="3">
        <v>31</v>
      </c>
      <c r="M58" s="3" t="s">
        <v>7672</v>
      </c>
      <c r="N58" s="3" t="str">
        <f>HYPERLINK("http://ictvonline.org/taxonomyHistory.asp?taxnode_id=20164803","ICTVonline=20164803")</f>
        <v>ICTVonline=20164803</v>
      </c>
    </row>
    <row r="59" spans="1:14" x14ac:dyDescent="0.15">
      <c r="A59" s="3">
        <v>58</v>
      </c>
      <c r="B59" s="1" t="s">
        <v>7449</v>
      </c>
      <c r="C59" s="1" t="s">
        <v>7453</v>
      </c>
      <c r="E59" s="1" t="s">
        <v>7454</v>
      </c>
      <c r="F59" s="1" t="s">
        <v>7343</v>
      </c>
      <c r="G59" s="3">
        <v>0</v>
      </c>
      <c r="I59" s="20" t="s">
        <v>5001</v>
      </c>
      <c r="J59" s="20" t="s">
        <v>3149</v>
      </c>
      <c r="K59" s="20" t="s">
        <v>10014</v>
      </c>
      <c r="L59" s="3">
        <v>31</v>
      </c>
      <c r="M59" s="3" t="s">
        <v>10015</v>
      </c>
      <c r="N59" s="3" t="str">
        <f>HYPERLINK("http://ictvonline.org/taxonomyHistory.asp?taxnode_id=20162118","ICTVonline=20162118")</f>
        <v>ICTVonline=20162118</v>
      </c>
    </row>
    <row r="60" spans="1:14" x14ac:dyDescent="0.15">
      <c r="A60" s="3">
        <v>59</v>
      </c>
      <c r="B60" s="1" t="s">
        <v>7449</v>
      </c>
      <c r="C60" s="1" t="s">
        <v>7453</v>
      </c>
      <c r="E60" s="1" t="s">
        <v>7454</v>
      </c>
      <c r="F60" s="1" t="s">
        <v>7676</v>
      </c>
      <c r="G60" s="3">
        <v>0</v>
      </c>
      <c r="H60" s="20" t="s">
        <v>7677</v>
      </c>
      <c r="I60" s="20" t="s">
        <v>7678</v>
      </c>
      <c r="J60" s="20" t="s">
        <v>3149</v>
      </c>
      <c r="K60" s="20" t="s">
        <v>10013</v>
      </c>
      <c r="L60" s="3">
        <v>31</v>
      </c>
      <c r="M60" s="3" t="s">
        <v>7672</v>
      </c>
      <c r="N60" s="3" t="str">
        <f>HYPERLINK("http://ictvonline.org/taxonomyHistory.asp?taxnode_id=20164804","ICTVonline=20164804")</f>
        <v>ICTVonline=20164804</v>
      </c>
    </row>
    <row r="61" spans="1:14" x14ac:dyDescent="0.15">
      <c r="A61" s="3">
        <v>60</v>
      </c>
      <c r="B61" s="1" t="s">
        <v>7449</v>
      </c>
      <c r="C61" s="1" t="s">
        <v>7453</v>
      </c>
      <c r="E61" s="1" t="s">
        <v>7454</v>
      </c>
      <c r="F61" s="1" t="s">
        <v>7679</v>
      </c>
      <c r="G61" s="3">
        <v>0</v>
      </c>
      <c r="H61" s="20" t="s">
        <v>7680</v>
      </c>
      <c r="I61" s="20" t="s">
        <v>7681</v>
      </c>
      <c r="J61" s="20" t="s">
        <v>3149</v>
      </c>
      <c r="K61" s="20" t="s">
        <v>10013</v>
      </c>
      <c r="L61" s="3">
        <v>31</v>
      </c>
      <c r="M61" s="3" t="s">
        <v>7672</v>
      </c>
      <c r="N61" s="3" t="str">
        <f>HYPERLINK("http://ictvonline.org/taxonomyHistory.asp?taxnode_id=20164805","ICTVonline=20164805")</f>
        <v>ICTVonline=20164805</v>
      </c>
    </row>
    <row r="62" spans="1:14" x14ac:dyDescent="0.15">
      <c r="A62" s="3">
        <v>61</v>
      </c>
      <c r="B62" s="1" t="s">
        <v>7449</v>
      </c>
      <c r="C62" s="1" t="s">
        <v>7453</v>
      </c>
      <c r="E62" s="1" t="s">
        <v>7454</v>
      </c>
      <c r="F62" s="1" t="s">
        <v>7682</v>
      </c>
      <c r="G62" s="3">
        <v>0</v>
      </c>
      <c r="H62" s="20" t="s">
        <v>7683</v>
      </c>
      <c r="I62" s="20" t="s">
        <v>7684</v>
      </c>
      <c r="J62" s="20" t="s">
        <v>3149</v>
      </c>
      <c r="K62" s="20" t="s">
        <v>10013</v>
      </c>
      <c r="L62" s="3">
        <v>31</v>
      </c>
      <c r="M62" s="3" t="s">
        <v>7672</v>
      </c>
      <c r="N62" s="3" t="str">
        <f>HYPERLINK("http://ictvonline.org/taxonomyHistory.asp?taxnode_id=20164806","ICTVonline=20164806")</f>
        <v>ICTVonline=20164806</v>
      </c>
    </row>
    <row r="63" spans="1:14" x14ac:dyDescent="0.15">
      <c r="A63" s="3">
        <v>62</v>
      </c>
      <c r="B63" s="1" t="s">
        <v>7449</v>
      </c>
      <c r="C63" s="1" t="s">
        <v>7453</v>
      </c>
      <c r="E63" s="1" t="s">
        <v>7454</v>
      </c>
      <c r="F63" s="1" t="s">
        <v>7344</v>
      </c>
      <c r="G63" s="3">
        <v>0</v>
      </c>
      <c r="I63" s="20" t="s">
        <v>5002</v>
      </c>
      <c r="J63" s="20" t="s">
        <v>3149</v>
      </c>
      <c r="K63" s="20" t="s">
        <v>10014</v>
      </c>
      <c r="L63" s="3">
        <v>31</v>
      </c>
      <c r="M63" s="3" t="s">
        <v>10015</v>
      </c>
      <c r="N63" s="3" t="str">
        <f>HYPERLINK("http://ictvonline.org/taxonomyHistory.asp?taxnode_id=20162119","ICTVonline=20162119")</f>
        <v>ICTVonline=20162119</v>
      </c>
    </row>
    <row r="64" spans="1:14" x14ac:dyDescent="0.15">
      <c r="A64" s="3">
        <v>63</v>
      </c>
      <c r="B64" s="1" t="s">
        <v>7449</v>
      </c>
      <c r="C64" s="1" t="s">
        <v>7453</v>
      </c>
      <c r="E64" s="1" t="s">
        <v>7454</v>
      </c>
      <c r="F64" s="1" t="s">
        <v>7345</v>
      </c>
      <c r="G64" s="3">
        <v>0</v>
      </c>
      <c r="I64" s="20" t="s">
        <v>5003</v>
      </c>
      <c r="J64" s="20" t="s">
        <v>3149</v>
      </c>
      <c r="K64" s="20" t="s">
        <v>10014</v>
      </c>
      <c r="L64" s="3">
        <v>31</v>
      </c>
      <c r="M64" s="3" t="s">
        <v>10015</v>
      </c>
      <c r="N64" s="3" t="str">
        <f>HYPERLINK("http://ictvonline.org/taxonomyHistory.asp?taxnode_id=20162120","ICTVonline=20162120")</f>
        <v>ICTVonline=20162120</v>
      </c>
    </row>
    <row r="65" spans="1:14" x14ac:dyDescent="0.15">
      <c r="A65" s="3">
        <v>64</v>
      </c>
      <c r="B65" s="1" t="s">
        <v>7449</v>
      </c>
      <c r="C65" s="1" t="s">
        <v>7453</v>
      </c>
      <c r="E65" s="1" t="s">
        <v>7454</v>
      </c>
      <c r="F65" s="1" t="s">
        <v>7346</v>
      </c>
      <c r="G65" s="3">
        <v>0</v>
      </c>
      <c r="I65" s="20" t="s">
        <v>5004</v>
      </c>
      <c r="J65" s="20" t="s">
        <v>3149</v>
      </c>
      <c r="K65" s="20" t="s">
        <v>10014</v>
      </c>
      <c r="L65" s="3">
        <v>31</v>
      </c>
      <c r="M65" s="3" t="s">
        <v>10015</v>
      </c>
      <c r="N65" s="3" t="str">
        <f>HYPERLINK("http://ictvonline.org/taxonomyHistory.asp?taxnode_id=20162121","ICTVonline=20162121")</f>
        <v>ICTVonline=20162121</v>
      </c>
    </row>
    <row r="66" spans="1:14" x14ac:dyDescent="0.15">
      <c r="A66" s="3">
        <v>65</v>
      </c>
      <c r="B66" s="1" t="s">
        <v>7449</v>
      </c>
      <c r="C66" s="1" t="s">
        <v>7455</v>
      </c>
      <c r="E66" s="1" t="s">
        <v>7651</v>
      </c>
      <c r="F66" s="1" t="s">
        <v>7652</v>
      </c>
      <c r="G66" s="3">
        <v>1</v>
      </c>
      <c r="H66" s="20" t="s">
        <v>7653</v>
      </c>
      <c r="I66" s="20" t="s">
        <v>7654</v>
      </c>
      <c r="J66" s="20" t="s">
        <v>3149</v>
      </c>
      <c r="K66" s="20" t="s">
        <v>10013</v>
      </c>
      <c r="L66" s="3">
        <v>31</v>
      </c>
      <c r="M66" s="3" t="s">
        <v>7655</v>
      </c>
      <c r="N66" s="3" t="str">
        <f>HYPERLINK("http://ictvonline.org/taxonomyHistory.asp?taxnode_id=20164797","ICTVonline=20164797")</f>
        <v>ICTVonline=20164797</v>
      </c>
    </row>
    <row r="67" spans="1:14" x14ac:dyDescent="0.15">
      <c r="A67" s="3">
        <v>66</v>
      </c>
      <c r="B67" s="1" t="s">
        <v>7449</v>
      </c>
      <c r="C67" s="40" t="s">
        <v>7455</v>
      </c>
      <c r="E67" s="1" t="s">
        <v>7651</v>
      </c>
      <c r="F67" s="1" t="s">
        <v>7656</v>
      </c>
      <c r="G67" s="3">
        <v>0</v>
      </c>
      <c r="H67" s="20" t="s">
        <v>7657</v>
      </c>
      <c r="I67" s="20" t="s">
        <v>7658</v>
      </c>
      <c r="J67" s="20" t="s">
        <v>3149</v>
      </c>
      <c r="K67" s="20" t="s">
        <v>10013</v>
      </c>
      <c r="L67" s="3">
        <v>31</v>
      </c>
      <c r="M67" s="3" t="s">
        <v>7655</v>
      </c>
      <c r="N67" s="3" t="str">
        <f>HYPERLINK("http://ictvonline.org/taxonomyHistory.asp?taxnode_id=20164798","ICTVonline=20164798")</f>
        <v>ICTVonline=20164798</v>
      </c>
    </row>
    <row r="68" spans="1:14" x14ac:dyDescent="0.15">
      <c r="A68" s="3">
        <v>67</v>
      </c>
      <c r="B68" s="1" t="s">
        <v>7449</v>
      </c>
      <c r="C68" s="40" t="s">
        <v>7455</v>
      </c>
      <c r="E68" s="1" t="s">
        <v>7651</v>
      </c>
      <c r="F68" s="1" t="s">
        <v>7659</v>
      </c>
      <c r="G68" s="3">
        <v>0</v>
      </c>
      <c r="H68" s="20" t="s">
        <v>7660</v>
      </c>
      <c r="I68" s="20" t="s">
        <v>7661</v>
      </c>
      <c r="J68" s="20" t="s">
        <v>3149</v>
      </c>
      <c r="K68" s="20" t="s">
        <v>10013</v>
      </c>
      <c r="L68" s="3">
        <v>31</v>
      </c>
      <c r="M68" s="3" t="s">
        <v>7655</v>
      </c>
      <c r="N68" s="3" t="str">
        <f>HYPERLINK("http://ictvonline.org/taxonomyHistory.asp?taxnode_id=20164799","ICTVonline=20164799")</f>
        <v>ICTVonline=20164799</v>
      </c>
    </row>
    <row r="69" spans="1:14" x14ac:dyDescent="0.15">
      <c r="A69" s="3">
        <v>68</v>
      </c>
      <c r="B69" s="1" t="s">
        <v>7449</v>
      </c>
      <c r="C69" s="40" t="s">
        <v>7455</v>
      </c>
      <c r="E69" s="1" t="s">
        <v>7651</v>
      </c>
      <c r="F69" s="1" t="s">
        <v>7662</v>
      </c>
      <c r="G69" s="3">
        <v>0</v>
      </c>
      <c r="H69" s="20" t="s">
        <v>7663</v>
      </c>
      <c r="I69" s="20" t="s">
        <v>7664</v>
      </c>
      <c r="J69" s="20" t="s">
        <v>3149</v>
      </c>
      <c r="K69" s="20" t="s">
        <v>10013</v>
      </c>
      <c r="L69" s="3">
        <v>31</v>
      </c>
      <c r="M69" s="3" t="s">
        <v>7655</v>
      </c>
      <c r="N69" s="3" t="str">
        <f>HYPERLINK("http://ictvonline.org/taxonomyHistory.asp?taxnode_id=20164800","ICTVonline=20164800")</f>
        <v>ICTVonline=20164800</v>
      </c>
    </row>
    <row r="70" spans="1:14" x14ac:dyDescent="0.15">
      <c r="A70" s="3">
        <v>69</v>
      </c>
      <c r="B70" s="1" t="s">
        <v>7449</v>
      </c>
      <c r="C70" s="1" t="s">
        <v>7455</v>
      </c>
      <c r="E70" s="1" t="s">
        <v>2051</v>
      </c>
      <c r="F70" s="1" t="s">
        <v>5005</v>
      </c>
      <c r="G70" s="3">
        <v>0</v>
      </c>
      <c r="I70" s="20" t="s">
        <v>5006</v>
      </c>
      <c r="J70" s="20" t="s">
        <v>3149</v>
      </c>
      <c r="K70" s="20" t="s">
        <v>10016</v>
      </c>
      <c r="L70" s="3">
        <v>31</v>
      </c>
      <c r="M70" s="3" t="s">
        <v>10015</v>
      </c>
      <c r="N70" s="3" t="str">
        <f>HYPERLINK("http://ictvonline.org/taxonomyHistory.asp?taxnode_id=20162123","ICTVonline=20162123")</f>
        <v>ICTVonline=20162123</v>
      </c>
    </row>
    <row r="71" spans="1:14" x14ac:dyDescent="0.15">
      <c r="A71" s="3">
        <v>70</v>
      </c>
      <c r="B71" s="1" t="s">
        <v>7449</v>
      </c>
      <c r="C71" s="1" t="s">
        <v>7455</v>
      </c>
      <c r="E71" s="1" t="s">
        <v>2051</v>
      </c>
      <c r="F71" s="1" t="s">
        <v>5007</v>
      </c>
      <c r="G71" s="3">
        <v>0</v>
      </c>
      <c r="I71" s="20" t="s">
        <v>5008</v>
      </c>
      <c r="J71" s="20" t="s">
        <v>3149</v>
      </c>
      <c r="K71" s="20" t="s">
        <v>10016</v>
      </c>
      <c r="L71" s="3">
        <v>31</v>
      </c>
      <c r="M71" s="3" t="s">
        <v>10015</v>
      </c>
      <c r="N71" s="3" t="str">
        <f>HYPERLINK("http://ictvonline.org/taxonomyHistory.asp?taxnode_id=20162124","ICTVonline=20162124")</f>
        <v>ICTVonline=20162124</v>
      </c>
    </row>
    <row r="72" spans="1:14" x14ac:dyDescent="0.15">
      <c r="A72" s="3">
        <v>71</v>
      </c>
      <c r="B72" s="1" t="s">
        <v>7449</v>
      </c>
      <c r="C72" s="1" t="s">
        <v>7455</v>
      </c>
      <c r="E72" s="1" t="s">
        <v>2051</v>
      </c>
      <c r="F72" s="1" t="s">
        <v>5009</v>
      </c>
      <c r="G72" s="3">
        <v>0</v>
      </c>
      <c r="I72" s="20" t="s">
        <v>5010</v>
      </c>
      <c r="J72" s="20" t="s">
        <v>3149</v>
      </c>
      <c r="K72" s="20" t="s">
        <v>10016</v>
      </c>
      <c r="L72" s="3">
        <v>31</v>
      </c>
      <c r="M72" s="3" t="s">
        <v>10015</v>
      </c>
      <c r="N72" s="3" t="str">
        <f>HYPERLINK("http://ictvonline.org/taxonomyHistory.asp?taxnode_id=20162125","ICTVonline=20162125")</f>
        <v>ICTVonline=20162125</v>
      </c>
    </row>
    <row r="73" spans="1:14" x14ac:dyDescent="0.15">
      <c r="A73" s="3">
        <v>72</v>
      </c>
      <c r="B73" s="1" t="s">
        <v>7449</v>
      </c>
      <c r="C73" s="1" t="s">
        <v>7455</v>
      </c>
      <c r="E73" s="1" t="s">
        <v>2051</v>
      </c>
      <c r="F73" s="1" t="s">
        <v>5011</v>
      </c>
      <c r="G73" s="3">
        <v>0</v>
      </c>
      <c r="I73" s="20" t="s">
        <v>6449</v>
      </c>
      <c r="J73" s="20" t="s">
        <v>3149</v>
      </c>
      <c r="K73" s="20" t="s">
        <v>10016</v>
      </c>
      <c r="L73" s="3">
        <v>31</v>
      </c>
      <c r="M73" s="3" t="s">
        <v>10015</v>
      </c>
      <c r="N73" s="3" t="str">
        <f>HYPERLINK("http://ictvonline.org/taxonomyHistory.asp?taxnode_id=20162126","ICTVonline=20162126")</f>
        <v>ICTVonline=20162126</v>
      </c>
    </row>
    <row r="74" spans="1:14" x14ac:dyDescent="0.15">
      <c r="A74" s="3">
        <v>73</v>
      </c>
      <c r="B74" s="1" t="s">
        <v>7449</v>
      </c>
      <c r="C74" s="1" t="s">
        <v>7455</v>
      </c>
      <c r="E74" s="1" t="s">
        <v>2051</v>
      </c>
      <c r="F74" s="1" t="s">
        <v>5012</v>
      </c>
      <c r="G74" s="3">
        <v>0</v>
      </c>
      <c r="I74" s="20" t="s">
        <v>6450</v>
      </c>
      <c r="J74" s="20" t="s">
        <v>3149</v>
      </c>
      <c r="K74" s="20" t="s">
        <v>10016</v>
      </c>
      <c r="L74" s="3">
        <v>31</v>
      </c>
      <c r="M74" s="3" t="s">
        <v>10015</v>
      </c>
      <c r="N74" s="3" t="str">
        <f>HYPERLINK("http://ictvonline.org/taxonomyHistory.asp?taxnode_id=20162127","ICTVonline=20162127")</f>
        <v>ICTVonline=20162127</v>
      </c>
    </row>
    <row r="75" spans="1:14" x14ac:dyDescent="0.15">
      <c r="A75" s="3">
        <v>74</v>
      </c>
      <c r="B75" s="1" t="s">
        <v>7449</v>
      </c>
      <c r="C75" s="1" t="s">
        <v>7455</v>
      </c>
      <c r="E75" s="1" t="s">
        <v>2051</v>
      </c>
      <c r="F75" s="1" t="s">
        <v>5013</v>
      </c>
      <c r="G75" s="3">
        <v>0</v>
      </c>
      <c r="I75" s="20" t="s">
        <v>5014</v>
      </c>
      <c r="J75" s="20" t="s">
        <v>3149</v>
      </c>
      <c r="K75" s="20" t="s">
        <v>10016</v>
      </c>
      <c r="L75" s="3">
        <v>31</v>
      </c>
      <c r="M75" s="3" t="s">
        <v>10015</v>
      </c>
      <c r="N75" s="3" t="str">
        <f>HYPERLINK("http://ictvonline.org/taxonomyHistory.asp?taxnode_id=20162128","ICTVonline=20162128")</f>
        <v>ICTVonline=20162128</v>
      </c>
    </row>
    <row r="76" spans="1:14" x14ac:dyDescent="0.15">
      <c r="A76" s="3">
        <v>75</v>
      </c>
      <c r="B76" s="1" t="s">
        <v>7449</v>
      </c>
      <c r="C76" s="1" t="s">
        <v>7455</v>
      </c>
      <c r="E76" s="1" t="s">
        <v>2051</v>
      </c>
      <c r="F76" s="1" t="s">
        <v>5015</v>
      </c>
      <c r="G76" s="3">
        <v>0</v>
      </c>
      <c r="I76" s="20" t="s">
        <v>5016</v>
      </c>
      <c r="J76" s="20" t="s">
        <v>3149</v>
      </c>
      <c r="K76" s="20" t="s">
        <v>10016</v>
      </c>
      <c r="L76" s="3">
        <v>31</v>
      </c>
      <c r="M76" s="3" t="s">
        <v>10015</v>
      </c>
      <c r="N76" s="3" t="str">
        <f>HYPERLINK("http://ictvonline.org/taxonomyHistory.asp?taxnode_id=20162129","ICTVonline=20162129")</f>
        <v>ICTVonline=20162129</v>
      </c>
    </row>
    <row r="77" spans="1:14" x14ac:dyDescent="0.15">
      <c r="A77" s="3">
        <v>76</v>
      </c>
      <c r="B77" s="1" t="s">
        <v>7449</v>
      </c>
      <c r="C77" s="1" t="s">
        <v>7455</v>
      </c>
      <c r="E77" s="1" t="s">
        <v>2051</v>
      </c>
      <c r="F77" s="1" t="s">
        <v>5017</v>
      </c>
      <c r="G77" s="3">
        <v>0</v>
      </c>
      <c r="I77" s="20" t="s">
        <v>5018</v>
      </c>
      <c r="J77" s="20" t="s">
        <v>3149</v>
      </c>
      <c r="K77" s="20" t="s">
        <v>10016</v>
      </c>
      <c r="L77" s="3">
        <v>31</v>
      </c>
      <c r="M77" s="3" t="s">
        <v>10015</v>
      </c>
      <c r="N77" s="3" t="str">
        <f>HYPERLINK("http://ictvonline.org/taxonomyHistory.asp?taxnode_id=20162130","ICTVonline=20162130")</f>
        <v>ICTVonline=20162130</v>
      </c>
    </row>
    <row r="78" spans="1:14" x14ac:dyDescent="0.15">
      <c r="A78" s="3">
        <v>77</v>
      </c>
      <c r="B78" s="1" t="s">
        <v>7449</v>
      </c>
      <c r="C78" s="1" t="s">
        <v>7455</v>
      </c>
      <c r="E78" s="1" t="s">
        <v>2051</v>
      </c>
      <c r="F78" s="1" t="s">
        <v>5019</v>
      </c>
      <c r="G78" s="3">
        <v>0</v>
      </c>
      <c r="I78" s="20" t="s">
        <v>5020</v>
      </c>
      <c r="J78" s="20" t="s">
        <v>3149</v>
      </c>
      <c r="K78" s="20" t="s">
        <v>10016</v>
      </c>
      <c r="L78" s="3">
        <v>31</v>
      </c>
      <c r="M78" s="3" t="s">
        <v>10015</v>
      </c>
      <c r="N78" s="3" t="str">
        <f>HYPERLINK("http://ictvonline.org/taxonomyHistory.asp?taxnode_id=20162131","ICTVonline=20162131")</f>
        <v>ICTVonline=20162131</v>
      </c>
    </row>
    <row r="79" spans="1:14" x14ac:dyDescent="0.15">
      <c r="A79" s="3">
        <v>78</v>
      </c>
      <c r="B79" s="1" t="s">
        <v>7449</v>
      </c>
      <c r="C79" s="1" t="s">
        <v>7455</v>
      </c>
      <c r="E79" s="1" t="s">
        <v>2051</v>
      </c>
      <c r="F79" s="1" t="s">
        <v>5021</v>
      </c>
      <c r="G79" s="3">
        <v>0</v>
      </c>
      <c r="I79" s="20" t="s">
        <v>5022</v>
      </c>
      <c r="J79" s="20" t="s">
        <v>3149</v>
      </c>
      <c r="K79" s="20" t="s">
        <v>10016</v>
      </c>
      <c r="L79" s="3">
        <v>31</v>
      </c>
      <c r="M79" s="3" t="s">
        <v>10015</v>
      </c>
      <c r="N79" s="3" t="str">
        <f>HYPERLINK("http://ictvonline.org/taxonomyHistory.asp?taxnode_id=20162132","ICTVonline=20162132")</f>
        <v>ICTVonline=20162132</v>
      </c>
    </row>
    <row r="80" spans="1:14" x14ac:dyDescent="0.15">
      <c r="A80" s="3">
        <v>79</v>
      </c>
      <c r="B80" s="1" t="s">
        <v>7449</v>
      </c>
      <c r="C80" s="1" t="s">
        <v>7455</v>
      </c>
      <c r="E80" s="1" t="s">
        <v>2051</v>
      </c>
      <c r="F80" s="1" t="s">
        <v>5023</v>
      </c>
      <c r="G80" s="3">
        <v>0</v>
      </c>
      <c r="I80" s="20" t="s">
        <v>5024</v>
      </c>
      <c r="J80" s="20" t="s">
        <v>3149</v>
      </c>
      <c r="K80" s="20" t="s">
        <v>10016</v>
      </c>
      <c r="L80" s="3">
        <v>31</v>
      </c>
      <c r="M80" s="3" t="s">
        <v>10015</v>
      </c>
      <c r="N80" s="3" t="str">
        <f>HYPERLINK("http://ictvonline.org/taxonomyHistory.asp?taxnode_id=20162133","ICTVonline=20162133")</f>
        <v>ICTVonline=20162133</v>
      </c>
    </row>
    <row r="81" spans="1:14" x14ac:dyDescent="0.15">
      <c r="A81" s="3">
        <v>80</v>
      </c>
      <c r="B81" s="1" t="s">
        <v>7449</v>
      </c>
      <c r="C81" s="1" t="s">
        <v>7455</v>
      </c>
      <c r="E81" s="1" t="s">
        <v>2051</v>
      </c>
      <c r="F81" s="1" t="s">
        <v>5025</v>
      </c>
      <c r="G81" s="3">
        <v>1</v>
      </c>
      <c r="I81" s="20" t="s">
        <v>5026</v>
      </c>
      <c r="J81" s="20" t="s">
        <v>3149</v>
      </c>
      <c r="K81" s="20" t="s">
        <v>10016</v>
      </c>
      <c r="L81" s="3">
        <v>31</v>
      </c>
      <c r="M81" s="3" t="s">
        <v>10015</v>
      </c>
      <c r="N81" s="3" t="str">
        <f>HYPERLINK("http://ictvonline.org/taxonomyHistory.asp?taxnode_id=20162134","ICTVonline=20162134")</f>
        <v>ICTVonline=20162134</v>
      </c>
    </row>
    <row r="82" spans="1:14" x14ac:dyDescent="0.15">
      <c r="A82" s="3">
        <v>81</v>
      </c>
      <c r="B82" s="1" t="s">
        <v>7449</v>
      </c>
      <c r="C82" s="1" t="s">
        <v>7455</v>
      </c>
      <c r="E82" s="1" t="s">
        <v>2051</v>
      </c>
      <c r="F82" s="1" t="s">
        <v>5027</v>
      </c>
      <c r="G82" s="3">
        <v>0</v>
      </c>
      <c r="I82" s="20" t="s">
        <v>5028</v>
      </c>
      <c r="J82" s="20" t="s">
        <v>3149</v>
      </c>
      <c r="K82" s="20" t="s">
        <v>10016</v>
      </c>
      <c r="L82" s="3">
        <v>31</v>
      </c>
      <c r="M82" s="3" t="s">
        <v>10015</v>
      </c>
      <c r="N82" s="3" t="str">
        <f>HYPERLINK("http://ictvonline.org/taxonomyHistory.asp?taxnode_id=20162135","ICTVonline=20162135")</f>
        <v>ICTVonline=20162135</v>
      </c>
    </row>
    <row r="83" spans="1:14" x14ac:dyDescent="0.15">
      <c r="A83" s="3">
        <v>82</v>
      </c>
      <c r="B83" s="1" t="s">
        <v>7449</v>
      </c>
      <c r="C83" s="1" t="s">
        <v>7455</v>
      </c>
      <c r="E83" s="1" t="s">
        <v>2051</v>
      </c>
      <c r="F83" s="1" t="s">
        <v>5029</v>
      </c>
      <c r="G83" s="3">
        <v>0</v>
      </c>
      <c r="I83" s="20" t="s">
        <v>5030</v>
      </c>
      <c r="J83" s="20" t="s">
        <v>3149</v>
      </c>
      <c r="K83" s="20" t="s">
        <v>10016</v>
      </c>
      <c r="L83" s="3">
        <v>31</v>
      </c>
      <c r="M83" s="3" t="s">
        <v>10015</v>
      </c>
      <c r="N83" s="3" t="str">
        <f>HYPERLINK("http://ictvonline.org/taxonomyHistory.asp?taxnode_id=20162136","ICTVonline=20162136")</f>
        <v>ICTVonline=20162136</v>
      </c>
    </row>
    <row r="84" spans="1:14" x14ac:dyDescent="0.15">
      <c r="A84" s="3">
        <v>83</v>
      </c>
      <c r="B84" s="1" t="s">
        <v>7449</v>
      </c>
      <c r="C84" s="1" t="s">
        <v>7455</v>
      </c>
      <c r="E84" s="1" t="s">
        <v>2051</v>
      </c>
      <c r="F84" s="1" t="s">
        <v>5031</v>
      </c>
      <c r="G84" s="3">
        <v>0</v>
      </c>
      <c r="I84" s="20" t="s">
        <v>6451</v>
      </c>
      <c r="J84" s="20" t="s">
        <v>3149</v>
      </c>
      <c r="K84" s="20" t="s">
        <v>10016</v>
      </c>
      <c r="L84" s="3">
        <v>31</v>
      </c>
      <c r="M84" s="3" t="s">
        <v>10015</v>
      </c>
      <c r="N84" s="3" t="str">
        <f>HYPERLINK("http://ictvonline.org/taxonomyHistory.asp?taxnode_id=20162137","ICTVonline=20162137")</f>
        <v>ICTVonline=20162137</v>
      </c>
    </row>
    <row r="85" spans="1:14" x14ac:dyDescent="0.15">
      <c r="A85" s="3">
        <v>84</v>
      </c>
      <c r="B85" s="1" t="s">
        <v>7449</v>
      </c>
      <c r="C85" s="1" t="s">
        <v>7455</v>
      </c>
      <c r="E85" s="1" t="s">
        <v>2051</v>
      </c>
      <c r="F85" s="1" t="s">
        <v>5032</v>
      </c>
      <c r="G85" s="3">
        <v>0</v>
      </c>
      <c r="I85" s="20" t="s">
        <v>5033</v>
      </c>
      <c r="J85" s="20" t="s">
        <v>3149</v>
      </c>
      <c r="K85" s="20" t="s">
        <v>10016</v>
      </c>
      <c r="L85" s="3">
        <v>31</v>
      </c>
      <c r="M85" s="3" t="s">
        <v>10015</v>
      </c>
      <c r="N85" s="3" t="str">
        <f>HYPERLINK("http://ictvonline.org/taxonomyHistory.asp?taxnode_id=20162138","ICTVonline=20162138")</f>
        <v>ICTVonline=20162138</v>
      </c>
    </row>
    <row r="86" spans="1:14" x14ac:dyDescent="0.15">
      <c r="A86" s="3">
        <v>85</v>
      </c>
      <c r="B86" s="1" t="s">
        <v>7449</v>
      </c>
      <c r="C86" s="1" t="s">
        <v>7455</v>
      </c>
      <c r="E86" s="1" t="s">
        <v>2051</v>
      </c>
      <c r="F86" s="1" t="s">
        <v>5034</v>
      </c>
      <c r="G86" s="3">
        <v>0</v>
      </c>
      <c r="I86" s="20" t="s">
        <v>6452</v>
      </c>
      <c r="J86" s="20" t="s">
        <v>3149</v>
      </c>
      <c r="K86" s="20" t="s">
        <v>10016</v>
      </c>
      <c r="L86" s="3">
        <v>31</v>
      </c>
      <c r="M86" s="3" t="s">
        <v>10015</v>
      </c>
      <c r="N86" s="3" t="str">
        <f>HYPERLINK("http://ictvonline.org/taxonomyHistory.asp?taxnode_id=20162139","ICTVonline=20162139")</f>
        <v>ICTVonline=20162139</v>
      </c>
    </row>
    <row r="87" spans="1:14" x14ac:dyDescent="0.15">
      <c r="A87" s="3">
        <v>86</v>
      </c>
      <c r="B87" s="1" t="s">
        <v>7449</v>
      </c>
      <c r="C87" s="1" t="s">
        <v>7455</v>
      </c>
      <c r="E87" s="1" t="s">
        <v>2051</v>
      </c>
      <c r="F87" s="1" t="s">
        <v>5035</v>
      </c>
      <c r="G87" s="3">
        <v>0</v>
      </c>
      <c r="I87" s="20" t="s">
        <v>6453</v>
      </c>
      <c r="J87" s="20" t="s">
        <v>3149</v>
      </c>
      <c r="K87" s="20" t="s">
        <v>10016</v>
      </c>
      <c r="L87" s="3">
        <v>31</v>
      </c>
      <c r="M87" s="3" t="s">
        <v>10015</v>
      </c>
      <c r="N87" s="3" t="str">
        <f>HYPERLINK("http://ictvonline.org/taxonomyHistory.asp?taxnode_id=20162140","ICTVonline=20162140")</f>
        <v>ICTVonline=20162140</v>
      </c>
    </row>
    <row r="88" spans="1:14" x14ac:dyDescent="0.15">
      <c r="A88" s="3">
        <v>87</v>
      </c>
      <c r="B88" s="1" t="s">
        <v>7449</v>
      </c>
      <c r="C88" s="1" t="s">
        <v>7455</v>
      </c>
      <c r="E88" s="1" t="s">
        <v>2051</v>
      </c>
      <c r="F88" s="1" t="s">
        <v>5036</v>
      </c>
      <c r="G88" s="3">
        <v>0</v>
      </c>
      <c r="I88" s="20" t="s">
        <v>5037</v>
      </c>
      <c r="J88" s="20" t="s">
        <v>3149</v>
      </c>
      <c r="K88" s="20" t="s">
        <v>10016</v>
      </c>
      <c r="L88" s="3">
        <v>31</v>
      </c>
      <c r="M88" s="3" t="s">
        <v>10015</v>
      </c>
      <c r="N88" s="3" t="str">
        <f>HYPERLINK("http://ictvonline.org/taxonomyHistory.asp?taxnode_id=20162141","ICTVonline=20162141")</f>
        <v>ICTVonline=20162141</v>
      </c>
    </row>
    <row r="89" spans="1:14" x14ac:dyDescent="0.15">
      <c r="A89" s="3">
        <v>88</v>
      </c>
      <c r="B89" s="1" t="s">
        <v>7449</v>
      </c>
      <c r="C89" s="1" t="s">
        <v>7455</v>
      </c>
      <c r="E89" s="1" t="s">
        <v>2051</v>
      </c>
      <c r="F89" s="1" t="s">
        <v>5038</v>
      </c>
      <c r="G89" s="3">
        <v>0</v>
      </c>
      <c r="I89" s="20" t="s">
        <v>5039</v>
      </c>
      <c r="J89" s="20" t="s">
        <v>3149</v>
      </c>
      <c r="K89" s="20" t="s">
        <v>10016</v>
      </c>
      <c r="L89" s="3">
        <v>31</v>
      </c>
      <c r="M89" s="3" t="s">
        <v>10015</v>
      </c>
      <c r="N89" s="3" t="str">
        <f>HYPERLINK("http://ictvonline.org/taxonomyHistory.asp?taxnode_id=20162142","ICTVonline=20162142")</f>
        <v>ICTVonline=20162142</v>
      </c>
    </row>
    <row r="90" spans="1:14" x14ac:dyDescent="0.15">
      <c r="A90" s="3">
        <v>89</v>
      </c>
      <c r="B90" s="1" t="s">
        <v>7449</v>
      </c>
      <c r="C90" s="1" t="s">
        <v>7455</v>
      </c>
      <c r="E90" s="1" t="s">
        <v>2051</v>
      </c>
      <c r="F90" s="1" t="s">
        <v>5040</v>
      </c>
      <c r="G90" s="3">
        <v>0</v>
      </c>
      <c r="I90" s="20" t="s">
        <v>6454</v>
      </c>
      <c r="J90" s="20" t="s">
        <v>3149</v>
      </c>
      <c r="K90" s="20" t="s">
        <v>10016</v>
      </c>
      <c r="L90" s="3">
        <v>31</v>
      </c>
      <c r="M90" s="3" t="s">
        <v>10015</v>
      </c>
      <c r="N90" s="3" t="str">
        <f>HYPERLINK("http://ictvonline.org/taxonomyHistory.asp?taxnode_id=20162143","ICTVonline=20162143")</f>
        <v>ICTVonline=20162143</v>
      </c>
    </row>
    <row r="91" spans="1:14" x14ac:dyDescent="0.15">
      <c r="A91" s="3">
        <v>90</v>
      </c>
      <c r="B91" s="1" t="s">
        <v>7449</v>
      </c>
      <c r="C91" s="1" t="s">
        <v>7455</v>
      </c>
      <c r="E91" s="1" t="s">
        <v>2051</v>
      </c>
      <c r="F91" s="1" t="s">
        <v>5041</v>
      </c>
      <c r="G91" s="3">
        <v>0</v>
      </c>
      <c r="I91" s="20" t="s">
        <v>6455</v>
      </c>
      <c r="J91" s="20" t="s">
        <v>3149</v>
      </c>
      <c r="K91" s="20" t="s">
        <v>10016</v>
      </c>
      <c r="L91" s="3">
        <v>31</v>
      </c>
      <c r="M91" s="3" t="s">
        <v>10015</v>
      </c>
      <c r="N91" s="3" t="str">
        <f>HYPERLINK("http://ictvonline.org/taxonomyHistory.asp?taxnode_id=20162144","ICTVonline=20162144")</f>
        <v>ICTVonline=20162144</v>
      </c>
    </row>
    <row r="92" spans="1:14" x14ac:dyDescent="0.15">
      <c r="A92" s="3">
        <v>91</v>
      </c>
      <c r="B92" s="1" t="s">
        <v>7449</v>
      </c>
      <c r="C92" s="1" t="s">
        <v>7455</v>
      </c>
      <c r="E92" s="1" t="s">
        <v>2051</v>
      </c>
      <c r="F92" s="1" t="s">
        <v>5042</v>
      </c>
      <c r="G92" s="3">
        <v>0</v>
      </c>
      <c r="I92" s="20" t="s">
        <v>5043</v>
      </c>
      <c r="J92" s="20" t="s">
        <v>3149</v>
      </c>
      <c r="K92" s="20" t="s">
        <v>10016</v>
      </c>
      <c r="L92" s="3">
        <v>31</v>
      </c>
      <c r="M92" s="3" t="s">
        <v>10015</v>
      </c>
      <c r="N92" s="3" t="str">
        <f>HYPERLINK("http://ictvonline.org/taxonomyHistory.asp?taxnode_id=20162145","ICTVonline=20162145")</f>
        <v>ICTVonline=20162145</v>
      </c>
    </row>
    <row r="93" spans="1:14" x14ac:dyDescent="0.15">
      <c r="A93" s="3">
        <v>92</v>
      </c>
      <c r="B93" s="1" t="s">
        <v>7449</v>
      </c>
      <c r="C93" s="1" t="s">
        <v>7455</v>
      </c>
      <c r="E93" s="1" t="s">
        <v>2051</v>
      </c>
      <c r="F93" s="1" t="s">
        <v>5044</v>
      </c>
      <c r="G93" s="3">
        <v>0</v>
      </c>
      <c r="I93" s="20" t="s">
        <v>5045</v>
      </c>
      <c r="J93" s="20" t="s">
        <v>3149</v>
      </c>
      <c r="K93" s="20" t="s">
        <v>10016</v>
      </c>
      <c r="L93" s="3">
        <v>31</v>
      </c>
      <c r="M93" s="3" t="s">
        <v>10015</v>
      </c>
      <c r="N93" s="3" t="str">
        <f>HYPERLINK("http://ictvonline.org/taxonomyHistory.asp?taxnode_id=20162146","ICTVonline=20162146")</f>
        <v>ICTVonline=20162146</v>
      </c>
    </row>
    <row r="94" spans="1:14" x14ac:dyDescent="0.15">
      <c r="A94" s="3">
        <v>93</v>
      </c>
      <c r="B94" s="1" t="s">
        <v>7449</v>
      </c>
      <c r="C94" s="1" t="s">
        <v>7455</v>
      </c>
      <c r="E94" s="1" t="s">
        <v>2051</v>
      </c>
      <c r="F94" s="1" t="s">
        <v>5046</v>
      </c>
      <c r="G94" s="3">
        <v>0</v>
      </c>
      <c r="I94" s="20" t="s">
        <v>5047</v>
      </c>
      <c r="J94" s="20" t="s">
        <v>3149</v>
      </c>
      <c r="K94" s="20" t="s">
        <v>10016</v>
      </c>
      <c r="L94" s="3">
        <v>31</v>
      </c>
      <c r="M94" s="3" t="s">
        <v>10015</v>
      </c>
      <c r="N94" s="3" t="str">
        <f>HYPERLINK("http://ictvonline.org/taxonomyHistory.asp?taxnode_id=20162147","ICTVonline=20162147")</f>
        <v>ICTVonline=20162147</v>
      </c>
    </row>
    <row r="95" spans="1:14" x14ac:dyDescent="0.15">
      <c r="A95" s="3">
        <v>94</v>
      </c>
      <c r="B95" s="1" t="s">
        <v>7449</v>
      </c>
      <c r="C95" s="1" t="s">
        <v>7455</v>
      </c>
      <c r="E95" s="1" t="s">
        <v>2051</v>
      </c>
      <c r="F95" s="1" t="s">
        <v>5048</v>
      </c>
      <c r="G95" s="3">
        <v>0</v>
      </c>
      <c r="I95" s="20" t="s">
        <v>5049</v>
      </c>
      <c r="J95" s="20" t="s">
        <v>3149</v>
      </c>
      <c r="K95" s="20" t="s">
        <v>10016</v>
      </c>
      <c r="L95" s="3">
        <v>31</v>
      </c>
      <c r="M95" s="3" t="s">
        <v>10015</v>
      </c>
      <c r="N95" s="3" t="str">
        <f>HYPERLINK("http://ictvonline.org/taxonomyHistory.asp?taxnode_id=20162148","ICTVonline=20162148")</f>
        <v>ICTVonline=20162148</v>
      </c>
    </row>
    <row r="96" spans="1:14" x14ac:dyDescent="0.15">
      <c r="A96" s="3">
        <v>95</v>
      </c>
      <c r="B96" s="1" t="s">
        <v>7449</v>
      </c>
      <c r="C96" s="1" t="s">
        <v>7455</v>
      </c>
      <c r="E96" s="1" t="s">
        <v>2051</v>
      </c>
      <c r="F96" s="1" t="s">
        <v>5050</v>
      </c>
      <c r="G96" s="3">
        <v>0</v>
      </c>
      <c r="I96" s="20" t="s">
        <v>5051</v>
      </c>
      <c r="J96" s="20" t="s">
        <v>3149</v>
      </c>
      <c r="K96" s="20" t="s">
        <v>10016</v>
      </c>
      <c r="L96" s="3">
        <v>31</v>
      </c>
      <c r="M96" s="3" t="s">
        <v>10015</v>
      </c>
      <c r="N96" s="3" t="str">
        <f>HYPERLINK("http://ictvonline.org/taxonomyHistory.asp?taxnode_id=20162149","ICTVonline=20162149")</f>
        <v>ICTVonline=20162149</v>
      </c>
    </row>
    <row r="97" spans="1:14" x14ac:dyDescent="0.15">
      <c r="A97" s="3">
        <v>96</v>
      </c>
      <c r="B97" s="1" t="s">
        <v>7449</v>
      </c>
      <c r="C97" s="1" t="s">
        <v>7455</v>
      </c>
      <c r="E97" s="1" t="s">
        <v>2051</v>
      </c>
      <c r="F97" s="1" t="s">
        <v>5052</v>
      </c>
      <c r="G97" s="3">
        <v>0</v>
      </c>
      <c r="I97" s="20" t="s">
        <v>5053</v>
      </c>
      <c r="J97" s="20" t="s">
        <v>3149</v>
      </c>
      <c r="K97" s="20" t="s">
        <v>10016</v>
      </c>
      <c r="L97" s="3">
        <v>31</v>
      </c>
      <c r="M97" s="3" t="s">
        <v>10015</v>
      </c>
      <c r="N97" s="3" t="str">
        <f>HYPERLINK("http://ictvonline.org/taxonomyHistory.asp?taxnode_id=20162150","ICTVonline=20162150")</f>
        <v>ICTVonline=20162150</v>
      </c>
    </row>
    <row r="98" spans="1:14" x14ac:dyDescent="0.15">
      <c r="A98" s="3">
        <v>97</v>
      </c>
      <c r="B98" s="1" t="s">
        <v>7449</v>
      </c>
      <c r="C98" s="1" t="s">
        <v>7455</v>
      </c>
      <c r="E98" s="1" t="s">
        <v>2051</v>
      </c>
      <c r="F98" s="1" t="s">
        <v>5054</v>
      </c>
      <c r="G98" s="3">
        <v>0</v>
      </c>
      <c r="I98" s="20" t="s">
        <v>5055</v>
      </c>
      <c r="J98" s="20" t="s">
        <v>3149</v>
      </c>
      <c r="K98" s="20" t="s">
        <v>10016</v>
      </c>
      <c r="L98" s="3">
        <v>31</v>
      </c>
      <c r="M98" s="3" t="s">
        <v>10015</v>
      </c>
      <c r="N98" s="3" t="str">
        <f>HYPERLINK("http://ictvonline.org/taxonomyHistory.asp?taxnode_id=20162151","ICTVonline=20162151")</f>
        <v>ICTVonline=20162151</v>
      </c>
    </row>
    <row r="99" spans="1:14" x14ac:dyDescent="0.15">
      <c r="A99" s="3">
        <v>98</v>
      </c>
      <c r="B99" s="1" t="s">
        <v>7449</v>
      </c>
      <c r="C99" s="1" t="s">
        <v>7455</v>
      </c>
      <c r="E99" s="1" t="s">
        <v>2051</v>
      </c>
      <c r="F99" s="1" t="s">
        <v>5056</v>
      </c>
      <c r="G99" s="3">
        <v>0</v>
      </c>
      <c r="I99" s="20" t="s">
        <v>6456</v>
      </c>
      <c r="J99" s="20" t="s">
        <v>3149</v>
      </c>
      <c r="K99" s="20" t="s">
        <v>10016</v>
      </c>
      <c r="L99" s="3">
        <v>31</v>
      </c>
      <c r="M99" s="3" t="s">
        <v>10015</v>
      </c>
      <c r="N99" s="3" t="str">
        <f>HYPERLINK("http://ictvonline.org/taxonomyHistory.asp?taxnode_id=20162152","ICTVonline=20162152")</f>
        <v>ICTVonline=20162152</v>
      </c>
    </row>
    <row r="100" spans="1:14" x14ac:dyDescent="0.15">
      <c r="A100" s="3">
        <v>99</v>
      </c>
      <c r="B100" s="1" t="s">
        <v>7449</v>
      </c>
      <c r="C100" s="1" t="s">
        <v>7455</v>
      </c>
      <c r="E100" s="1" t="s">
        <v>2051</v>
      </c>
      <c r="F100" s="1" t="s">
        <v>5057</v>
      </c>
      <c r="G100" s="3">
        <v>0</v>
      </c>
      <c r="I100" s="20" t="s">
        <v>5058</v>
      </c>
      <c r="J100" s="20" t="s">
        <v>3149</v>
      </c>
      <c r="K100" s="20" t="s">
        <v>10016</v>
      </c>
      <c r="L100" s="3">
        <v>31</v>
      </c>
      <c r="M100" s="3" t="s">
        <v>10015</v>
      </c>
      <c r="N100" s="3" t="str">
        <f>HYPERLINK("http://ictvonline.org/taxonomyHistory.asp?taxnode_id=20162153","ICTVonline=20162153")</f>
        <v>ICTVonline=20162153</v>
      </c>
    </row>
    <row r="101" spans="1:14" x14ac:dyDescent="0.15">
      <c r="A101" s="3">
        <v>100</v>
      </c>
      <c r="B101" s="1" t="s">
        <v>7449</v>
      </c>
      <c r="C101" s="1" t="s">
        <v>7455</v>
      </c>
      <c r="E101" s="1" t="s">
        <v>2051</v>
      </c>
      <c r="F101" s="1" t="s">
        <v>5059</v>
      </c>
      <c r="G101" s="3">
        <v>0</v>
      </c>
      <c r="I101" s="20" t="s">
        <v>6457</v>
      </c>
      <c r="J101" s="20" t="s">
        <v>3149</v>
      </c>
      <c r="K101" s="20" t="s">
        <v>10016</v>
      </c>
      <c r="L101" s="3">
        <v>31</v>
      </c>
      <c r="M101" s="3" t="s">
        <v>10015</v>
      </c>
      <c r="N101" s="3" t="str">
        <f>HYPERLINK("http://ictvonline.org/taxonomyHistory.asp?taxnode_id=20162154","ICTVonline=20162154")</f>
        <v>ICTVonline=20162154</v>
      </c>
    </row>
    <row r="102" spans="1:14" x14ac:dyDescent="0.15">
      <c r="A102" s="3">
        <v>101</v>
      </c>
      <c r="B102" s="1" t="s">
        <v>7449</v>
      </c>
      <c r="C102" s="1" t="s">
        <v>7455</v>
      </c>
      <c r="E102" s="1" t="s">
        <v>2051</v>
      </c>
      <c r="F102" s="1" t="s">
        <v>5060</v>
      </c>
      <c r="G102" s="3">
        <v>0</v>
      </c>
      <c r="I102" s="20" t="s">
        <v>5061</v>
      </c>
      <c r="J102" s="20" t="s">
        <v>3149</v>
      </c>
      <c r="K102" s="20" t="s">
        <v>10016</v>
      </c>
      <c r="L102" s="3">
        <v>31</v>
      </c>
      <c r="M102" s="3" t="s">
        <v>10015</v>
      </c>
      <c r="N102" s="3" t="str">
        <f>HYPERLINK("http://ictvonline.org/taxonomyHistory.asp?taxnode_id=20162155","ICTVonline=20162155")</f>
        <v>ICTVonline=20162155</v>
      </c>
    </row>
    <row r="103" spans="1:14" x14ac:dyDescent="0.15">
      <c r="A103" s="3">
        <v>102</v>
      </c>
      <c r="B103" s="1" t="s">
        <v>7449</v>
      </c>
      <c r="C103" s="1" t="s">
        <v>7455</v>
      </c>
      <c r="E103" s="1" t="s">
        <v>2051</v>
      </c>
      <c r="F103" s="1" t="s">
        <v>5062</v>
      </c>
      <c r="G103" s="3">
        <v>0</v>
      </c>
      <c r="I103" s="20" t="s">
        <v>5063</v>
      </c>
      <c r="J103" s="20" t="s">
        <v>3149</v>
      </c>
      <c r="K103" s="20" t="s">
        <v>10016</v>
      </c>
      <c r="L103" s="3">
        <v>31</v>
      </c>
      <c r="M103" s="3" t="s">
        <v>10015</v>
      </c>
      <c r="N103" s="3" t="str">
        <f>HYPERLINK("http://ictvonline.org/taxonomyHistory.asp?taxnode_id=20162156","ICTVonline=20162156")</f>
        <v>ICTVonline=20162156</v>
      </c>
    </row>
    <row r="104" spans="1:14" x14ac:dyDescent="0.15">
      <c r="A104" s="3">
        <v>103</v>
      </c>
      <c r="B104" s="1" t="s">
        <v>7449</v>
      </c>
      <c r="C104" s="1" t="s">
        <v>7455</v>
      </c>
      <c r="E104" s="1" t="s">
        <v>2051</v>
      </c>
      <c r="F104" s="1" t="s">
        <v>5064</v>
      </c>
      <c r="G104" s="3">
        <v>0</v>
      </c>
      <c r="I104" s="20" t="s">
        <v>6458</v>
      </c>
      <c r="J104" s="20" t="s">
        <v>3149</v>
      </c>
      <c r="K104" s="20" t="s">
        <v>10016</v>
      </c>
      <c r="L104" s="3">
        <v>31</v>
      </c>
      <c r="M104" s="3" t="s">
        <v>10015</v>
      </c>
      <c r="N104" s="3" t="str">
        <f>HYPERLINK("http://ictvonline.org/taxonomyHistory.asp?taxnode_id=20162157","ICTVonline=20162157")</f>
        <v>ICTVonline=20162157</v>
      </c>
    </row>
    <row r="105" spans="1:14" x14ac:dyDescent="0.15">
      <c r="A105" s="3">
        <v>104</v>
      </c>
      <c r="B105" s="1" t="s">
        <v>7449</v>
      </c>
      <c r="C105" s="1" t="s">
        <v>7455</v>
      </c>
      <c r="E105" s="1" t="s">
        <v>2051</v>
      </c>
      <c r="F105" s="1" t="s">
        <v>5065</v>
      </c>
      <c r="G105" s="3">
        <v>0</v>
      </c>
      <c r="I105" s="20" t="s">
        <v>6459</v>
      </c>
      <c r="J105" s="20" t="s">
        <v>3149</v>
      </c>
      <c r="K105" s="20" t="s">
        <v>10016</v>
      </c>
      <c r="L105" s="3">
        <v>31</v>
      </c>
      <c r="M105" s="3" t="s">
        <v>10015</v>
      </c>
      <c r="N105" s="3" t="str">
        <f>HYPERLINK("http://ictvonline.org/taxonomyHistory.asp?taxnode_id=20162158","ICTVonline=20162158")</f>
        <v>ICTVonline=20162158</v>
      </c>
    </row>
    <row r="106" spans="1:14" x14ac:dyDescent="0.15">
      <c r="A106" s="3">
        <v>105</v>
      </c>
      <c r="B106" s="1" t="s">
        <v>7449</v>
      </c>
      <c r="C106" s="1" t="s">
        <v>7455</v>
      </c>
      <c r="E106" s="1" t="s">
        <v>2051</v>
      </c>
      <c r="F106" s="1" t="s">
        <v>5066</v>
      </c>
      <c r="G106" s="3">
        <v>0</v>
      </c>
      <c r="I106" s="20" t="s">
        <v>5067</v>
      </c>
      <c r="J106" s="20" t="s">
        <v>3149</v>
      </c>
      <c r="K106" s="20" t="s">
        <v>10016</v>
      </c>
      <c r="L106" s="3">
        <v>31</v>
      </c>
      <c r="M106" s="3" t="s">
        <v>10015</v>
      </c>
      <c r="N106" s="3" t="str">
        <f>HYPERLINK("http://ictvonline.org/taxonomyHistory.asp?taxnode_id=20162159","ICTVonline=20162159")</f>
        <v>ICTVonline=20162159</v>
      </c>
    </row>
    <row r="107" spans="1:14" x14ac:dyDescent="0.15">
      <c r="A107" s="3">
        <v>106</v>
      </c>
      <c r="B107" s="1" t="s">
        <v>7449</v>
      </c>
      <c r="C107" s="1" t="s">
        <v>7455</v>
      </c>
      <c r="E107" s="1" t="s">
        <v>2051</v>
      </c>
      <c r="F107" s="1" t="s">
        <v>5068</v>
      </c>
      <c r="G107" s="3">
        <v>0</v>
      </c>
      <c r="I107" s="20" t="s">
        <v>5069</v>
      </c>
      <c r="J107" s="20" t="s">
        <v>3149</v>
      </c>
      <c r="K107" s="20" t="s">
        <v>10016</v>
      </c>
      <c r="L107" s="3">
        <v>31</v>
      </c>
      <c r="M107" s="3" t="s">
        <v>10015</v>
      </c>
      <c r="N107" s="3" t="str">
        <f>HYPERLINK("http://ictvonline.org/taxonomyHistory.asp?taxnode_id=20162160","ICTVonline=20162160")</f>
        <v>ICTVonline=20162160</v>
      </c>
    </row>
    <row r="108" spans="1:14" x14ac:dyDescent="0.15">
      <c r="A108" s="3">
        <v>107</v>
      </c>
      <c r="B108" s="1" t="s">
        <v>7449</v>
      </c>
      <c r="C108" s="1" t="s">
        <v>7455</v>
      </c>
      <c r="E108" s="1" t="s">
        <v>2051</v>
      </c>
      <c r="F108" s="1" t="s">
        <v>5070</v>
      </c>
      <c r="G108" s="3">
        <v>0</v>
      </c>
      <c r="I108" s="20" t="s">
        <v>5071</v>
      </c>
      <c r="J108" s="20" t="s">
        <v>3149</v>
      </c>
      <c r="K108" s="20" t="s">
        <v>10016</v>
      </c>
      <c r="L108" s="3">
        <v>31</v>
      </c>
      <c r="M108" s="3" t="s">
        <v>10015</v>
      </c>
      <c r="N108" s="41" t="str">
        <f>HYPERLINK("http://ictvonline.org/taxonomyHistory.asp?taxnode_id=20162161","ICTVonline=20162161")</f>
        <v>ICTVonline=20162161</v>
      </c>
    </row>
    <row r="109" spans="1:14" x14ac:dyDescent="0.15">
      <c r="A109" s="3">
        <v>108</v>
      </c>
      <c r="B109" s="1" t="s">
        <v>7449</v>
      </c>
      <c r="C109" s="1" t="s">
        <v>7455</v>
      </c>
      <c r="E109" s="1" t="s">
        <v>2051</v>
      </c>
      <c r="F109" s="1" t="s">
        <v>5072</v>
      </c>
      <c r="G109" s="3">
        <v>0</v>
      </c>
      <c r="I109" s="20" t="s">
        <v>5073</v>
      </c>
      <c r="J109" s="20" t="s">
        <v>3149</v>
      </c>
      <c r="K109" s="20" t="s">
        <v>10016</v>
      </c>
      <c r="L109" s="3">
        <v>31</v>
      </c>
      <c r="M109" s="3" t="s">
        <v>10015</v>
      </c>
      <c r="N109" s="3" t="str">
        <f>HYPERLINK("http://ictvonline.org/taxonomyHistory.asp?taxnode_id=20162162","ICTVonline=20162162")</f>
        <v>ICTVonline=20162162</v>
      </c>
    </row>
    <row r="110" spans="1:14" x14ac:dyDescent="0.15">
      <c r="A110" s="3">
        <v>109</v>
      </c>
      <c r="B110" s="1" t="s">
        <v>7449</v>
      </c>
      <c r="C110" s="1" t="s">
        <v>7455</v>
      </c>
      <c r="E110" s="1" t="s">
        <v>2051</v>
      </c>
      <c r="F110" s="1" t="s">
        <v>5074</v>
      </c>
      <c r="G110" s="3">
        <v>0</v>
      </c>
      <c r="I110" s="20" t="s">
        <v>5075</v>
      </c>
      <c r="J110" s="20" t="s">
        <v>3149</v>
      </c>
      <c r="K110" s="20" t="s">
        <v>10016</v>
      </c>
      <c r="L110" s="3">
        <v>31</v>
      </c>
      <c r="M110" s="3" t="s">
        <v>10015</v>
      </c>
      <c r="N110" s="3" t="str">
        <f>HYPERLINK("http://ictvonline.org/taxonomyHistory.asp?taxnode_id=20162163","ICTVonline=20162163")</f>
        <v>ICTVonline=20162163</v>
      </c>
    </row>
    <row r="111" spans="1:14" x14ac:dyDescent="0.15">
      <c r="A111" s="3">
        <v>110</v>
      </c>
      <c r="B111" s="1" t="s">
        <v>7449</v>
      </c>
      <c r="C111" s="1" t="s">
        <v>7455</v>
      </c>
      <c r="E111" s="1" t="s">
        <v>2051</v>
      </c>
      <c r="F111" s="1" t="s">
        <v>5076</v>
      </c>
      <c r="G111" s="3">
        <v>0</v>
      </c>
      <c r="I111" s="20" t="s">
        <v>5077</v>
      </c>
      <c r="J111" s="20" t="s">
        <v>3149</v>
      </c>
      <c r="K111" s="20" t="s">
        <v>10016</v>
      </c>
      <c r="L111" s="3">
        <v>31</v>
      </c>
      <c r="M111" s="3" t="s">
        <v>10015</v>
      </c>
      <c r="N111" s="3" t="str">
        <f>HYPERLINK("http://ictvonline.org/taxonomyHistory.asp?taxnode_id=20162164","ICTVonline=20162164")</f>
        <v>ICTVonline=20162164</v>
      </c>
    </row>
    <row r="112" spans="1:14" x14ac:dyDescent="0.15">
      <c r="A112" s="3">
        <v>111</v>
      </c>
      <c r="B112" s="1" t="s">
        <v>7449</v>
      </c>
      <c r="C112" s="1" t="s">
        <v>7455</v>
      </c>
      <c r="E112" s="1" t="s">
        <v>2051</v>
      </c>
      <c r="F112" s="1" t="s">
        <v>5078</v>
      </c>
      <c r="G112" s="3">
        <v>0</v>
      </c>
      <c r="I112" s="20" t="s">
        <v>5079</v>
      </c>
      <c r="J112" s="20" t="s">
        <v>3149</v>
      </c>
      <c r="K112" s="20" t="s">
        <v>10016</v>
      </c>
      <c r="L112" s="3">
        <v>31</v>
      </c>
      <c r="M112" s="3" t="s">
        <v>10015</v>
      </c>
      <c r="N112" s="3" t="str">
        <f>HYPERLINK("http://ictvonline.org/taxonomyHistory.asp?taxnode_id=20162165","ICTVonline=20162165")</f>
        <v>ICTVonline=20162165</v>
      </c>
    </row>
    <row r="113" spans="1:14" x14ac:dyDescent="0.15">
      <c r="A113" s="3">
        <v>112</v>
      </c>
      <c r="B113" s="1" t="s">
        <v>7449</v>
      </c>
      <c r="C113" s="1" t="s">
        <v>7455</v>
      </c>
      <c r="E113" s="1" t="s">
        <v>2051</v>
      </c>
      <c r="F113" s="1" t="s">
        <v>5080</v>
      </c>
      <c r="G113" s="3">
        <v>0</v>
      </c>
      <c r="I113" s="20" t="s">
        <v>5081</v>
      </c>
      <c r="J113" s="20" t="s">
        <v>3149</v>
      </c>
      <c r="K113" s="20" t="s">
        <v>10016</v>
      </c>
      <c r="L113" s="3">
        <v>31</v>
      </c>
      <c r="M113" s="3" t="s">
        <v>10015</v>
      </c>
      <c r="N113" s="3" t="str">
        <f>HYPERLINK("http://ictvonline.org/taxonomyHistory.asp?taxnode_id=20162166","ICTVonline=20162166")</f>
        <v>ICTVonline=20162166</v>
      </c>
    </row>
    <row r="114" spans="1:14" x14ac:dyDescent="0.15">
      <c r="A114" s="3">
        <v>113</v>
      </c>
      <c r="B114" s="1" t="s">
        <v>7449</v>
      </c>
      <c r="C114" s="1" t="s">
        <v>7455</v>
      </c>
      <c r="E114" s="1" t="s">
        <v>2051</v>
      </c>
      <c r="F114" s="1" t="s">
        <v>5082</v>
      </c>
      <c r="G114" s="3">
        <v>0</v>
      </c>
      <c r="I114" s="20" t="s">
        <v>5083</v>
      </c>
      <c r="J114" s="20" t="s">
        <v>3149</v>
      </c>
      <c r="K114" s="20" t="s">
        <v>10016</v>
      </c>
      <c r="L114" s="3">
        <v>31</v>
      </c>
      <c r="M114" s="3" t="s">
        <v>10015</v>
      </c>
      <c r="N114" s="3" t="str">
        <f>HYPERLINK("http://ictvonline.org/taxonomyHistory.asp?taxnode_id=20162167","ICTVonline=20162167")</f>
        <v>ICTVonline=20162167</v>
      </c>
    </row>
    <row r="115" spans="1:14" x14ac:dyDescent="0.15">
      <c r="A115" s="3">
        <v>114</v>
      </c>
      <c r="B115" s="1" t="s">
        <v>7449</v>
      </c>
      <c r="C115" s="1" t="s">
        <v>7455</v>
      </c>
      <c r="E115" s="1" t="s">
        <v>2051</v>
      </c>
      <c r="F115" s="1" t="s">
        <v>5084</v>
      </c>
      <c r="G115" s="3">
        <v>0</v>
      </c>
      <c r="I115" s="20" t="s">
        <v>5085</v>
      </c>
      <c r="J115" s="20" t="s">
        <v>3149</v>
      </c>
      <c r="K115" s="20" t="s">
        <v>10016</v>
      </c>
      <c r="L115" s="3">
        <v>31</v>
      </c>
      <c r="M115" s="3" t="s">
        <v>10015</v>
      </c>
      <c r="N115" s="3" t="str">
        <f>HYPERLINK("http://ictvonline.org/taxonomyHistory.asp?taxnode_id=20162168","ICTVonline=20162168")</f>
        <v>ICTVonline=20162168</v>
      </c>
    </row>
    <row r="116" spans="1:14" x14ac:dyDescent="0.15">
      <c r="A116" s="3">
        <v>115</v>
      </c>
      <c r="B116" s="1" t="s">
        <v>7449</v>
      </c>
      <c r="C116" s="1" t="s">
        <v>7455</v>
      </c>
      <c r="E116" s="1" t="s">
        <v>2051</v>
      </c>
      <c r="F116" s="1" t="s">
        <v>5086</v>
      </c>
      <c r="G116" s="3">
        <v>0</v>
      </c>
      <c r="I116" s="20" t="s">
        <v>5087</v>
      </c>
      <c r="J116" s="20" t="s">
        <v>3149</v>
      </c>
      <c r="K116" s="20" t="s">
        <v>10016</v>
      </c>
      <c r="L116" s="3">
        <v>31</v>
      </c>
      <c r="M116" s="3" t="s">
        <v>10015</v>
      </c>
      <c r="N116" s="3" t="str">
        <f>HYPERLINK("http://ictvonline.org/taxonomyHistory.asp?taxnode_id=20162169","ICTVonline=20162169")</f>
        <v>ICTVonline=20162169</v>
      </c>
    </row>
    <row r="117" spans="1:14" x14ac:dyDescent="0.15">
      <c r="A117" s="3">
        <v>116</v>
      </c>
      <c r="B117" s="1" t="s">
        <v>7449</v>
      </c>
      <c r="C117" s="1" t="s">
        <v>7455</v>
      </c>
      <c r="E117" s="1" t="s">
        <v>2051</v>
      </c>
      <c r="F117" s="4" t="s">
        <v>5088</v>
      </c>
      <c r="G117" s="3">
        <v>0</v>
      </c>
      <c r="H117" s="21"/>
      <c r="I117" s="21" t="s">
        <v>5089</v>
      </c>
      <c r="J117" s="21" t="s">
        <v>3149</v>
      </c>
      <c r="K117" s="21" t="s">
        <v>10016</v>
      </c>
      <c r="L117" s="3">
        <v>31</v>
      </c>
      <c r="M117" s="3" t="s">
        <v>10015</v>
      </c>
      <c r="N117" s="3" t="str">
        <f>HYPERLINK("http://ictvonline.org/taxonomyHistory.asp?taxnode_id=20162170","ICTVonline=20162170")</f>
        <v>ICTVonline=20162170</v>
      </c>
    </row>
    <row r="118" spans="1:14" x14ac:dyDescent="0.15">
      <c r="A118" s="3">
        <v>117</v>
      </c>
      <c r="B118" s="1" t="s">
        <v>7449</v>
      </c>
      <c r="C118" s="1" t="s">
        <v>7685</v>
      </c>
      <c r="E118" s="1" t="s">
        <v>7686</v>
      </c>
      <c r="F118" s="1" t="s">
        <v>7687</v>
      </c>
      <c r="G118" s="3">
        <v>1</v>
      </c>
      <c r="H118" s="20" t="s">
        <v>7688</v>
      </c>
      <c r="I118" s="20" t="s">
        <v>7689</v>
      </c>
      <c r="J118" s="21" t="s">
        <v>3149</v>
      </c>
      <c r="K118" s="20" t="s">
        <v>10013</v>
      </c>
      <c r="L118" s="3">
        <v>31</v>
      </c>
      <c r="M118" s="3" t="s">
        <v>7690</v>
      </c>
      <c r="N118" s="3" t="str">
        <f>HYPERLINK("http://ictvonline.org/taxonomyHistory.asp?taxnode_id=20164807","ICTVonline=20164807")</f>
        <v>ICTVonline=20164807</v>
      </c>
    </row>
    <row r="119" spans="1:14" x14ac:dyDescent="0.15">
      <c r="A119" s="3">
        <v>118</v>
      </c>
      <c r="B119" s="1" t="s">
        <v>7449</v>
      </c>
      <c r="C119" s="1" t="s">
        <v>7685</v>
      </c>
      <c r="E119" s="1" t="s">
        <v>7686</v>
      </c>
      <c r="F119" s="1" t="s">
        <v>7691</v>
      </c>
      <c r="G119" s="3">
        <v>0</v>
      </c>
      <c r="H119" s="20" t="s">
        <v>7692</v>
      </c>
      <c r="I119" s="20" t="s">
        <v>7693</v>
      </c>
      <c r="J119" s="21" t="s">
        <v>3149</v>
      </c>
      <c r="K119" s="20" t="s">
        <v>10013</v>
      </c>
      <c r="L119" s="3">
        <v>31</v>
      </c>
      <c r="M119" s="3" t="s">
        <v>7690</v>
      </c>
      <c r="N119" s="3" t="str">
        <f>HYPERLINK("http://ictvonline.org/taxonomyHistory.asp?taxnode_id=20164808","ICTVonline=20164808")</f>
        <v>ICTVonline=20164808</v>
      </c>
    </row>
    <row r="120" spans="1:14" x14ac:dyDescent="0.15">
      <c r="A120" s="3">
        <v>119</v>
      </c>
      <c r="B120" s="1" t="s">
        <v>7449</v>
      </c>
      <c r="C120" s="1" t="s">
        <v>7685</v>
      </c>
      <c r="E120" s="1" t="s">
        <v>7686</v>
      </c>
      <c r="F120" s="1" t="s">
        <v>7694</v>
      </c>
      <c r="G120" s="3">
        <v>0</v>
      </c>
      <c r="H120" s="20" t="s">
        <v>7695</v>
      </c>
      <c r="I120" s="20" t="s">
        <v>7696</v>
      </c>
      <c r="J120" s="21" t="s">
        <v>3149</v>
      </c>
      <c r="K120" s="20" t="s">
        <v>10013</v>
      </c>
      <c r="L120" s="3">
        <v>31</v>
      </c>
      <c r="M120" s="3" t="s">
        <v>7690</v>
      </c>
      <c r="N120" s="3" t="str">
        <f>HYPERLINK("http://ictvonline.org/taxonomyHistory.asp?taxnode_id=20164809","ICTVonline=20164809")</f>
        <v>ICTVonline=20164809</v>
      </c>
    </row>
    <row r="121" spans="1:14" x14ac:dyDescent="0.15">
      <c r="A121" s="3">
        <v>120</v>
      </c>
      <c r="B121" s="1" t="s">
        <v>7449</v>
      </c>
      <c r="C121" s="1" t="s">
        <v>7685</v>
      </c>
      <c r="E121" s="1" t="s">
        <v>7686</v>
      </c>
      <c r="F121" s="1" t="s">
        <v>7697</v>
      </c>
      <c r="G121" s="3">
        <v>0</v>
      </c>
      <c r="H121" s="20" t="s">
        <v>7698</v>
      </c>
      <c r="I121" s="20" t="s">
        <v>7699</v>
      </c>
      <c r="J121" s="21" t="s">
        <v>3149</v>
      </c>
      <c r="K121" s="20" t="s">
        <v>10013</v>
      </c>
      <c r="L121" s="3">
        <v>31</v>
      </c>
      <c r="M121" s="3" t="s">
        <v>7690</v>
      </c>
      <c r="N121" s="3" t="str">
        <f>HYPERLINK("http://ictvonline.org/taxonomyHistory.asp?taxnode_id=20164810","ICTVonline=20164810")</f>
        <v>ICTVonline=20164810</v>
      </c>
    </row>
    <row r="122" spans="1:14" x14ac:dyDescent="0.15">
      <c r="A122" s="3">
        <v>121</v>
      </c>
      <c r="B122" s="1" t="s">
        <v>7449</v>
      </c>
      <c r="C122" s="1" t="s">
        <v>7685</v>
      </c>
      <c r="E122" s="1" t="s">
        <v>7686</v>
      </c>
      <c r="F122" s="1" t="s">
        <v>7700</v>
      </c>
      <c r="G122" s="3">
        <v>0</v>
      </c>
      <c r="H122" s="20" t="s">
        <v>7701</v>
      </c>
      <c r="I122" s="20" t="s">
        <v>7702</v>
      </c>
      <c r="J122" s="21" t="s">
        <v>3149</v>
      </c>
      <c r="K122" s="20" t="s">
        <v>10013</v>
      </c>
      <c r="L122" s="3">
        <v>31</v>
      </c>
      <c r="M122" s="3" t="s">
        <v>7690</v>
      </c>
      <c r="N122" s="3" t="str">
        <f>HYPERLINK("http://ictvonline.org/taxonomyHistory.asp?taxnode_id=20164811","ICTVonline=20164811")</f>
        <v>ICTVonline=20164811</v>
      </c>
    </row>
    <row r="123" spans="1:14" x14ac:dyDescent="0.15">
      <c r="A123" s="3">
        <v>122</v>
      </c>
      <c r="B123" s="1" t="s">
        <v>7449</v>
      </c>
      <c r="C123" s="1" t="s">
        <v>7685</v>
      </c>
      <c r="E123" s="1" t="s">
        <v>7686</v>
      </c>
      <c r="F123" s="1" t="s">
        <v>7703</v>
      </c>
      <c r="G123" s="3">
        <v>0</v>
      </c>
      <c r="H123" s="20" t="s">
        <v>7704</v>
      </c>
      <c r="I123" s="20" t="s">
        <v>7705</v>
      </c>
      <c r="J123" s="21" t="s">
        <v>3149</v>
      </c>
      <c r="K123" s="20" t="s">
        <v>10013</v>
      </c>
      <c r="L123" s="3">
        <v>31</v>
      </c>
      <c r="M123" s="3" t="s">
        <v>7690</v>
      </c>
      <c r="N123" s="3" t="str">
        <f>HYPERLINK("http://ictvonline.org/taxonomyHistory.asp?taxnode_id=20164812","ICTVonline=20164812")</f>
        <v>ICTVonline=20164812</v>
      </c>
    </row>
    <row r="124" spans="1:14" x14ac:dyDescent="0.15">
      <c r="A124" s="3">
        <v>123</v>
      </c>
      <c r="B124" s="1" t="s">
        <v>7449</v>
      </c>
      <c r="C124" s="1" t="s">
        <v>7456</v>
      </c>
      <c r="E124" s="1" t="s">
        <v>7706</v>
      </c>
      <c r="F124" s="1" t="s">
        <v>7707</v>
      </c>
      <c r="G124" s="3">
        <v>0</v>
      </c>
      <c r="H124" s="20" t="s">
        <v>7708</v>
      </c>
      <c r="I124" s="20" t="s">
        <v>7709</v>
      </c>
      <c r="J124" s="21" t="s">
        <v>3149</v>
      </c>
      <c r="K124" s="20" t="s">
        <v>10013</v>
      </c>
      <c r="L124" s="3">
        <v>31</v>
      </c>
      <c r="M124" s="3" t="s">
        <v>7710</v>
      </c>
      <c r="N124" s="3" t="str">
        <f>HYPERLINK("http://ictvonline.org/taxonomyHistory.asp?taxnode_id=20164813","ICTVonline=20164813")</f>
        <v>ICTVonline=20164813</v>
      </c>
    </row>
    <row r="125" spans="1:14" x14ac:dyDescent="0.15">
      <c r="A125" s="3">
        <v>124</v>
      </c>
      <c r="B125" s="1" t="s">
        <v>7449</v>
      </c>
      <c r="C125" s="1" t="s">
        <v>7456</v>
      </c>
      <c r="E125" s="1" t="s">
        <v>7706</v>
      </c>
      <c r="F125" s="1" t="s">
        <v>7711</v>
      </c>
      <c r="G125" s="3">
        <v>1</v>
      </c>
      <c r="H125" s="20" t="s">
        <v>7712</v>
      </c>
      <c r="I125" s="20" t="s">
        <v>7713</v>
      </c>
      <c r="J125" s="21" t="s">
        <v>3149</v>
      </c>
      <c r="K125" s="20" t="s">
        <v>10013</v>
      </c>
      <c r="L125" s="3">
        <v>31</v>
      </c>
      <c r="M125" s="3" t="s">
        <v>7710</v>
      </c>
      <c r="N125" s="3" t="str">
        <f>HYPERLINK("http://ictvonline.org/taxonomyHistory.asp?taxnode_id=20164814","ICTVonline=20164814")</f>
        <v>ICTVonline=20164814</v>
      </c>
    </row>
    <row r="126" spans="1:14" x14ac:dyDescent="0.15">
      <c r="A126" s="3">
        <v>125</v>
      </c>
      <c r="B126" s="1" t="s">
        <v>7449</v>
      </c>
      <c r="C126" s="1" t="s">
        <v>7456</v>
      </c>
      <c r="E126" s="1" t="s">
        <v>7706</v>
      </c>
      <c r="F126" s="1" t="s">
        <v>7714</v>
      </c>
      <c r="G126" s="3">
        <v>0</v>
      </c>
      <c r="H126" s="20" t="s">
        <v>7715</v>
      </c>
      <c r="I126" s="20" t="s">
        <v>7716</v>
      </c>
      <c r="J126" s="21" t="s">
        <v>3149</v>
      </c>
      <c r="K126" s="20" t="s">
        <v>10013</v>
      </c>
      <c r="L126" s="3">
        <v>31</v>
      </c>
      <c r="M126" s="3" t="s">
        <v>7710</v>
      </c>
      <c r="N126" s="3" t="str">
        <f>HYPERLINK("http://ictvonline.org/taxonomyHistory.asp?taxnode_id=20164815","ICTVonline=20164815")</f>
        <v>ICTVonline=20164815</v>
      </c>
    </row>
    <row r="127" spans="1:14" x14ac:dyDescent="0.15">
      <c r="A127" s="3">
        <v>126</v>
      </c>
      <c r="B127" s="1" t="s">
        <v>7449</v>
      </c>
      <c r="C127" s="1" t="s">
        <v>7456</v>
      </c>
      <c r="E127" s="1" t="s">
        <v>7717</v>
      </c>
      <c r="F127" s="1" t="s">
        <v>7718</v>
      </c>
      <c r="G127" s="3">
        <v>1</v>
      </c>
      <c r="H127" s="20" t="s">
        <v>7719</v>
      </c>
      <c r="I127" s="20" t="s">
        <v>7720</v>
      </c>
      <c r="J127" s="21" t="s">
        <v>3149</v>
      </c>
      <c r="K127" s="20" t="s">
        <v>10013</v>
      </c>
      <c r="L127" s="3">
        <v>31</v>
      </c>
      <c r="M127" s="3" t="s">
        <v>7721</v>
      </c>
      <c r="N127" s="3" t="str">
        <f>HYPERLINK("http://ictvonline.org/taxonomyHistory.asp?taxnode_id=20164816","ICTVonline=20164816")</f>
        <v>ICTVonline=20164816</v>
      </c>
    </row>
    <row r="128" spans="1:14" x14ac:dyDescent="0.15">
      <c r="A128" s="3">
        <v>127</v>
      </c>
      <c r="B128" s="1" t="s">
        <v>7449</v>
      </c>
      <c r="C128" s="1" t="s">
        <v>7456</v>
      </c>
      <c r="E128" s="1" t="s">
        <v>7717</v>
      </c>
      <c r="F128" s="1" t="s">
        <v>7722</v>
      </c>
      <c r="G128" s="3">
        <v>0</v>
      </c>
      <c r="H128" s="20" t="s">
        <v>7723</v>
      </c>
      <c r="I128" s="20" t="s">
        <v>7724</v>
      </c>
      <c r="J128" s="21" t="s">
        <v>3149</v>
      </c>
      <c r="K128" s="20" t="s">
        <v>10013</v>
      </c>
      <c r="L128" s="3">
        <v>31</v>
      </c>
      <c r="M128" s="3" t="s">
        <v>7721</v>
      </c>
      <c r="N128" s="3" t="str">
        <f>HYPERLINK("http://ictvonline.org/taxonomyHistory.asp?taxnode_id=20164817","ICTVonline=20164817")</f>
        <v>ICTVonline=20164817</v>
      </c>
    </row>
    <row r="129" spans="1:14" x14ac:dyDescent="0.15">
      <c r="A129" s="3">
        <v>128</v>
      </c>
      <c r="B129" s="1" t="s">
        <v>7449</v>
      </c>
      <c r="C129" s="1" t="s">
        <v>7456</v>
      </c>
      <c r="E129" s="1" t="s">
        <v>7717</v>
      </c>
      <c r="F129" s="1" t="s">
        <v>7725</v>
      </c>
      <c r="G129" s="3">
        <v>0</v>
      </c>
      <c r="H129" s="20" t="s">
        <v>7726</v>
      </c>
      <c r="I129" s="20" t="s">
        <v>7727</v>
      </c>
      <c r="J129" s="21" t="s">
        <v>3149</v>
      </c>
      <c r="K129" s="20" t="s">
        <v>10013</v>
      </c>
      <c r="L129" s="3">
        <v>31</v>
      </c>
      <c r="M129" s="3" t="s">
        <v>7721</v>
      </c>
      <c r="N129" s="3" t="str">
        <f>HYPERLINK("http://ictvonline.org/taxonomyHistory.asp?taxnode_id=20164818","ICTVonline=20164818")</f>
        <v>ICTVonline=20164818</v>
      </c>
    </row>
    <row r="130" spans="1:14" x14ac:dyDescent="0.15">
      <c r="A130" s="3">
        <v>129</v>
      </c>
      <c r="B130" s="1" t="s">
        <v>7449</v>
      </c>
      <c r="C130" s="1" t="s">
        <v>7456</v>
      </c>
      <c r="E130" s="1" t="s">
        <v>7717</v>
      </c>
      <c r="F130" s="1" t="s">
        <v>7728</v>
      </c>
      <c r="G130" s="3">
        <v>0</v>
      </c>
      <c r="H130" s="20" t="s">
        <v>7729</v>
      </c>
      <c r="I130" s="20" t="s">
        <v>7730</v>
      </c>
      <c r="J130" s="21" t="s">
        <v>3149</v>
      </c>
      <c r="K130" s="20" t="s">
        <v>10013</v>
      </c>
      <c r="L130" s="3">
        <v>31</v>
      </c>
      <c r="M130" s="3" t="s">
        <v>7721</v>
      </c>
      <c r="N130" s="3" t="str">
        <f>HYPERLINK("http://ictvonline.org/taxonomyHistory.asp?taxnode_id=20164819","ICTVonline=20164819")</f>
        <v>ICTVonline=20164819</v>
      </c>
    </row>
    <row r="131" spans="1:14" x14ac:dyDescent="0.15">
      <c r="A131" s="3">
        <v>130</v>
      </c>
      <c r="B131" s="1" t="s">
        <v>7449</v>
      </c>
      <c r="C131" s="1" t="s">
        <v>7456</v>
      </c>
      <c r="E131" s="1" t="s">
        <v>713</v>
      </c>
      <c r="F131" s="1" t="s">
        <v>5090</v>
      </c>
      <c r="G131" s="3">
        <v>0</v>
      </c>
      <c r="I131" s="20" t="s">
        <v>5091</v>
      </c>
      <c r="J131" s="20" t="s">
        <v>4926</v>
      </c>
      <c r="K131" s="20" t="s">
        <v>10016</v>
      </c>
      <c r="L131" s="3">
        <v>31</v>
      </c>
      <c r="M131" s="3" t="s">
        <v>10015</v>
      </c>
      <c r="N131" s="3" t="str">
        <f>HYPERLINK("http://ictvonline.org/taxonomyHistory.asp?taxnode_id=20162172","ICTVonline=20162172")</f>
        <v>ICTVonline=20162172</v>
      </c>
    </row>
    <row r="132" spans="1:14" x14ac:dyDescent="0.15">
      <c r="A132" s="3">
        <v>131</v>
      </c>
      <c r="B132" s="1" t="s">
        <v>7449</v>
      </c>
      <c r="C132" s="1" t="s">
        <v>7456</v>
      </c>
      <c r="E132" s="1" t="s">
        <v>713</v>
      </c>
      <c r="F132" s="1" t="s">
        <v>5092</v>
      </c>
      <c r="G132" s="3">
        <v>0</v>
      </c>
      <c r="I132" s="20" t="s">
        <v>6460</v>
      </c>
      <c r="J132" s="20" t="s">
        <v>4926</v>
      </c>
      <c r="K132" s="20" t="s">
        <v>10016</v>
      </c>
      <c r="L132" s="3">
        <v>31</v>
      </c>
      <c r="M132" s="3" t="s">
        <v>10015</v>
      </c>
      <c r="N132" s="3" t="str">
        <f>HYPERLINK("http://ictvonline.org/taxonomyHistory.asp?taxnode_id=20162173","ICTVonline=20162173")</f>
        <v>ICTVonline=20162173</v>
      </c>
    </row>
    <row r="133" spans="1:14" x14ac:dyDescent="0.15">
      <c r="A133" s="3">
        <v>132</v>
      </c>
      <c r="B133" s="1" t="s">
        <v>7449</v>
      </c>
      <c r="C133" s="1" t="s">
        <v>7456</v>
      </c>
      <c r="E133" s="1" t="s">
        <v>713</v>
      </c>
      <c r="F133" s="1" t="s">
        <v>5093</v>
      </c>
      <c r="G133" s="3">
        <v>0</v>
      </c>
      <c r="I133" s="20" t="s">
        <v>5094</v>
      </c>
      <c r="J133" s="20" t="s">
        <v>4926</v>
      </c>
      <c r="K133" s="20" t="s">
        <v>10016</v>
      </c>
      <c r="L133" s="3">
        <v>31</v>
      </c>
      <c r="M133" s="3" t="s">
        <v>10015</v>
      </c>
      <c r="N133" s="3" t="str">
        <f>HYPERLINK("http://ictvonline.org/taxonomyHistory.asp?taxnode_id=20162174","ICTVonline=20162174")</f>
        <v>ICTVonline=20162174</v>
      </c>
    </row>
    <row r="134" spans="1:14" x14ac:dyDescent="0.15">
      <c r="A134" s="3">
        <v>133</v>
      </c>
      <c r="B134" s="1" t="s">
        <v>7449</v>
      </c>
      <c r="C134" s="1" t="s">
        <v>7456</v>
      </c>
      <c r="E134" s="1" t="s">
        <v>713</v>
      </c>
      <c r="F134" s="1" t="s">
        <v>5095</v>
      </c>
      <c r="G134" s="3">
        <v>0</v>
      </c>
      <c r="I134" s="20" t="s">
        <v>5096</v>
      </c>
      <c r="J134" s="20" t="s">
        <v>4926</v>
      </c>
      <c r="K134" s="20" t="s">
        <v>10016</v>
      </c>
      <c r="L134" s="3">
        <v>31</v>
      </c>
      <c r="M134" s="3" t="s">
        <v>10015</v>
      </c>
      <c r="N134" s="3" t="str">
        <f>HYPERLINK("http://ictvonline.org/taxonomyHistory.asp?taxnode_id=20162175","ICTVonline=20162175")</f>
        <v>ICTVonline=20162175</v>
      </c>
    </row>
    <row r="135" spans="1:14" x14ac:dyDescent="0.15">
      <c r="A135" s="3">
        <v>134</v>
      </c>
      <c r="B135" s="1" t="s">
        <v>7449</v>
      </c>
      <c r="C135" s="1" t="s">
        <v>7456</v>
      </c>
      <c r="E135" s="1" t="s">
        <v>713</v>
      </c>
      <c r="F135" s="1" t="s">
        <v>5097</v>
      </c>
      <c r="G135" s="3">
        <v>0</v>
      </c>
      <c r="I135" s="20" t="s">
        <v>5098</v>
      </c>
      <c r="J135" s="20" t="s">
        <v>4926</v>
      </c>
      <c r="K135" s="20" t="s">
        <v>10016</v>
      </c>
      <c r="L135" s="3">
        <v>31</v>
      </c>
      <c r="M135" s="3" t="s">
        <v>10015</v>
      </c>
      <c r="N135" s="3" t="str">
        <f>HYPERLINK("http://ictvonline.org/taxonomyHistory.asp?taxnode_id=20162176","ICTVonline=20162176")</f>
        <v>ICTVonline=20162176</v>
      </c>
    </row>
    <row r="136" spans="1:14" x14ac:dyDescent="0.15">
      <c r="A136" s="3">
        <v>135</v>
      </c>
      <c r="B136" s="1" t="s">
        <v>7449</v>
      </c>
      <c r="C136" s="1" t="s">
        <v>7456</v>
      </c>
      <c r="E136" s="1" t="s">
        <v>713</v>
      </c>
      <c r="F136" s="1" t="s">
        <v>5099</v>
      </c>
      <c r="G136" s="3">
        <v>1</v>
      </c>
      <c r="I136" s="20" t="s">
        <v>5100</v>
      </c>
      <c r="J136" s="20" t="s">
        <v>4926</v>
      </c>
      <c r="K136" s="20" t="s">
        <v>10016</v>
      </c>
      <c r="L136" s="3">
        <v>31</v>
      </c>
      <c r="M136" s="3" t="s">
        <v>10015</v>
      </c>
      <c r="N136" s="3" t="str">
        <f>HYPERLINK("http://ictvonline.org/taxonomyHistory.asp?taxnode_id=20162177","ICTVonline=20162177")</f>
        <v>ICTVonline=20162177</v>
      </c>
    </row>
    <row r="137" spans="1:14" x14ac:dyDescent="0.15">
      <c r="A137" s="3">
        <v>136</v>
      </c>
      <c r="B137" s="1" t="s">
        <v>7449</v>
      </c>
      <c r="C137" s="1" t="s">
        <v>7456</v>
      </c>
      <c r="E137" s="1" t="s">
        <v>713</v>
      </c>
      <c r="F137" s="1" t="s">
        <v>5101</v>
      </c>
      <c r="G137" s="3">
        <v>0</v>
      </c>
      <c r="I137" s="20" t="s">
        <v>5102</v>
      </c>
      <c r="J137" s="20" t="s">
        <v>4926</v>
      </c>
      <c r="K137" s="20" t="s">
        <v>10016</v>
      </c>
      <c r="L137" s="3">
        <v>31</v>
      </c>
      <c r="M137" s="3" t="s">
        <v>10015</v>
      </c>
      <c r="N137" s="3" t="str">
        <f>HYPERLINK("http://ictvonline.org/taxonomyHistory.asp?taxnode_id=20162178","ICTVonline=20162178")</f>
        <v>ICTVonline=20162178</v>
      </c>
    </row>
    <row r="138" spans="1:14" x14ac:dyDescent="0.15">
      <c r="A138" s="3">
        <v>137</v>
      </c>
      <c r="B138" s="1" t="s">
        <v>7449</v>
      </c>
      <c r="C138" s="1" t="s">
        <v>7456</v>
      </c>
      <c r="E138" s="1" t="s">
        <v>713</v>
      </c>
      <c r="F138" s="1" t="s">
        <v>5103</v>
      </c>
      <c r="G138" s="3">
        <v>0</v>
      </c>
      <c r="I138" s="20" t="s">
        <v>5104</v>
      </c>
      <c r="J138" s="20" t="s">
        <v>4926</v>
      </c>
      <c r="K138" s="20" t="s">
        <v>10016</v>
      </c>
      <c r="L138" s="3">
        <v>31</v>
      </c>
      <c r="M138" s="3" t="s">
        <v>10015</v>
      </c>
      <c r="N138" s="3" t="str">
        <f>HYPERLINK("http://ictvonline.org/taxonomyHistory.asp?taxnode_id=20162179","ICTVonline=20162179")</f>
        <v>ICTVonline=20162179</v>
      </c>
    </row>
    <row r="139" spans="1:14" x14ac:dyDescent="0.15">
      <c r="A139" s="3">
        <v>138</v>
      </c>
      <c r="B139" s="1" t="s">
        <v>7449</v>
      </c>
      <c r="C139" s="1" t="s">
        <v>7456</v>
      </c>
      <c r="E139" s="1" t="s">
        <v>713</v>
      </c>
      <c r="F139" s="1" t="s">
        <v>5105</v>
      </c>
      <c r="G139" s="3">
        <v>0</v>
      </c>
      <c r="H139" s="20" t="s">
        <v>3177</v>
      </c>
      <c r="I139" s="20" t="s">
        <v>5106</v>
      </c>
      <c r="J139" s="20" t="s">
        <v>4926</v>
      </c>
      <c r="K139" s="20" t="s">
        <v>10016</v>
      </c>
      <c r="L139" s="3">
        <v>31</v>
      </c>
      <c r="M139" s="3" t="s">
        <v>10015</v>
      </c>
      <c r="N139" s="3" t="str">
        <f>HYPERLINK("http://ictvonline.org/taxonomyHistory.asp?taxnode_id=20162180","ICTVonline=20162180")</f>
        <v>ICTVonline=20162180</v>
      </c>
    </row>
    <row r="140" spans="1:14" x14ac:dyDescent="0.15">
      <c r="A140" s="3">
        <v>139</v>
      </c>
      <c r="B140" s="1" t="s">
        <v>7449</v>
      </c>
      <c r="C140" s="1" t="s">
        <v>7456</v>
      </c>
      <c r="E140" s="1" t="s">
        <v>713</v>
      </c>
      <c r="F140" s="1" t="s">
        <v>5107</v>
      </c>
      <c r="G140" s="3">
        <v>0</v>
      </c>
      <c r="I140" s="20" t="s">
        <v>6833</v>
      </c>
      <c r="J140" s="20" t="s">
        <v>4926</v>
      </c>
      <c r="K140" s="20" t="s">
        <v>10016</v>
      </c>
      <c r="L140" s="3">
        <v>31</v>
      </c>
      <c r="M140" s="3" t="s">
        <v>10015</v>
      </c>
      <c r="N140" s="3" t="str">
        <f>HYPERLINK("http://ictvonline.org/taxonomyHistory.asp?taxnode_id=20162181","ICTVonline=20162181")</f>
        <v>ICTVonline=20162181</v>
      </c>
    </row>
    <row r="141" spans="1:14" x14ac:dyDescent="0.15">
      <c r="A141" s="3">
        <v>140</v>
      </c>
      <c r="B141" s="1" t="s">
        <v>7449</v>
      </c>
      <c r="C141" s="1" t="s">
        <v>7456</v>
      </c>
      <c r="E141" s="1" t="s">
        <v>1112</v>
      </c>
      <c r="F141" s="1" t="s">
        <v>7347</v>
      </c>
      <c r="G141" s="3">
        <v>0</v>
      </c>
      <c r="H141" s="20" t="s">
        <v>10451</v>
      </c>
      <c r="I141" s="20" t="s">
        <v>6357</v>
      </c>
      <c r="J141" s="20" t="s">
        <v>3149</v>
      </c>
      <c r="K141" s="20" t="s">
        <v>10014</v>
      </c>
      <c r="L141" s="3">
        <v>31</v>
      </c>
      <c r="M141" s="3" t="s">
        <v>10015</v>
      </c>
      <c r="N141" s="3" t="str">
        <f>HYPERLINK("http://ictvonline.org/taxonomyHistory.asp?taxnode_id=20164529","ICTVonline=20164529")</f>
        <v>ICTVonline=20164529</v>
      </c>
    </row>
    <row r="142" spans="1:14" x14ac:dyDescent="0.15">
      <c r="A142" s="3">
        <v>141</v>
      </c>
      <c r="B142" s="1" t="s">
        <v>7449</v>
      </c>
      <c r="C142" s="1" t="s">
        <v>7456</v>
      </c>
      <c r="E142" s="1" t="s">
        <v>1112</v>
      </c>
      <c r="F142" s="1" t="s">
        <v>7348</v>
      </c>
      <c r="G142" s="3">
        <v>0</v>
      </c>
      <c r="H142" s="20" t="s">
        <v>10452</v>
      </c>
      <c r="I142" s="20" t="s">
        <v>6358</v>
      </c>
      <c r="J142" s="20" t="s">
        <v>3149</v>
      </c>
      <c r="K142" s="20" t="s">
        <v>10014</v>
      </c>
      <c r="L142" s="3">
        <v>31</v>
      </c>
      <c r="M142" s="3" t="s">
        <v>10015</v>
      </c>
      <c r="N142" s="3" t="str">
        <f>HYPERLINK("http://ictvonline.org/taxonomyHistory.asp?taxnode_id=20164530","ICTVonline=20164530")</f>
        <v>ICTVonline=20164530</v>
      </c>
    </row>
    <row r="143" spans="1:14" x14ac:dyDescent="0.15">
      <c r="A143" s="3">
        <v>142</v>
      </c>
      <c r="B143" s="1" t="s">
        <v>7449</v>
      </c>
      <c r="C143" s="1" t="s">
        <v>7456</v>
      </c>
      <c r="E143" s="1" t="s">
        <v>1112</v>
      </c>
      <c r="F143" s="1" t="s">
        <v>7349</v>
      </c>
      <c r="G143" s="3">
        <v>0</v>
      </c>
      <c r="H143" s="20" t="s">
        <v>10453</v>
      </c>
      <c r="I143" s="20" t="s">
        <v>6359</v>
      </c>
      <c r="J143" s="20" t="s">
        <v>3149</v>
      </c>
      <c r="K143" s="20" t="s">
        <v>10014</v>
      </c>
      <c r="L143" s="3">
        <v>31</v>
      </c>
      <c r="M143" s="3" t="s">
        <v>10015</v>
      </c>
      <c r="N143" s="3" t="str">
        <f>HYPERLINK("http://ictvonline.org/taxonomyHistory.asp?taxnode_id=20164531","ICTVonline=20164531")</f>
        <v>ICTVonline=20164531</v>
      </c>
    </row>
    <row r="144" spans="1:14" x14ac:dyDescent="0.15">
      <c r="A144" s="3">
        <v>143</v>
      </c>
      <c r="B144" s="1" t="s">
        <v>7449</v>
      </c>
      <c r="C144" s="1" t="s">
        <v>7456</v>
      </c>
      <c r="E144" s="1" t="s">
        <v>1112</v>
      </c>
      <c r="F144" s="1" t="s">
        <v>7350</v>
      </c>
      <c r="G144" s="3">
        <v>0</v>
      </c>
      <c r="H144" s="20" t="s">
        <v>10454</v>
      </c>
      <c r="I144" s="20" t="s">
        <v>6360</v>
      </c>
      <c r="J144" s="20" t="s">
        <v>3149</v>
      </c>
      <c r="K144" s="20" t="s">
        <v>10014</v>
      </c>
      <c r="L144" s="3">
        <v>31</v>
      </c>
      <c r="M144" s="3" t="s">
        <v>10015</v>
      </c>
      <c r="N144" s="3" t="str">
        <f>HYPERLINK("http://ictvonline.org/taxonomyHistory.asp?taxnode_id=20164532","ICTVonline=20164532")</f>
        <v>ICTVonline=20164532</v>
      </c>
    </row>
    <row r="145" spans="1:14" x14ac:dyDescent="0.15">
      <c r="A145" s="3">
        <v>144</v>
      </c>
      <c r="B145" s="1" t="s">
        <v>7449</v>
      </c>
      <c r="C145" s="1" t="s">
        <v>7456</v>
      </c>
      <c r="E145" s="1" t="s">
        <v>1112</v>
      </c>
      <c r="F145" s="1" t="s">
        <v>7351</v>
      </c>
      <c r="G145" s="3">
        <v>0</v>
      </c>
      <c r="H145" s="20" t="s">
        <v>10455</v>
      </c>
      <c r="I145" s="20" t="s">
        <v>4865</v>
      </c>
      <c r="J145" s="20" t="s">
        <v>3149</v>
      </c>
      <c r="K145" s="20" t="s">
        <v>10014</v>
      </c>
      <c r="L145" s="3">
        <v>31</v>
      </c>
      <c r="M145" s="3" t="s">
        <v>10015</v>
      </c>
      <c r="N145" s="3" t="str">
        <f>HYPERLINK("http://ictvonline.org/taxonomyHistory.asp?taxnode_id=20164533","ICTVonline=20164533")</f>
        <v>ICTVonline=20164533</v>
      </c>
    </row>
    <row r="146" spans="1:14" x14ac:dyDescent="0.15">
      <c r="A146" s="3">
        <v>145</v>
      </c>
      <c r="B146" s="1" t="s">
        <v>7449</v>
      </c>
      <c r="C146" s="1" t="s">
        <v>7456</v>
      </c>
      <c r="E146" s="1" t="s">
        <v>1112</v>
      </c>
      <c r="F146" s="1" t="s">
        <v>7352</v>
      </c>
      <c r="G146" s="3">
        <v>1</v>
      </c>
      <c r="H146" s="20" t="s">
        <v>10456</v>
      </c>
      <c r="I146" s="20" t="s">
        <v>6361</v>
      </c>
      <c r="J146" s="20" t="s">
        <v>3149</v>
      </c>
      <c r="K146" s="20" t="s">
        <v>10014</v>
      </c>
      <c r="L146" s="3">
        <v>31</v>
      </c>
      <c r="M146" s="3" t="s">
        <v>10015</v>
      </c>
      <c r="N146" s="3" t="str">
        <f>HYPERLINK("http://ictvonline.org/taxonomyHistory.asp?taxnode_id=20164534","ICTVonline=20164534")</f>
        <v>ICTVonline=20164534</v>
      </c>
    </row>
    <row r="147" spans="1:14" x14ac:dyDescent="0.15">
      <c r="A147" s="3">
        <v>146</v>
      </c>
      <c r="B147" s="1" t="s">
        <v>7449</v>
      </c>
      <c r="C147" s="1" t="s">
        <v>7456</v>
      </c>
      <c r="E147" s="1" t="s">
        <v>1112</v>
      </c>
      <c r="F147" s="1" t="s">
        <v>7353</v>
      </c>
      <c r="G147" s="3">
        <v>0</v>
      </c>
      <c r="H147" s="20" t="s">
        <v>10457</v>
      </c>
      <c r="I147" s="20" t="s">
        <v>4865</v>
      </c>
      <c r="J147" s="20" t="s">
        <v>3149</v>
      </c>
      <c r="K147" s="20" t="s">
        <v>10014</v>
      </c>
      <c r="L147" s="3">
        <v>31</v>
      </c>
      <c r="M147" s="3" t="s">
        <v>10015</v>
      </c>
      <c r="N147" s="3" t="str">
        <f>HYPERLINK("http://ictvonline.org/taxonomyHistory.asp?taxnode_id=20164535","ICTVonline=20164535")</f>
        <v>ICTVonline=20164535</v>
      </c>
    </row>
    <row r="148" spans="1:14" x14ac:dyDescent="0.15">
      <c r="A148" s="3">
        <v>147</v>
      </c>
      <c r="B148" s="1" t="s">
        <v>7449</v>
      </c>
      <c r="C148" s="1" t="s">
        <v>7457</v>
      </c>
      <c r="E148" s="1" t="s">
        <v>7458</v>
      </c>
      <c r="F148" s="1" t="s">
        <v>7354</v>
      </c>
      <c r="G148" s="3">
        <v>0</v>
      </c>
      <c r="H148" s="20" t="s">
        <v>10458</v>
      </c>
      <c r="I148" s="20" t="s">
        <v>5108</v>
      </c>
      <c r="J148" s="20" t="s">
        <v>4926</v>
      </c>
      <c r="K148" s="20" t="s">
        <v>10014</v>
      </c>
      <c r="L148" s="3">
        <v>31</v>
      </c>
      <c r="M148" s="3" t="s">
        <v>10015</v>
      </c>
      <c r="N148" s="3" t="str">
        <f>HYPERLINK("http://ictvonline.org/taxonomyHistory.asp?taxnode_id=20162183","ICTVonline=20162183")</f>
        <v>ICTVonline=20162183</v>
      </c>
    </row>
    <row r="149" spans="1:14" x14ac:dyDescent="0.15">
      <c r="A149" s="3">
        <v>148</v>
      </c>
      <c r="B149" s="1" t="s">
        <v>7449</v>
      </c>
      <c r="C149" s="1" t="s">
        <v>7457</v>
      </c>
      <c r="E149" s="1" t="s">
        <v>7458</v>
      </c>
      <c r="F149" s="1" t="s">
        <v>7355</v>
      </c>
      <c r="G149" s="3">
        <v>0</v>
      </c>
      <c r="I149" s="20" t="s">
        <v>10459</v>
      </c>
      <c r="J149" s="20" t="s">
        <v>4926</v>
      </c>
      <c r="K149" s="20" t="s">
        <v>10014</v>
      </c>
      <c r="L149" s="3">
        <v>31</v>
      </c>
      <c r="M149" s="3" t="s">
        <v>10015</v>
      </c>
      <c r="N149" s="3" t="str">
        <f>HYPERLINK("http://ictvonline.org/taxonomyHistory.asp?taxnode_id=20162184","ICTVonline=20162184")</f>
        <v>ICTVonline=20162184</v>
      </c>
    </row>
    <row r="150" spans="1:14" x14ac:dyDescent="0.15">
      <c r="A150" s="3">
        <v>149</v>
      </c>
      <c r="B150" s="1" t="s">
        <v>7449</v>
      </c>
      <c r="C150" s="1" t="s">
        <v>7457</v>
      </c>
      <c r="E150" s="1" t="s">
        <v>7458</v>
      </c>
      <c r="F150" s="1" t="s">
        <v>7356</v>
      </c>
      <c r="G150" s="3">
        <v>0</v>
      </c>
      <c r="I150" s="20" t="s">
        <v>10460</v>
      </c>
      <c r="J150" s="20" t="s">
        <v>4926</v>
      </c>
      <c r="K150" s="20" t="s">
        <v>10014</v>
      </c>
      <c r="L150" s="3">
        <v>31</v>
      </c>
      <c r="M150" s="3" t="s">
        <v>10015</v>
      </c>
      <c r="N150" s="3" t="str">
        <f>HYPERLINK("http://ictvonline.org/taxonomyHistory.asp?taxnode_id=20162185","ICTVonline=20162185")</f>
        <v>ICTVonline=20162185</v>
      </c>
    </row>
    <row r="151" spans="1:14" x14ac:dyDescent="0.15">
      <c r="A151" s="3">
        <v>150</v>
      </c>
      <c r="B151" s="1" t="s">
        <v>7449</v>
      </c>
      <c r="C151" s="1" t="s">
        <v>7457</v>
      </c>
      <c r="E151" s="1" t="s">
        <v>7458</v>
      </c>
      <c r="F151" s="1" t="s">
        <v>7357</v>
      </c>
      <c r="G151" s="3">
        <v>0</v>
      </c>
      <c r="H151" s="20" t="s">
        <v>10461</v>
      </c>
      <c r="I151" s="20" t="s">
        <v>10462</v>
      </c>
      <c r="J151" s="20" t="s">
        <v>4926</v>
      </c>
      <c r="K151" s="20" t="s">
        <v>10014</v>
      </c>
      <c r="L151" s="3">
        <v>31</v>
      </c>
      <c r="M151" s="3" t="s">
        <v>10015</v>
      </c>
      <c r="N151" s="3" t="str">
        <f>HYPERLINK("http://ictvonline.org/taxonomyHistory.asp?taxnode_id=20162186","ICTVonline=20162186")</f>
        <v>ICTVonline=20162186</v>
      </c>
    </row>
    <row r="152" spans="1:14" x14ac:dyDescent="0.15">
      <c r="A152" s="3">
        <v>151</v>
      </c>
      <c r="B152" s="1" t="s">
        <v>7449</v>
      </c>
      <c r="C152" s="1" t="s">
        <v>7457</v>
      </c>
      <c r="E152" s="1" t="s">
        <v>7458</v>
      </c>
      <c r="F152" s="1" t="s">
        <v>7358</v>
      </c>
      <c r="G152" s="3">
        <v>0</v>
      </c>
      <c r="H152" s="20" t="s">
        <v>10463</v>
      </c>
      <c r="I152" s="20" t="s">
        <v>5109</v>
      </c>
      <c r="J152" s="20" t="s">
        <v>4926</v>
      </c>
      <c r="K152" s="20" t="s">
        <v>10014</v>
      </c>
      <c r="L152" s="3">
        <v>31</v>
      </c>
      <c r="M152" s="3" t="s">
        <v>10015</v>
      </c>
      <c r="N152" s="3" t="str">
        <f>HYPERLINK("http://ictvonline.org/taxonomyHistory.asp?taxnode_id=20162187","ICTVonline=20162187")</f>
        <v>ICTVonline=20162187</v>
      </c>
    </row>
    <row r="153" spans="1:14" x14ac:dyDescent="0.15">
      <c r="A153" s="3">
        <v>152</v>
      </c>
      <c r="B153" s="1" t="s">
        <v>7449</v>
      </c>
      <c r="C153" s="1" t="s">
        <v>7457</v>
      </c>
      <c r="E153" s="1" t="s">
        <v>7458</v>
      </c>
      <c r="F153" s="1" t="s">
        <v>7359</v>
      </c>
      <c r="G153" s="3">
        <v>0</v>
      </c>
      <c r="H153" s="20" t="s">
        <v>10464</v>
      </c>
      <c r="I153" s="20" t="s">
        <v>10465</v>
      </c>
      <c r="J153" s="20" t="s">
        <v>4926</v>
      </c>
      <c r="K153" s="20" t="s">
        <v>10014</v>
      </c>
      <c r="L153" s="3">
        <v>31</v>
      </c>
      <c r="M153" s="3" t="s">
        <v>10015</v>
      </c>
      <c r="N153" s="3" t="str">
        <f>HYPERLINK("http://ictvonline.org/taxonomyHistory.asp?taxnode_id=20162188","ICTVonline=20162188")</f>
        <v>ICTVonline=20162188</v>
      </c>
    </row>
    <row r="154" spans="1:14" x14ac:dyDescent="0.15">
      <c r="A154" s="3">
        <v>153</v>
      </c>
      <c r="B154" s="1" t="s">
        <v>7449</v>
      </c>
      <c r="C154" s="1" t="s">
        <v>7457</v>
      </c>
      <c r="E154" s="1" t="s">
        <v>7458</v>
      </c>
      <c r="F154" s="1" t="s">
        <v>7360</v>
      </c>
      <c r="G154" s="3">
        <v>0</v>
      </c>
      <c r="H154" s="20" t="s">
        <v>10466</v>
      </c>
      <c r="I154" s="20" t="s">
        <v>5110</v>
      </c>
      <c r="J154" s="20" t="s">
        <v>4926</v>
      </c>
      <c r="K154" s="20" t="s">
        <v>10014</v>
      </c>
      <c r="L154" s="3">
        <v>31</v>
      </c>
      <c r="M154" s="3" t="s">
        <v>10015</v>
      </c>
      <c r="N154" s="3" t="str">
        <f>HYPERLINK("http://ictvonline.org/taxonomyHistory.asp?taxnode_id=20162189","ICTVonline=20162189")</f>
        <v>ICTVonline=20162189</v>
      </c>
    </row>
    <row r="155" spans="1:14" x14ac:dyDescent="0.15">
      <c r="A155" s="3">
        <v>154</v>
      </c>
      <c r="B155" s="1" t="s">
        <v>7449</v>
      </c>
      <c r="C155" s="1" t="s">
        <v>7457</v>
      </c>
      <c r="E155" s="1" t="s">
        <v>7458</v>
      </c>
      <c r="F155" s="1" t="s">
        <v>7361</v>
      </c>
      <c r="G155" s="3">
        <v>1</v>
      </c>
      <c r="H155" s="20" t="s">
        <v>10467</v>
      </c>
      <c r="I155" s="20" t="s">
        <v>5111</v>
      </c>
      <c r="J155" s="20" t="s">
        <v>4926</v>
      </c>
      <c r="K155" s="20" t="s">
        <v>10014</v>
      </c>
      <c r="L155" s="3">
        <v>31</v>
      </c>
      <c r="M155" s="3" t="s">
        <v>10015</v>
      </c>
      <c r="N155" s="3" t="str">
        <f>HYPERLINK("http://ictvonline.org/taxonomyHistory.asp?taxnode_id=20162190","ICTVonline=20162190")</f>
        <v>ICTVonline=20162190</v>
      </c>
    </row>
    <row r="156" spans="1:14" x14ac:dyDescent="0.15">
      <c r="A156" s="3">
        <v>155</v>
      </c>
      <c r="B156" s="1" t="s">
        <v>7449</v>
      </c>
      <c r="C156" s="1" t="s">
        <v>7457</v>
      </c>
      <c r="E156" s="1" t="s">
        <v>7458</v>
      </c>
      <c r="F156" s="1" t="s">
        <v>7362</v>
      </c>
      <c r="G156" s="3">
        <v>0</v>
      </c>
      <c r="H156" s="20" t="s">
        <v>10468</v>
      </c>
      <c r="I156" s="20" t="s">
        <v>5112</v>
      </c>
      <c r="J156" s="20" t="s">
        <v>4926</v>
      </c>
      <c r="K156" s="20" t="s">
        <v>10014</v>
      </c>
      <c r="L156" s="3">
        <v>31</v>
      </c>
      <c r="M156" s="3" t="s">
        <v>10015</v>
      </c>
      <c r="N156" s="3" t="str">
        <f>HYPERLINK("http://ictvonline.org/taxonomyHistory.asp?taxnode_id=20162191","ICTVonline=20162191")</f>
        <v>ICTVonline=20162191</v>
      </c>
    </row>
    <row r="157" spans="1:14" x14ac:dyDescent="0.15">
      <c r="A157" s="3">
        <v>156</v>
      </c>
      <c r="B157" s="1" t="s">
        <v>7449</v>
      </c>
      <c r="C157" s="1" t="s">
        <v>7457</v>
      </c>
      <c r="E157" s="1" t="s">
        <v>7458</v>
      </c>
      <c r="F157" s="1" t="s">
        <v>7363</v>
      </c>
      <c r="G157" s="3">
        <v>0</v>
      </c>
      <c r="H157" s="20" t="s">
        <v>10469</v>
      </c>
      <c r="I157" s="20" t="s">
        <v>5113</v>
      </c>
      <c r="J157" s="20" t="s">
        <v>4926</v>
      </c>
      <c r="K157" s="20" t="s">
        <v>10014</v>
      </c>
      <c r="L157" s="3">
        <v>31</v>
      </c>
      <c r="M157" s="3" t="s">
        <v>10015</v>
      </c>
      <c r="N157" s="3" t="str">
        <f>HYPERLINK("http://ictvonline.org/taxonomyHistory.asp?taxnode_id=20162192","ICTVonline=20162192")</f>
        <v>ICTVonline=20162192</v>
      </c>
    </row>
    <row r="158" spans="1:14" x14ac:dyDescent="0.15">
      <c r="A158" s="3">
        <v>157</v>
      </c>
      <c r="B158" s="1" t="s">
        <v>7449</v>
      </c>
      <c r="C158" s="1" t="s">
        <v>7457</v>
      </c>
      <c r="E158" s="1" t="s">
        <v>7458</v>
      </c>
      <c r="F158" s="1" t="s">
        <v>7364</v>
      </c>
      <c r="G158" s="3">
        <v>0</v>
      </c>
      <c r="I158" s="20" t="s">
        <v>5114</v>
      </c>
      <c r="J158" s="20" t="s">
        <v>4926</v>
      </c>
      <c r="K158" s="20" t="s">
        <v>10014</v>
      </c>
      <c r="L158" s="3">
        <v>31</v>
      </c>
      <c r="M158" s="3" t="s">
        <v>10015</v>
      </c>
      <c r="N158" s="3" t="str">
        <f>HYPERLINK("http://ictvonline.org/taxonomyHistory.asp?taxnode_id=20162193","ICTVonline=20162193")</f>
        <v>ICTVonline=20162193</v>
      </c>
    </row>
    <row r="159" spans="1:14" x14ac:dyDescent="0.15">
      <c r="A159" s="3">
        <v>158</v>
      </c>
      <c r="B159" s="1" t="s">
        <v>1366</v>
      </c>
      <c r="C159" s="1" t="s">
        <v>1367</v>
      </c>
      <c r="D159" s="1" t="s">
        <v>2723</v>
      </c>
      <c r="E159" s="1" t="s">
        <v>3242</v>
      </c>
      <c r="F159" s="1" t="s">
        <v>10012</v>
      </c>
      <c r="G159" s="3">
        <v>0</v>
      </c>
      <c r="H159" s="20" t="s">
        <v>2853</v>
      </c>
      <c r="J159" s="20" t="s">
        <v>2860</v>
      </c>
      <c r="K159" s="20" t="s">
        <v>10014</v>
      </c>
      <c r="L159" s="3">
        <v>30</v>
      </c>
      <c r="M159" s="3" t="s">
        <v>10017</v>
      </c>
      <c r="N159" s="3" t="str">
        <f>HYPERLINK("http://ictvonline.org/taxonomyHistory.asp?taxnode_id=20160005","ICTVonline=20160005")</f>
        <v>ICTVonline=20160005</v>
      </c>
    </row>
    <row r="160" spans="1:14" x14ac:dyDescent="0.15">
      <c r="A160" s="3">
        <v>159</v>
      </c>
      <c r="B160" s="1" t="s">
        <v>1366</v>
      </c>
      <c r="C160" s="1" t="s">
        <v>1367</v>
      </c>
      <c r="D160" s="1" t="s">
        <v>2723</v>
      </c>
      <c r="E160" s="1" t="s">
        <v>3242</v>
      </c>
      <c r="F160" s="1" t="s">
        <v>3243</v>
      </c>
      <c r="G160" s="3">
        <v>1</v>
      </c>
      <c r="H160" s="20" t="s">
        <v>2854</v>
      </c>
      <c r="J160" s="20" t="s">
        <v>2860</v>
      </c>
      <c r="K160" s="20" t="s">
        <v>10014</v>
      </c>
      <c r="L160" s="3">
        <v>30</v>
      </c>
      <c r="M160" s="3" t="s">
        <v>10017</v>
      </c>
      <c r="N160" s="3" t="str">
        <f>HYPERLINK("http://ictvonline.org/taxonomyHistory.asp?taxnode_id=20160006","ICTVonline=20160006")</f>
        <v>ICTVonline=20160006</v>
      </c>
    </row>
    <row r="161" spans="1:14" x14ac:dyDescent="0.15">
      <c r="A161" s="3">
        <v>160</v>
      </c>
      <c r="B161" s="1" t="s">
        <v>1366</v>
      </c>
      <c r="C161" s="1" t="s">
        <v>1367</v>
      </c>
      <c r="D161" s="1" t="s">
        <v>2723</v>
      </c>
      <c r="E161" s="1" t="s">
        <v>3242</v>
      </c>
      <c r="F161" s="1" t="s">
        <v>3244</v>
      </c>
      <c r="G161" s="3">
        <v>0</v>
      </c>
      <c r="H161" s="20" t="s">
        <v>2855</v>
      </c>
      <c r="J161" s="20" t="s">
        <v>2860</v>
      </c>
      <c r="K161" s="20" t="s">
        <v>10014</v>
      </c>
      <c r="L161" s="3">
        <v>30</v>
      </c>
      <c r="M161" s="3" t="s">
        <v>10017</v>
      </c>
      <c r="N161" s="3" t="str">
        <f>HYPERLINK("http://ictvonline.org/taxonomyHistory.asp?taxnode_id=20160007","ICTVonline=20160007")</f>
        <v>ICTVonline=20160007</v>
      </c>
    </row>
    <row r="162" spans="1:14" x14ac:dyDescent="0.15">
      <c r="A162" s="3">
        <v>161</v>
      </c>
      <c r="B162" s="1" t="s">
        <v>1366</v>
      </c>
      <c r="C162" s="1" t="s">
        <v>1367</v>
      </c>
      <c r="D162" s="1" t="s">
        <v>2723</v>
      </c>
      <c r="E162" s="1" t="s">
        <v>3242</v>
      </c>
      <c r="F162" s="1" t="s">
        <v>3245</v>
      </c>
      <c r="G162" s="3">
        <v>0</v>
      </c>
      <c r="H162" s="20" t="s">
        <v>2856</v>
      </c>
      <c r="J162" s="20" t="s">
        <v>2860</v>
      </c>
      <c r="K162" s="20" t="s">
        <v>10014</v>
      </c>
      <c r="L162" s="3">
        <v>30</v>
      </c>
      <c r="M162" s="3" t="s">
        <v>10017</v>
      </c>
      <c r="N162" s="3" t="str">
        <f>HYPERLINK("http://ictvonline.org/taxonomyHistory.asp?taxnode_id=20160008","ICTVonline=20160008")</f>
        <v>ICTVonline=20160008</v>
      </c>
    </row>
    <row r="163" spans="1:14" x14ac:dyDescent="0.15">
      <c r="A163" s="3">
        <v>162</v>
      </c>
      <c r="B163" s="1" t="s">
        <v>1366</v>
      </c>
      <c r="C163" s="1" t="s">
        <v>1367</v>
      </c>
      <c r="D163" s="1" t="s">
        <v>2723</v>
      </c>
      <c r="E163" s="1" t="s">
        <v>3246</v>
      </c>
      <c r="F163" s="1" t="s">
        <v>3247</v>
      </c>
      <c r="G163" s="3">
        <v>1</v>
      </c>
      <c r="H163" s="20" t="s">
        <v>2857</v>
      </c>
      <c r="J163" s="20" t="s">
        <v>2860</v>
      </c>
      <c r="K163" s="20" t="s">
        <v>10014</v>
      </c>
      <c r="L163" s="3">
        <v>30</v>
      </c>
      <c r="M163" s="3" t="s">
        <v>10017</v>
      </c>
      <c r="N163" s="3" t="str">
        <f>HYPERLINK("http://ictvonline.org/taxonomyHistory.asp?taxnode_id=20160010","ICTVonline=20160010")</f>
        <v>ICTVonline=20160010</v>
      </c>
    </row>
    <row r="164" spans="1:14" x14ac:dyDescent="0.15">
      <c r="A164" s="3">
        <v>163</v>
      </c>
      <c r="B164" s="1" t="s">
        <v>1366</v>
      </c>
      <c r="C164" s="1" t="s">
        <v>1367</v>
      </c>
      <c r="D164" s="1" t="s">
        <v>2723</v>
      </c>
      <c r="E164" s="1" t="s">
        <v>3246</v>
      </c>
      <c r="F164" s="1" t="s">
        <v>7731</v>
      </c>
      <c r="G164" s="3">
        <v>0</v>
      </c>
      <c r="H164" s="20" t="s">
        <v>7732</v>
      </c>
      <c r="I164" s="20" t="s">
        <v>7733</v>
      </c>
      <c r="J164" s="20" t="s">
        <v>2860</v>
      </c>
      <c r="K164" s="20" t="s">
        <v>10013</v>
      </c>
      <c r="L164" s="3">
        <v>31</v>
      </c>
      <c r="M164" s="3" t="s">
        <v>7480</v>
      </c>
      <c r="N164" s="3" t="str">
        <f>HYPERLINK("http://ictvonline.org/taxonomyHistory.asp?taxnode_id=20164820","ICTVonline=20164820")</f>
        <v>ICTVonline=20164820</v>
      </c>
    </row>
    <row r="165" spans="1:14" x14ac:dyDescent="0.15">
      <c r="A165" s="3">
        <v>164</v>
      </c>
      <c r="B165" s="1" t="s">
        <v>1366</v>
      </c>
      <c r="C165" s="1" t="s">
        <v>1367</v>
      </c>
      <c r="D165" s="1" t="s">
        <v>2723</v>
      </c>
      <c r="E165" s="1" t="s">
        <v>3246</v>
      </c>
      <c r="F165" s="1" t="s">
        <v>3248</v>
      </c>
      <c r="G165" s="3">
        <v>0</v>
      </c>
      <c r="H165" s="20" t="s">
        <v>2858</v>
      </c>
      <c r="J165" s="20" t="s">
        <v>2860</v>
      </c>
      <c r="K165" s="20" t="s">
        <v>10014</v>
      </c>
      <c r="L165" s="3">
        <v>30</v>
      </c>
      <c r="M165" s="3" t="s">
        <v>10017</v>
      </c>
      <c r="N165" s="3" t="str">
        <f>HYPERLINK("http://ictvonline.org/taxonomyHistory.asp?taxnode_id=20160011","ICTVonline=20160011")</f>
        <v>ICTVonline=20160011</v>
      </c>
    </row>
    <row r="166" spans="1:14" x14ac:dyDescent="0.15">
      <c r="A166" s="3">
        <v>165</v>
      </c>
      <c r="B166" s="1" t="s">
        <v>1366</v>
      </c>
      <c r="C166" s="1" t="s">
        <v>1367</v>
      </c>
      <c r="D166" s="1" t="s">
        <v>2723</v>
      </c>
      <c r="E166" s="1" t="s">
        <v>3246</v>
      </c>
      <c r="F166" s="1" t="s">
        <v>3249</v>
      </c>
      <c r="G166" s="3">
        <v>0</v>
      </c>
      <c r="H166" s="20" t="s">
        <v>2859</v>
      </c>
      <c r="J166" s="20" t="s">
        <v>2860</v>
      </c>
      <c r="K166" s="20" t="s">
        <v>10014</v>
      </c>
      <c r="L166" s="3">
        <v>30</v>
      </c>
      <c r="M166" s="3" t="s">
        <v>10017</v>
      </c>
      <c r="N166" s="3" t="str">
        <f>HYPERLINK("http://ictvonline.org/taxonomyHistory.asp?taxnode_id=20160012","ICTVonline=20160012")</f>
        <v>ICTVonline=20160012</v>
      </c>
    </row>
    <row r="167" spans="1:14" x14ac:dyDescent="0.15">
      <c r="A167" s="3">
        <v>166</v>
      </c>
      <c r="B167" s="1" t="s">
        <v>1366</v>
      </c>
      <c r="C167" s="1" t="s">
        <v>1367</v>
      </c>
      <c r="D167" s="1" t="s">
        <v>7459</v>
      </c>
      <c r="E167" s="1" t="s">
        <v>7460</v>
      </c>
      <c r="F167" s="1" t="s">
        <v>3473</v>
      </c>
      <c r="G167" s="3">
        <v>1</v>
      </c>
      <c r="H167" s="20" t="s">
        <v>7461</v>
      </c>
      <c r="J167" s="20" t="s">
        <v>2860</v>
      </c>
      <c r="K167" s="20" t="s">
        <v>10016</v>
      </c>
      <c r="L167" s="3">
        <v>31</v>
      </c>
      <c r="M167" s="3" t="s">
        <v>7462</v>
      </c>
      <c r="N167" s="3" t="str">
        <f>HYPERLINK("http://ictvonline.org/taxonomyHistory.asp?taxnode_id=20160176","ICTVonline=20160176")</f>
        <v>ICTVonline=20160176</v>
      </c>
    </row>
    <row r="168" spans="1:14" x14ac:dyDescent="0.15">
      <c r="A168" s="3">
        <v>167</v>
      </c>
      <c r="B168" s="1" t="s">
        <v>1366</v>
      </c>
      <c r="C168" s="1" t="s">
        <v>1367</v>
      </c>
      <c r="D168" s="1" t="s">
        <v>7459</v>
      </c>
      <c r="E168" s="1" t="s">
        <v>7460</v>
      </c>
      <c r="F168" s="1" t="s">
        <v>7734</v>
      </c>
      <c r="G168" s="3">
        <v>0</v>
      </c>
      <c r="H168" s="20" t="s">
        <v>7735</v>
      </c>
      <c r="I168" s="20" t="s">
        <v>7736</v>
      </c>
      <c r="J168" s="20" t="s">
        <v>2860</v>
      </c>
      <c r="K168" s="20" t="s">
        <v>10013</v>
      </c>
      <c r="L168" s="3">
        <v>31</v>
      </c>
      <c r="M168" s="3" t="s">
        <v>7462</v>
      </c>
      <c r="N168" s="3" t="str">
        <f>HYPERLINK("http://ictvonline.org/taxonomyHistory.asp?taxnode_id=20164821","ICTVonline=20164821")</f>
        <v>ICTVonline=20164821</v>
      </c>
    </row>
    <row r="169" spans="1:14" x14ac:dyDescent="0.15">
      <c r="A169" s="3">
        <v>168</v>
      </c>
      <c r="B169" s="1" t="s">
        <v>1366</v>
      </c>
      <c r="C169" s="1" t="s">
        <v>1367</v>
      </c>
      <c r="D169" s="1" t="s">
        <v>7459</v>
      </c>
      <c r="E169" s="1" t="s">
        <v>3472</v>
      </c>
      <c r="F169" s="1" t="s">
        <v>3474</v>
      </c>
      <c r="G169" s="3">
        <v>0</v>
      </c>
      <c r="H169" s="20" t="s">
        <v>6554</v>
      </c>
      <c r="I169" s="20" t="s">
        <v>3475</v>
      </c>
      <c r="J169" s="20" t="s">
        <v>2860</v>
      </c>
      <c r="K169" s="20" t="s">
        <v>10016</v>
      </c>
      <c r="L169" s="3">
        <v>31</v>
      </c>
      <c r="M169" s="3" t="s">
        <v>7462</v>
      </c>
      <c r="N169" s="3" t="str">
        <f>HYPERLINK("http://ictvonline.org/taxonomyHistory.asp?taxnode_id=20160177","ICTVonline=20160177")</f>
        <v>ICTVonline=20160177</v>
      </c>
    </row>
    <row r="170" spans="1:14" x14ac:dyDescent="0.15">
      <c r="A170" s="3">
        <v>169</v>
      </c>
      <c r="B170" s="1" t="s">
        <v>1366</v>
      </c>
      <c r="C170" s="1" t="s">
        <v>1367</v>
      </c>
      <c r="D170" s="1" t="s">
        <v>7459</v>
      </c>
      <c r="E170" s="1" t="s">
        <v>3472</v>
      </c>
      <c r="F170" s="1" t="s">
        <v>3476</v>
      </c>
      <c r="G170" s="3">
        <v>0</v>
      </c>
      <c r="H170" s="20" t="s">
        <v>6555</v>
      </c>
      <c r="I170" s="20" t="s">
        <v>3477</v>
      </c>
      <c r="J170" s="20" t="s">
        <v>2860</v>
      </c>
      <c r="K170" s="20" t="s">
        <v>10016</v>
      </c>
      <c r="L170" s="3">
        <v>31</v>
      </c>
      <c r="M170" s="3" t="s">
        <v>7462</v>
      </c>
      <c r="N170" s="3" t="str">
        <f>HYPERLINK("http://ictvonline.org/taxonomyHistory.asp?taxnode_id=20160178","ICTVonline=20160178")</f>
        <v>ICTVonline=20160178</v>
      </c>
    </row>
    <row r="171" spans="1:14" x14ac:dyDescent="0.15">
      <c r="A171" s="3">
        <v>170</v>
      </c>
      <c r="B171" s="1" t="s">
        <v>1366</v>
      </c>
      <c r="C171" s="1" t="s">
        <v>1367</v>
      </c>
      <c r="D171" s="1" t="s">
        <v>7459</v>
      </c>
      <c r="E171" s="1" t="s">
        <v>3472</v>
      </c>
      <c r="F171" s="1" t="s">
        <v>7737</v>
      </c>
      <c r="G171" s="3">
        <v>0</v>
      </c>
      <c r="H171" s="20" t="s">
        <v>7738</v>
      </c>
      <c r="I171" s="20" t="s">
        <v>7739</v>
      </c>
      <c r="J171" s="20" t="s">
        <v>2860</v>
      </c>
      <c r="K171" s="20" t="s">
        <v>10013</v>
      </c>
      <c r="L171" s="3">
        <v>31</v>
      </c>
      <c r="M171" s="3" t="s">
        <v>7462</v>
      </c>
      <c r="N171" s="3" t="str">
        <f>HYPERLINK("http://ictvonline.org/taxonomyHistory.asp?taxnode_id=20164822","ICTVonline=20164822")</f>
        <v>ICTVonline=20164822</v>
      </c>
    </row>
    <row r="172" spans="1:14" x14ac:dyDescent="0.15">
      <c r="A172" s="3">
        <v>171</v>
      </c>
      <c r="B172" s="1" t="s">
        <v>1366</v>
      </c>
      <c r="C172" s="1" t="s">
        <v>1367</v>
      </c>
      <c r="D172" s="1" t="s">
        <v>7459</v>
      </c>
      <c r="E172" s="1" t="s">
        <v>3472</v>
      </c>
      <c r="F172" s="1" t="s">
        <v>3478</v>
      </c>
      <c r="G172" s="3">
        <v>0</v>
      </c>
      <c r="H172" s="20" t="s">
        <v>6556</v>
      </c>
      <c r="I172" s="20" t="s">
        <v>3479</v>
      </c>
      <c r="J172" s="20" t="s">
        <v>2860</v>
      </c>
      <c r="K172" s="20" t="s">
        <v>10016</v>
      </c>
      <c r="L172" s="3">
        <v>31</v>
      </c>
      <c r="M172" s="3" t="s">
        <v>7462</v>
      </c>
      <c r="N172" s="3" t="str">
        <f>HYPERLINK("http://ictvonline.org/taxonomyHistory.asp?taxnode_id=20160179","ICTVonline=20160179")</f>
        <v>ICTVonline=20160179</v>
      </c>
    </row>
    <row r="173" spans="1:14" x14ac:dyDescent="0.15">
      <c r="A173" s="3">
        <v>172</v>
      </c>
      <c r="B173" s="1" t="s">
        <v>1366</v>
      </c>
      <c r="C173" s="1" t="s">
        <v>1367</v>
      </c>
      <c r="D173" s="1" t="s">
        <v>7459</v>
      </c>
      <c r="E173" s="1" t="s">
        <v>3472</v>
      </c>
      <c r="F173" s="1" t="s">
        <v>7740</v>
      </c>
      <c r="G173" s="3">
        <v>0</v>
      </c>
      <c r="H173" s="20" t="s">
        <v>7741</v>
      </c>
      <c r="I173" s="20" t="s">
        <v>7742</v>
      </c>
      <c r="J173" s="20" t="s">
        <v>2860</v>
      </c>
      <c r="K173" s="20" t="s">
        <v>10013</v>
      </c>
      <c r="L173" s="3">
        <v>31</v>
      </c>
      <c r="M173" s="3" t="s">
        <v>7462</v>
      </c>
      <c r="N173" s="3" t="str">
        <f>HYPERLINK("http://ictvonline.org/taxonomyHistory.asp?taxnode_id=20164823","ICTVonline=20164823")</f>
        <v>ICTVonline=20164823</v>
      </c>
    </row>
    <row r="174" spans="1:14" x14ac:dyDescent="0.15">
      <c r="A174" s="3">
        <v>173</v>
      </c>
      <c r="B174" s="1" t="s">
        <v>1366</v>
      </c>
      <c r="C174" s="1" t="s">
        <v>1367</v>
      </c>
      <c r="D174" s="1" t="s">
        <v>7459</v>
      </c>
      <c r="E174" s="1" t="s">
        <v>3472</v>
      </c>
      <c r="F174" s="1" t="s">
        <v>3480</v>
      </c>
      <c r="G174" s="3">
        <v>0</v>
      </c>
      <c r="H174" s="20" t="s">
        <v>6557</v>
      </c>
      <c r="I174" s="20" t="s">
        <v>3481</v>
      </c>
      <c r="J174" s="20" t="s">
        <v>2860</v>
      </c>
      <c r="K174" s="20" t="s">
        <v>10016</v>
      </c>
      <c r="L174" s="3">
        <v>31</v>
      </c>
      <c r="M174" s="3" t="s">
        <v>7462</v>
      </c>
      <c r="N174" s="3" t="str">
        <f>HYPERLINK("http://ictvonline.org/taxonomyHistory.asp?taxnode_id=20160180","ICTVonline=20160180")</f>
        <v>ICTVonline=20160180</v>
      </c>
    </row>
    <row r="175" spans="1:14" x14ac:dyDescent="0.15">
      <c r="A175" s="3">
        <v>174</v>
      </c>
      <c r="B175" s="1" t="s">
        <v>1366</v>
      </c>
      <c r="C175" s="1" t="s">
        <v>1367</v>
      </c>
      <c r="D175" s="1" t="s">
        <v>7459</v>
      </c>
      <c r="E175" s="1" t="s">
        <v>3472</v>
      </c>
      <c r="F175" s="1" t="s">
        <v>3482</v>
      </c>
      <c r="G175" s="3">
        <v>0</v>
      </c>
      <c r="H175" s="20" t="s">
        <v>7463</v>
      </c>
      <c r="J175" s="20" t="s">
        <v>2860</v>
      </c>
      <c r="K175" s="20" t="s">
        <v>10016</v>
      </c>
      <c r="L175" s="3">
        <v>31</v>
      </c>
      <c r="M175" s="3" t="s">
        <v>7462</v>
      </c>
      <c r="N175" s="3" t="str">
        <f>HYPERLINK("http://ictvonline.org/taxonomyHistory.asp?taxnode_id=20160181","ICTVonline=20160181")</f>
        <v>ICTVonline=20160181</v>
      </c>
    </row>
    <row r="176" spans="1:14" x14ac:dyDescent="0.15">
      <c r="A176" s="3">
        <v>175</v>
      </c>
      <c r="B176" s="1" t="s">
        <v>1366</v>
      </c>
      <c r="C176" s="1" t="s">
        <v>1367</v>
      </c>
      <c r="D176" s="1" t="s">
        <v>7459</v>
      </c>
      <c r="E176" s="1" t="s">
        <v>3472</v>
      </c>
      <c r="F176" s="1" t="s">
        <v>3483</v>
      </c>
      <c r="G176" s="3">
        <v>1</v>
      </c>
      <c r="J176" s="20" t="s">
        <v>2860</v>
      </c>
      <c r="K176" s="20" t="s">
        <v>10016</v>
      </c>
      <c r="L176" s="3">
        <v>31</v>
      </c>
      <c r="M176" s="3" t="s">
        <v>7462</v>
      </c>
      <c r="N176" s="3" t="str">
        <f>HYPERLINK("http://ictvonline.org/taxonomyHistory.asp?taxnode_id=20160182","ICTVonline=20160182")</f>
        <v>ICTVonline=20160182</v>
      </c>
    </row>
    <row r="177" spans="1:14" x14ac:dyDescent="0.15">
      <c r="A177" s="3">
        <v>176</v>
      </c>
      <c r="B177" s="1" t="s">
        <v>1366</v>
      </c>
      <c r="C177" s="1" t="s">
        <v>1367</v>
      </c>
      <c r="D177" s="1" t="s">
        <v>7459</v>
      </c>
      <c r="E177" s="1" t="s">
        <v>3472</v>
      </c>
      <c r="F177" s="1" t="s">
        <v>3484</v>
      </c>
      <c r="G177" s="3">
        <v>0</v>
      </c>
      <c r="H177" s="20" t="s">
        <v>6558</v>
      </c>
      <c r="I177" s="20" t="s">
        <v>3485</v>
      </c>
      <c r="J177" s="20" t="s">
        <v>2860</v>
      </c>
      <c r="K177" s="20" t="s">
        <v>10016</v>
      </c>
      <c r="L177" s="3">
        <v>31</v>
      </c>
      <c r="M177" s="3" t="s">
        <v>7462</v>
      </c>
      <c r="N177" s="3" t="str">
        <f>HYPERLINK("http://ictvonline.org/taxonomyHistory.asp?taxnode_id=20160183","ICTVonline=20160183")</f>
        <v>ICTVonline=20160183</v>
      </c>
    </row>
    <row r="178" spans="1:14" x14ac:dyDescent="0.15">
      <c r="A178" s="3">
        <v>177</v>
      </c>
      <c r="B178" s="1" t="s">
        <v>1366</v>
      </c>
      <c r="C178" s="1" t="s">
        <v>1367</v>
      </c>
      <c r="D178" s="1" t="s">
        <v>7459</v>
      </c>
      <c r="E178" s="1" t="s">
        <v>3472</v>
      </c>
      <c r="F178" s="1" t="s">
        <v>3486</v>
      </c>
      <c r="G178" s="3">
        <v>0</v>
      </c>
      <c r="H178" s="20" t="s">
        <v>6559</v>
      </c>
      <c r="I178" s="20" t="s">
        <v>3487</v>
      </c>
      <c r="J178" s="20" t="s">
        <v>2860</v>
      </c>
      <c r="K178" s="20" t="s">
        <v>10016</v>
      </c>
      <c r="L178" s="3">
        <v>31</v>
      </c>
      <c r="M178" s="3" t="s">
        <v>7462</v>
      </c>
      <c r="N178" s="3" t="str">
        <f>HYPERLINK("http://ictvonline.org/taxonomyHistory.asp?taxnode_id=20160184","ICTVonline=20160184")</f>
        <v>ICTVonline=20160184</v>
      </c>
    </row>
    <row r="179" spans="1:14" x14ac:dyDescent="0.15">
      <c r="A179" s="3">
        <v>178</v>
      </c>
      <c r="B179" s="1" t="s">
        <v>1366</v>
      </c>
      <c r="C179" s="1" t="s">
        <v>1367</v>
      </c>
      <c r="D179" s="1" t="s">
        <v>7459</v>
      </c>
      <c r="E179" s="1" t="s">
        <v>3472</v>
      </c>
      <c r="F179" s="1" t="s">
        <v>3488</v>
      </c>
      <c r="G179" s="3">
        <v>0</v>
      </c>
      <c r="H179" s="20" t="s">
        <v>6560</v>
      </c>
      <c r="I179" s="20" t="s">
        <v>3489</v>
      </c>
      <c r="J179" s="20" t="s">
        <v>2860</v>
      </c>
      <c r="K179" s="20" t="s">
        <v>10016</v>
      </c>
      <c r="L179" s="3">
        <v>31</v>
      </c>
      <c r="M179" s="3" t="s">
        <v>7462</v>
      </c>
      <c r="N179" s="3" t="str">
        <f>HYPERLINK("http://ictvonline.org/taxonomyHistory.asp?taxnode_id=20160185","ICTVonline=20160185")</f>
        <v>ICTVonline=20160185</v>
      </c>
    </row>
    <row r="180" spans="1:14" x14ac:dyDescent="0.15">
      <c r="A180" s="3">
        <v>179</v>
      </c>
      <c r="B180" s="1" t="s">
        <v>1366</v>
      </c>
      <c r="C180" s="1" t="s">
        <v>1367</v>
      </c>
      <c r="D180" s="1" t="s">
        <v>7459</v>
      </c>
      <c r="E180" s="1" t="s">
        <v>7743</v>
      </c>
      <c r="F180" s="1" t="s">
        <v>7744</v>
      </c>
      <c r="G180" s="3">
        <v>1</v>
      </c>
      <c r="H180" s="20" t="s">
        <v>7745</v>
      </c>
      <c r="I180" s="20" t="s">
        <v>7746</v>
      </c>
      <c r="J180" s="20" t="s">
        <v>2860</v>
      </c>
      <c r="K180" s="20" t="s">
        <v>10013</v>
      </c>
      <c r="L180" s="3">
        <v>31</v>
      </c>
      <c r="M180" s="3" t="s">
        <v>7462</v>
      </c>
      <c r="N180" s="3" t="str">
        <f>HYPERLINK("http://ictvonline.org/taxonomyHistory.asp?taxnode_id=20164824","ICTVonline=20164824")</f>
        <v>ICTVonline=20164824</v>
      </c>
    </row>
    <row r="181" spans="1:14" x14ac:dyDescent="0.15">
      <c r="A181" s="3">
        <v>180</v>
      </c>
      <c r="B181" s="1" t="s">
        <v>1366</v>
      </c>
      <c r="C181" s="1" t="s">
        <v>1367</v>
      </c>
      <c r="D181" s="1" t="s">
        <v>7459</v>
      </c>
      <c r="E181" s="1" t="s">
        <v>7743</v>
      </c>
      <c r="F181" s="1" t="s">
        <v>7747</v>
      </c>
      <c r="G181" s="3">
        <v>0</v>
      </c>
      <c r="H181" s="20" t="s">
        <v>7748</v>
      </c>
      <c r="I181" s="20" t="s">
        <v>7749</v>
      </c>
      <c r="J181" s="20" t="s">
        <v>2860</v>
      </c>
      <c r="K181" s="20" t="s">
        <v>10013</v>
      </c>
      <c r="L181" s="3">
        <v>31</v>
      </c>
      <c r="M181" s="3" t="s">
        <v>7462</v>
      </c>
      <c r="N181" s="3" t="str">
        <f>HYPERLINK("http://ictvonline.org/taxonomyHistory.asp?taxnode_id=20164825","ICTVonline=20164825")</f>
        <v>ICTVonline=20164825</v>
      </c>
    </row>
    <row r="182" spans="1:14" x14ac:dyDescent="0.15">
      <c r="A182" s="3">
        <v>181</v>
      </c>
      <c r="B182" s="1" t="s">
        <v>1366</v>
      </c>
      <c r="C182" s="1" t="s">
        <v>1367</v>
      </c>
      <c r="D182" s="1" t="s">
        <v>7459</v>
      </c>
      <c r="E182" s="1" t="s">
        <v>7750</v>
      </c>
      <c r="F182" s="1" t="s">
        <v>7751</v>
      </c>
      <c r="G182" s="3">
        <v>1</v>
      </c>
      <c r="H182" s="20" t="s">
        <v>7752</v>
      </c>
      <c r="I182" s="20" t="s">
        <v>7753</v>
      </c>
      <c r="J182" s="20" t="s">
        <v>2860</v>
      </c>
      <c r="K182" s="20" t="s">
        <v>10013</v>
      </c>
      <c r="L182" s="3">
        <v>31</v>
      </c>
      <c r="M182" s="3" t="s">
        <v>7462</v>
      </c>
      <c r="N182" s="3" t="str">
        <f>HYPERLINK("http://ictvonline.org/taxonomyHistory.asp?taxnode_id=20164826","ICTVonline=20164826")</f>
        <v>ICTVonline=20164826</v>
      </c>
    </row>
    <row r="183" spans="1:14" x14ac:dyDescent="0.15">
      <c r="A183" s="3">
        <v>182</v>
      </c>
      <c r="B183" s="1" t="s">
        <v>1366</v>
      </c>
      <c r="C183" s="1" t="s">
        <v>1367</v>
      </c>
      <c r="D183" s="1" t="s">
        <v>7459</v>
      </c>
      <c r="E183" s="1" t="s">
        <v>7750</v>
      </c>
      <c r="F183" s="1" t="s">
        <v>7754</v>
      </c>
      <c r="G183" s="3">
        <v>0</v>
      </c>
      <c r="H183" s="20" t="s">
        <v>7755</v>
      </c>
      <c r="I183" s="20" t="s">
        <v>7756</v>
      </c>
      <c r="J183" s="20" t="s">
        <v>2860</v>
      </c>
      <c r="K183" s="20" t="s">
        <v>10013</v>
      </c>
      <c r="L183" s="3">
        <v>31</v>
      </c>
      <c r="M183" s="3" t="s">
        <v>7462</v>
      </c>
      <c r="N183" s="3" t="str">
        <f>HYPERLINK("http://ictvonline.org/taxonomyHistory.asp?taxnode_id=20164827","ICTVonline=20164827")</f>
        <v>ICTVonline=20164827</v>
      </c>
    </row>
    <row r="184" spans="1:14" x14ac:dyDescent="0.15">
      <c r="A184" s="3">
        <v>183</v>
      </c>
      <c r="B184" s="1" t="s">
        <v>1366</v>
      </c>
      <c r="C184" s="1" t="s">
        <v>1367</v>
      </c>
      <c r="D184" s="1" t="s">
        <v>1376</v>
      </c>
      <c r="E184" s="1" t="s">
        <v>3250</v>
      </c>
      <c r="F184" s="1" t="s">
        <v>3251</v>
      </c>
      <c r="G184" s="3">
        <v>0</v>
      </c>
      <c r="J184" s="20" t="s">
        <v>2860</v>
      </c>
      <c r="K184" s="20" t="s">
        <v>10014</v>
      </c>
      <c r="L184" s="3">
        <v>30</v>
      </c>
      <c r="M184" s="3" t="s">
        <v>10017</v>
      </c>
      <c r="N184" s="3" t="str">
        <f>HYPERLINK("http://ictvonline.org/taxonomyHistory.asp?taxnode_id=20160015","ICTVonline=20160015")</f>
        <v>ICTVonline=20160015</v>
      </c>
    </row>
    <row r="185" spans="1:14" x14ac:dyDescent="0.15">
      <c r="A185" s="3">
        <v>184</v>
      </c>
      <c r="B185" s="1" t="s">
        <v>1366</v>
      </c>
      <c r="C185" s="1" t="s">
        <v>1367</v>
      </c>
      <c r="D185" s="1" t="s">
        <v>1376</v>
      </c>
      <c r="E185" s="1" t="s">
        <v>3250</v>
      </c>
      <c r="F185" s="1" t="s">
        <v>3252</v>
      </c>
      <c r="G185" s="3">
        <v>1</v>
      </c>
      <c r="J185" s="20" t="s">
        <v>2860</v>
      </c>
      <c r="K185" s="20" t="s">
        <v>10014</v>
      </c>
      <c r="L185" s="3">
        <v>30</v>
      </c>
      <c r="M185" s="3" t="s">
        <v>10017</v>
      </c>
      <c r="N185" s="3" t="str">
        <f>HYPERLINK("http://ictvonline.org/taxonomyHistory.asp?taxnode_id=20160016","ICTVonline=20160016")</f>
        <v>ICTVonline=20160016</v>
      </c>
    </row>
    <row r="186" spans="1:14" x14ac:dyDescent="0.15">
      <c r="A186" s="3">
        <v>185</v>
      </c>
      <c r="B186" s="1" t="s">
        <v>1366</v>
      </c>
      <c r="C186" s="1" t="s">
        <v>1367</v>
      </c>
      <c r="D186" s="1" t="s">
        <v>1376</v>
      </c>
      <c r="E186" s="1" t="s">
        <v>3250</v>
      </c>
      <c r="F186" s="1" t="s">
        <v>3253</v>
      </c>
      <c r="G186" s="3">
        <v>0</v>
      </c>
      <c r="J186" s="20" t="s">
        <v>2860</v>
      </c>
      <c r="K186" s="20" t="s">
        <v>10014</v>
      </c>
      <c r="L186" s="3">
        <v>30</v>
      </c>
      <c r="M186" s="3" t="s">
        <v>10017</v>
      </c>
      <c r="N186" s="3" t="str">
        <f>HYPERLINK("http://ictvonline.org/taxonomyHistory.asp?taxnode_id=20160017","ICTVonline=20160017")</f>
        <v>ICTVonline=20160017</v>
      </c>
    </row>
    <row r="187" spans="1:14" x14ac:dyDescent="0.15">
      <c r="A187" s="3">
        <v>186</v>
      </c>
      <c r="B187" s="1" t="s">
        <v>1366</v>
      </c>
      <c r="C187" s="1" t="s">
        <v>1367</v>
      </c>
      <c r="D187" s="1" t="s">
        <v>1376</v>
      </c>
      <c r="E187" s="1" t="s">
        <v>3250</v>
      </c>
      <c r="F187" s="1" t="s">
        <v>3254</v>
      </c>
      <c r="G187" s="3">
        <v>0</v>
      </c>
      <c r="J187" s="20" t="s">
        <v>2860</v>
      </c>
      <c r="K187" s="20" t="s">
        <v>10014</v>
      </c>
      <c r="L187" s="3">
        <v>30</v>
      </c>
      <c r="M187" s="3" t="s">
        <v>10017</v>
      </c>
      <c r="N187" s="3" t="str">
        <f>HYPERLINK("http://ictvonline.org/taxonomyHistory.asp?taxnode_id=20160018","ICTVonline=20160018")</f>
        <v>ICTVonline=20160018</v>
      </c>
    </row>
    <row r="188" spans="1:14" x14ac:dyDescent="0.15">
      <c r="A188" s="3">
        <v>187</v>
      </c>
      <c r="B188" s="1" t="s">
        <v>1366</v>
      </c>
      <c r="C188" s="1" t="s">
        <v>1367</v>
      </c>
      <c r="D188" s="1" t="s">
        <v>1376</v>
      </c>
      <c r="E188" s="1" t="s">
        <v>3250</v>
      </c>
      <c r="F188" s="1" t="s">
        <v>3255</v>
      </c>
      <c r="G188" s="3">
        <v>0</v>
      </c>
      <c r="J188" s="20" t="s">
        <v>2860</v>
      </c>
      <c r="K188" s="20" t="s">
        <v>10014</v>
      </c>
      <c r="L188" s="3">
        <v>30</v>
      </c>
      <c r="M188" s="3" t="s">
        <v>10017</v>
      </c>
      <c r="N188" s="3" t="str">
        <f>HYPERLINK("http://ictvonline.org/taxonomyHistory.asp?taxnode_id=20160019","ICTVonline=20160019")</f>
        <v>ICTVonline=20160019</v>
      </c>
    </row>
    <row r="189" spans="1:14" x14ac:dyDescent="0.15">
      <c r="A189" s="3">
        <v>188</v>
      </c>
      <c r="B189" s="1" t="s">
        <v>1366</v>
      </c>
      <c r="C189" s="1" t="s">
        <v>1367</v>
      </c>
      <c r="D189" s="1" t="s">
        <v>1376</v>
      </c>
      <c r="E189" s="1" t="s">
        <v>3250</v>
      </c>
      <c r="F189" s="1" t="s">
        <v>3256</v>
      </c>
      <c r="G189" s="3">
        <v>0</v>
      </c>
      <c r="J189" s="20" t="s">
        <v>2860</v>
      </c>
      <c r="K189" s="20" t="s">
        <v>10014</v>
      </c>
      <c r="L189" s="3">
        <v>30</v>
      </c>
      <c r="M189" s="3" t="s">
        <v>10017</v>
      </c>
      <c r="N189" s="3" t="str">
        <f>HYPERLINK("http://ictvonline.org/taxonomyHistory.asp?taxnode_id=20160020","ICTVonline=20160020")</f>
        <v>ICTVonline=20160020</v>
      </c>
    </row>
    <row r="190" spans="1:14" x14ac:dyDescent="0.15">
      <c r="A190" s="3">
        <v>189</v>
      </c>
      <c r="B190" s="1" t="s">
        <v>1366</v>
      </c>
      <c r="C190" s="1" t="s">
        <v>1367</v>
      </c>
      <c r="D190" s="1" t="s">
        <v>1376</v>
      </c>
      <c r="E190" s="1" t="s">
        <v>3257</v>
      </c>
      <c r="F190" s="1" t="s">
        <v>3258</v>
      </c>
      <c r="G190" s="3">
        <v>0</v>
      </c>
      <c r="J190" s="20" t="s">
        <v>2860</v>
      </c>
      <c r="K190" s="20" t="s">
        <v>10014</v>
      </c>
      <c r="L190" s="3">
        <v>30</v>
      </c>
      <c r="M190" s="3" t="s">
        <v>10017</v>
      </c>
      <c r="N190" s="3" t="str">
        <f>HYPERLINK("http://ictvonline.org/taxonomyHistory.asp?taxnode_id=20160022","ICTVonline=20160022")</f>
        <v>ICTVonline=20160022</v>
      </c>
    </row>
    <row r="191" spans="1:14" x14ac:dyDescent="0.15">
      <c r="A191" s="3">
        <v>190</v>
      </c>
      <c r="B191" s="1" t="s">
        <v>1366</v>
      </c>
      <c r="C191" s="1" t="s">
        <v>1367</v>
      </c>
      <c r="D191" s="1" t="s">
        <v>1376</v>
      </c>
      <c r="E191" s="1" t="s">
        <v>3257</v>
      </c>
      <c r="F191" s="1" t="s">
        <v>3259</v>
      </c>
      <c r="G191" s="3">
        <v>0</v>
      </c>
      <c r="J191" s="20" t="s">
        <v>2860</v>
      </c>
      <c r="K191" s="20" t="s">
        <v>10014</v>
      </c>
      <c r="L191" s="3">
        <v>30</v>
      </c>
      <c r="M191" s="3" t="s">
        <v>10017</v>
      </c>
      <c r="N191" s="3" t="str">
        <f>HYPERLINK("http://ictvonline.org/taxonomyHistory.asp?taxnode_id=20160023","ICTVonline=20160023")</f>
        <v>ICTVonline=20160023</v>
      </c>
    </row>
    <row r="192" spans="1:14" x14ac:dyDescent="0.15">
      <c r="A192" s="3">
        <v>191</v>
      </c>
      <c r="B192" s="1" t="s">
        <v>1366</v>
      </c>
      <c r="C192" s="1" t="s">
        <v>1367</v>
      </c>
      <c r="D192" s="1" t="s">
        <v>1376</v>
      </c>
      <c r="E192" s="1" t="s">
        <v>3257</v>
      </c>
      <c r="F192" s="1" t="s">
        <v>3260</v>
      </c>
      <c r="G192" s="3">
        <v>0</v>
      </c>
      <c r="J192" s="20" t="s">
        <v>2860</v>
      </c>
      <c r="K192" s="20" t="s">
        <v>10014</v>
      </c>
      <c r="L192" s="3">
        <v>30</v>
      </c>
      <c r="M192" s="3" t="s">
        <v>10017</v>
      </c>
      <c r="N192" s="3" t="str">
        <f>HYPERLINK("http://ictvonline.org/taxonomyHistory.asp?taxnode_id=20160024","ICTVonline=20160024")</f>
        <v>ICTVonline=20160024</v>
      </c>
    </row>
    <row r="193" spans="1:14" x14ac:dyDescent="0.15">
      <c r="A193" s="3">
        <v>192</v>
      </c>
      <c r="B193" s="1" t="s">
        <v>1366</v>
      </c>
      <c r="C193" s="1" t="s">
        <v>1367</v>
      </c>
      <c r="D193" s="1" t="s">
        <v>1376</v>
      </c>
      <c r="E193" s="1" t="s">
        <v>3257</v>
      </c>
      <c r="F193" s="1" t="s">
        <v>3261</v>
      </c>
      <c r="G193" s="3">
        <v>0</v>
      </c>
      <c r="J193" s="20" t="s">
        <v>2860</v>
      </c>
      <c r="K193" s="20" t="s">
        <v>10014</v>
      </c>
      <c r="L193" s="3">
        <v>30</v>
      </c>
      <c r="M193" s="3" t="s">
        <v>10017</v>
      </c>
      <c r="N193" s="3" t="str">
        <f>HYPERLINK("http://ictvonline.org/taxonomyHistory.asp?taxnode_id=20160025","ICTVonline=20160025")</f>
        <v>ICTVonline=20160025</v>
      </c>
    </row>
    <row r="194" spans="1:14" x14ac:dyDescent="0.15">
      <c r="A194" s="3">
        <v>193</v>
      </c>
      <c r="B194" s="1" t="s">
        <v>1366</v>
      </c>
      <c r="C194" s="1" t="s">
        <v>1367</v>
      </c>
      <c r="D194" s="1" t="s">
        <v>1376</v>
      </c>
      <c r="E194" s="1" t="s">
        <v>3257</v>
      </c>
      <c r="F194" s="1" t="s">
        <v>3262</v>
      </c>
      <c r="G194" s="3">
        <v>1</v>
      </c>
      <c r="J194" s="20" t="s">
        <v>2860</v>
      </c>
      <c r="K194" s="20" t="s">
        <v>10014</v>
      </c>
      <c r="L194" s="3">
        <v>30</v>
      </c>
      <c r="M194" s="3" t="s">
        <v>10017</v>
      </c>
      <c r="N194" s="3" t="str">
        <f>HYPERLINK("http://ictvonline.org/taxonomyHistory.asp?taxnode_id=20160026","ICTVonline=20160026")</f>
        <v>ICTVonline=20160026</v>
      </c>
    </row>
    <row r="195" spans="1:14" x14ac:dyDescent="0.15">
      <c r="A195" s="3">
        <v>194</v>
      </c>
      <c r="B195" s="1" t="s">
        <v>1366</v>
      </c>
      <c r="C195" s="1" t="s">
        <v>1367</v>
      </c>
      <c r="D195" s="1" t="s">
        <v>1376</v>
      </c>
      <c r="E195" s="1" t="s">
        <v>3257</v>
      </c>
      <c r="F195" s="1" t="s">
        <v>3264</v>
      </c>
      <c r="G195" s="3">
        <v>0</v>
      </c>
      <c r="J195" s="20" t="s">
        <v>2860</v>
      </c>
      <c r="K195" s="20" t="s">
        <v>10014</v>
      </c>
      <c r="L195" s="3">
        <v>30</v>
      </c>
      <c r="M195" s="3" t="s">
        <v>10017</v>
      </c>
      <c r="N195" s="3" t="str">
        <f>HYPERLINK("http://ictvonline.org/taxonomyHistory.asp?taxnode_id=20160027","ICTVonline=20160027")</f>
        <v>ICTVonline=20160027</v>
      </c>
    </row>
    <row r="196" spans="1:14" x14ac:dyDescent="0.15">
      <c r="A196" s="3">
        <v>195</v>
      </c>
      <c r="B196" s="1" t="s">
        <v>1366</v>
      </c>
      <c r="C196" s="1" t="s">
        <v>1367</v>
      </c>
      <c r="D196" s="1" t="s">
        <v>1376</v>
      </c>
      <c r="E196" s="1" t="s">
        <v>3257</v>
      </c>
      <c r="F196" s="1" t="s">
        <v>10470</v>
      </c>
      <c r="G196" s="3">
        <v>0</v>
      </c>
      <c r="J196" s="20" t="s">
        <v>2860</v>
      </c>
      <c r="K196" s="20" t="s">
        <v>10021</v>
      </c>
      <c r="L196" s="3">
        <v>31</v>
      </c>
      <c r="M196" s="3" t="s">
        <v>10043</v>
      </c>
      <c r="N196" s="3" t="str">
        <f>HYPERLINK("http://ictvonline.org/taxonomyHistory.asp?taxnode_id=20160028","ICTVonline=20160028")</f>
        <v>ICTVonline=20160028</v>
      </c>
    </row>
    <row r="197" spans="1:14" x14ac:dyDescent="0.15">
      <c r="A197" s="3">
        <v>196</v>
      </c>
      <c r="B197" s="1" t="s">
        <v>1366</v>
      </c>
      <c r="C197" s="1" t="s">
        <v>1367</v>
      </c>
      <c r="D197" s="1" t="s">
        <v>1376</v>
      </c>
      <c r="E197" s="1" t="s">
        <v>3257</v>
      </c>
      <c r="F197" s="1" t="s">
        <v>3265</v>
      </c>
      <c r="G197" s="3">
        <v>0</v>
      </c>
      <c r="J197" s="20" t="s">
        <v>2860</v>
      </c>
      <c r="K197" s="20" t="s">
        <v>10014</v>
      </c>
      <c r="L197" s="3">
        <v>30</v>
      </c>
      <c r="M197" s="3" t="s">
        <v>10017</v>
      </c>
      <c r="N197" s="3" t="str">
        <f>HYPERLINK("http://ictvonline.org/taxonomyHistory.asp?taxnode_id=20160029","ICTVonline=20160029")</f>
        <v>ICTVonline=20160029</v>
      </c>
    </row>
    <row r="198" spans="1:14" x14ac:dyDescent="0.15">
      <c r="A198" s="3">
        <v>197</v>
      </c>
      <c r="B198" s="1" t="s">
        <v>1366</v>
      </c>
      <c r="C198" s="1" t="s">
        <v>1367</v>
      </c>
      <c r="D198" s="1" t="s">
        <v>1376</v>
      </c>
      <c r="E198" s="1" t="s">
        <v>3257</v>
      </c>
      <c r="F198" s="1" t="s">
        <v>3266</v>
      </c>
      <c r="G198" s="3">
        <v>0</v>
      </c>
      <c r="J198" s="20" t="s">
        <v>2860</v>
      </c>
      <c r="K198" s="20" t="s">
        <v>10014</v>
      </c>
      <c r="L198" s="3">
        <v>30</v>
      </c>
      <c r="M198" s="3" t="s">
        <v>10017</v>
      </c>
      <c r="N198" s="3" t="str">
        <f>HYPERLINK("http://ictvonline.org/taxonomyHistory.asp?taxnode_id=20160030","ICTVonline=20160030")</f>
        <v>ICTVonline=20160030</v>
      </c>
    </row>
    <row r="199" spans="1:14" x14ac:dyDescent="0.15">
      <c r="A199" s="3">
        <v>198</v>
      </c>
      <c r="B199" s="1" t="s">
        <v>1366</v>
      </c>
      <c r="C199" s="1" t="s">
        <v>1367</v>
      </c>
      <c r="D199" s="1" t="s">
        <v>1376</v>
      </c>
      <c r="E199" s="1" t="s">
        <v>3257</v>
      </c>
      <c r="F199" s="1" t="s">
        <v>3267</v>
      </c>
      <c r="G199" s="3">
        <v>0</v>
      </c>
      <c r="J199" s="20" t="s">
        <v>2860</v>
      </c>
      <c r="K199" s="20" t="s">
        <v>10014</v>
      </c>
      <c r="L199" s="3">
        <v>30</v>
      </c>
      <c r="M199" s="3" t="s">
        <v>10017</v>
      </c>
      <c r="N199" s="3" t="str">
        <f>HYPERLINK("http://ictvonline.org/taxonomyHistory.asp?taxnode_id=20160031","ICTVonline=20160031")</f>
        <v>ICTVonline=20160031</v>
      </c>
    </row>
    <row r="200" spans="1:14" x14ac:dyDescent="0.15">
      <c r="A200" s="3">
        <v>199</v>
      </c>
      <c r="B200" s="1" t="s">
        <v>1366</v>
      </c>
      <c r="C200" s="1" t="s">
        <v>1367</v>
      </c>
      <c r="D200" s="1" t="s">
        <v>1376</v>
      </c>
      <c r="E200" s="1" t="s">
        <v>3257</v>
      </c>
      <c r="F200" s="1" t="s">
        <v>3268</v>
      </c>
      <c r="G200" s="3">
        <v>0</v>
      </c>
      <c r="J200" s="20" t="s">
        <v>2860</v>
      </c>
      <c r="K200" s="20" t="s">
        <v>10014</v>
      </c>
      <c r="L200" s="3">
        <v>30</v>
      </c>
      <c r="M200" s="3" t="s">
        <v>10017</v>
      </c>
      <c r="N200" s="3" t="str">
        <f>HYPERLINK("http://ictvonline.org/taxonomyHistory.asp?taxnode_id=20160032","ICTVonline=20160032")</f>
        <v>ICTVonline=20160032</v>
      </c>
    </row>
    <row r="201" spans="1:14" x14ac:dyDescent="0.15">
      <c r="A201" s="3">
        <v>200</v>
      </c>
      <c r="B201" s="1" t="s">
        <v>1366</v>
      </c>
      <c r="C201" s="1" t="s">
        <v>1367</v>
      </c>
      <c r="D201" s="1" t="s">
        <v>1376</v>
      </c>
      <c r="E201" s="1" t="s">
        <v>3257</v>
      </c>
      <c r="F201" s="1" t="s">
        <v>3269</v>
      </c>
      <c r="G201" s="3">
        <v>0</v>
      </c>
      <c r="J201" s="20" t="s">
        <v>2860</v>
      </c>
      <c r="K201" s="20" t="s">
        <v>10014</v>
      </c>
      <c r="L201" s="3">
        <v>30</v>
      </c>
      <c r="M201" s="3" t="s">
        <v>10017</v>
      </c>
      <c r="N201" s="3" t="str">
        <f>HYPERLINK("http://ictvonline.org/taxonomyHistory.asp?taxnode_id=20160033","ICTVonline=20160033")</f>
        <v>ICTVonline=20160033</v>
      </c>
    </row>
    <row r="202" spans="1:14" x14ac:dyDescent="0.15">
      <c r="A202" s="3">
        <v>201</v>
      </c>
      <c r="B202" s="1" t="s">
        <v>1366</v>
      </c>
      <c r="C202" s="1" t="s">
        <v>1367</v>
      </c>
      <c r="D202" s="1" t="s">
        <v>1376</v>
      </c>
      <c r="E202" s="1" t="s">
        <v>3257</v>
      </c>
      <c r="F202" s="1" t="s">
        <v>3270</v>
      </c>
      <c r="G202" s="3">
        <v>0</v>
      </c>
      <c r="J202" s="20" t="s">
        <v>2860</v>
      </c>
      <c r="K202" s="20" t="s">
        <v>10014</v>
      </c>
      <c r="L202" s="3">
        <v>30</v>
      </c>
      <c r="M202" s="3" t="s">
        <v>10017</v>
      </c>
      <c r="N202" s="3" t="str">
        <f>HYPERLINK("http://ictvonline.org/taxonomyHistory.asp?taxnode_id=20160034","ICTVonline=20160034")</f>
        <v>ICTVonline=20160034</v>
      </c>
    </row>
    <row r="203" spans="1:14" x14ac:dyDescent="0.15">
      <c r="A203" s="3">
        <v>202</v>
      </c>
      <c r="B203" s="1" t="s">
        <v>1366</v>
      </c>
      <c r="C203" s="1" t="s">
        <v>1367</v>
      </c>
      <c r="D203" s="1" t="s">
        <v>1377</v>
      </c>
      <c r="E203" s="1" t="s">
        <v>3271</v>
      </c>
      <c r="F203" s="1" t="s">
        <v>3272</v>
      </c>
      <c r="G203" s="3">
        <v>0</v>
      </c>
      <c r="J203" s="20" t="s">
        <v>2860</v>
      </c>
      <c r="K203" s="20" t="s">
        <v>10014</v>
      </c>
      <c r="L203" s="3">
        <v>30</v>
      </c>
      <c r="M203" s="3" t="s">
        <v>10018</v>
      </c>
      <c r="N203" s="3" t="str">
        <f>HYPERLINK("http://ictvonline.org/taxonomyHistory.asp?taxnode_id=20160037","ICTVonline=20160037")</f>
        <v>ICTVonline=20160037</v>
      </c>
    </row>
    <row r="204" spans="1:14" x14ac:dyDescent="0.15">
      <c r="A204" s="3">
        <v>203</v>
      </c>
      <c r="B204" s="1" t="s">
        <v>1366</v>
      </c>
      <c r="C204" s="1" t="s">
        <v>1367</v>
      </c>
      <c r="D204" s="1" t="s">
        <v>1377</v>
      </c>
      <c r="E204" s="1" t="s">
        <v>3271</v>
      </c>
      <c r="F204" s="1" t="s">
        <v>3273</v>
      </c>
      <c r="G204" s="3">
        <v>0</v>
      </c>
      <c r="H204" s="20" t="s">
        <v>6481</v>
      </c>
      <c r="I204" s="20" t="s">
        <v>3274</v>
      </c>
      <c r="J204" s="20" t="s">
        <v>2860</v>
      </c>
      <c r="K204" s="20" t="s">
        <v>10013</v>
      </c>
      <c r="L204" s="3">
        <v>30</v>
      </c>
      <c r="M204" s="3" t="s">
        <v>10018</v>
      </c>
      <c r="N204" s="3" t="str">
        <f>HYPERLINK("http://ictvonline.org/taxonomyHistory.asp?taxnode_id=20160038","ICTVonline=20160038")</f>
        <v>ICTVonline=20160038</v>
      </c>
    </row>
    <row r="205" spans="1:14" x14ac:dyDescent="0.15">
      <c r="A205" s="3">
        <v>204</v>
      </c>
      <c r="B205" s="1" t="s">
        <v>1366</v>
      </c>
      <c r="C205" s="1" t="s">
        <v>1367</v>
      </c>
      <c r="D205" s="1" t="s">
        <v>1377</v>
      </c>
      <c r="E205" s="1" t="s">
        <v>3271</v>
      </c>
      <c r="F205" s="1" t="s">
        <v>3275</v>
      </c>
      <c r="G205" s="3">
        <v>0</v>
      </c>
      <c r="H205" s="20" t="s">
        <v>6482</v>
      </c>
      <c r="I205" s="20" t="s">
        <v>3276</v>
      </c>
      <c r="J205" s="20" t="s">
        <v>2860</v>
      </c>
      <c r="K205" s="20" t="s">
        <v>10013</v>
      </c>
      <c r="L205" s="3">
        <v>30</v>
      </c>
      <c r="M205" s="3" t="s">
        <v>10018</v>
      </c>
      <c r="N205" s="3" t="str">
        <f>HYPERLINK("http://ictvonline.org/taxonomyHistory.asp?taxnode_id=20160039","ICTVonline=20160039")</f>
        <v>ICTVonline=20160039</v>
      </c>
    </row>
    <row r="206" spans="1:14" x14ac:dyDescent="0.15">
      <c r="A206" s="3">
        <v>205</v>
      </c>
      <c r="B206" s="1" t="s">
        <v>1366</v>
      </c>
      <c r="C206" s="1" t="s">
        <v>1367</v>
      </c>
      <c r="D206" s="1" t="s">
        <v>1377</v>
      </c>
      <c r="E206" s="1" t="s">
        <v>3271</v>
      </c>
      <c r="F206" s="1" t="s">
        <v>3277</v>
      </c>
      <c r="G206" s="3">
        <v>1</v>
      </c>
      <c r="J206" s="20" t="s">
        <v>2860</v>
      </c>
      <c r="K206" s="20" t="s">
        <v>10014</v>
      </c>
      <c r="L206" s="3">
        <v>30</v>
      </c>
      <c r="M206" s="3" t="s">
        <v>10018</v>
      </c>
      <c r="N206" s="3" t="str">
        <f>HYPERLINK("http://ictvonline.org/taxonomyHistory.asp?taxnode_id=20160040","ICTVonline=20160040")</f>
        <v>ICTVonline=20160040</v>
      </c>
    </row>
    <row r="207" spans="1:14" x14ac:dyDescent="0.15">
      <c r="A207" s="3">
        <v>206</v>
      </c>
      <c r="B207" s="1" t="s">
        <v>1366</v>
      </c>
      <c r="C207" s="1" t="s">
        <v>1367</v>
      </c>
      <c r="D207" s="1" t="s">
        <v>1377</v>
      </c>
      <c r="E207" s="1" t="s">
        <v>3271</v>
      </c>
      <c r="F207" s="1" t="s">
        <v>3278</v>
      </c>
      <c r="G207" s="3">
        <v>0</v>
      </c>
      <c r="H207" s="20" t="s">
        <v>6483</v>
      </c>
      <c r="I207" s="20" t="s">
        <v>3279</v>
      </c>
      <c r="J207" s="20" t="s">
        <v>2860</v>
      </c>
      <c r="K207" s="20" t="s">
        <v>10013</v>
      </c>
      <c r="L207" s="3">
        <v>30</v>
      </c>
      <c r="M207" s="3" t="s">
        <v>10018</v>
      </c>
      <c r="N207" s="3" t="str">
        <f>HYPERLINK("http://ictvonline.org/taxonomyHistory.asp?taxnode_id=20160041","ICTVonline=20160041")</f>
        <v>ICTVonline=20160041</v>
      </c>
    </row>
    <row r="208" spans="1:14" x14ac:dyDescent="0.15">
      <c r="A208" s="3">
        <v>207</v>
      </c>
      <c r="B208" s="1" t="s">
        <v>1366</v>
      </c>
      <c r="C208" s="1" t="s">
        <v>1367</v>
      </c>
      <c r="D208" s="1" t="s">
        <v>1377</v>
      </c>
      <c r="E208" s="1" t="s">
        <v>3271</v>
      </c>
      <c r="F208" s="1" t="s">
        <v>3280</v>
      </c>
      <c r="G208" s="3">
        <v>0</v>
      </c>
      <c r="H208" s="20" t="s">
        <v>6484</v>
      </c>
      <c r="I208" s="20" t="s">
        <v>3281</v>
      </c>
      <c r="J208" s="20" t="s">
        <v>2860</v>
      </c>
      <c r="K208" s="20" t="s">
        <v>10013</v>
      </c>
      <c r="L208" s="3">
        <v>30</v>
      </c>
      <c r="M208" s="3" t="s">
        <v>10018</v>
      </c>
      <c r="N208" s="3" t="str">
        <f>HYPERLINK("http://ictvonline.org/taxonomyHistory.asp?taxnode_id=20160042","ICTVonline=20160042")</f>
        <v>ICTVonline=20160042</v>
      </c>
    </row>
    <row r="209" spans="1:14" x14ac:dyDescent="0.15">
      <c r="A209" s="3">
        <v>208</v>
      </c>
      <c r="B209" s="1" t="s">
        <v>1366</v>
      </c>
      <c r="C209" s="1" t="s">
        <v>1367</v>
      </c>
      <c r="D209" s="1" t="s">
        <v>1377</v>
      </c>
      <c r="E209" s="1" t="s">
        <v>3271</v>
      </c>
      <c r="F209" s="1" t="s">
        <v>7757</v>
      </c>
      <c r="G209" s="3">
        <v>0</v>
      </c>
      <c r="H209" s="20" t="s">
        <v>7758</v>
      </c>
      <c r="I209" s="20" t="s">
        <v>7759</v>
      </c>
      <c r="J209" s="20" t="s">
        <v>2860</v>
      </c>
      <c r="K209" s="20" t="s">
        <v>10013</v>
      </c>
      <c r="L209" s="3">
        <v>31</v>
      </c>
      <c r="M209" s="3" t="s">
        <v>7480</v>
      </c>
      <c r="N209" s="3" t="str">
        <f>HYPERLINK("http://ictvonline.org/taxonomyHistory.asp?taxnode_id=20164828","ICTVonline=20164828")</f>
        <v>ICTVonline=20164828</v>
      </c>
    </row>
    <row r="210" spans="1:14" x14ac:dyDescent="0.15">
      <c r="A210" s="3">
        <v>209</v>
      </c>
      <c r="B210" s="1" t="s">
        <v>1366</v>
      </c>
      <c r="C210" s="1" t="s">
        <v>1367</v>
      </c>
      <c r="D210" s="1" t="s">
        <v>1377</v>
      </c>
      <c r="E210" s="1" t="s">
        <v>3271</v>
      </c>
      <c r="F210" s="1" t="s">
        <v>3282</v>
      </c>
      <c r="G210" s="3">
        <v>0</v>
      </c>
      <c r="H210" s="20" t="s">
        <v>6485</v>
      </c>
      <c r="I210" s="20" t="s">
        <v>3283</v>
      </c>
      <c r="J210" s="20" t="s">
        <v>2860</v>
      </c>
      <c r="K210" s="20" t="s">
        <v>10013</v>
      </c>
      <c r="L210" s="3">
        <v>30</v>
      </c>
      <c r="M210" s="3" t="s">
        <v>10018</v>
      </c>
      <c r="N210" s="3" t="str">
        <f>HYPERLINK("http://ictvonline.org/taxonomyHistory.asp?taxnode_id=20160043","ICTVonline=20160043")</f>
        <v>ICTVonline=20160043</v>
      </c>
    </row>
    <row r="211" spans="1:14" x14ac:dyDescent="0.15">
      <c r="A211" s="3">
        <v>210</v>
      </c>
      <c r="B211" s="1" t="s">
        <v>1366</v>
      </c>
      <c r="C211" s="1" t="s">
        <v>1367</v>
      </c>
      <c r="D211" s="1" t="s">
        <v>1377</v>
      </c>
      <c r="E211" s="1" t="s">
        <v>3271</v>
      </c>
      <c r="F211" s="1" t="s">
        <v>7760</v>
      </c>
      <c r="G211" s="3">
        <v>0</v>
      </c>
      <c r="H211" s="20" t="s">
        <v>7761</v>
      </c>
      <c r="I211" s="20" t="s">
        <v>7762</v>
      </c>
      <c r="J211" s="20" t="s">
        <v>2860</v>
      </c>
      <c r="K211" s="20" t="s">
        <v>10013</v>
      </c>
      <c r="L211" s="3">
        <v>31</v>
      </c>
      <c r="M211" s="3" t="s">
        <v>7480</v>
      </c>
      <c r="N211" s="3" t="str">
        <f>HYPERLINK("http://ictvonline.org/taxonomyHistory.asp?taxnode_id=20164829","ICTVonline=20164829")</f>
        <v>ICTVonline=20164829</v>
      </c>
    </row>
    <row r="212" spans="1:14" x14ac:dyDescent="0.15">
      <c r="A212" s="3">
        <v>211</v>
      </c>
      <c r="B212" s="1" t="s">
        <v>1366</v>
      </c>
      <c r="C212" s="1" t="s">
        <v>1367</v>
      </c>
      <c r="D212" s="1" t="s">
        <v>1377</v>
      </c>
      <c r="E212" s="1" t="s">
        <v>3271</v>
      </c>
      <c r="F212" s="1" t="s">
        <v>3284</v>
      </c>
      <c r="G212" s="3">
        <v>0</v>
      </c>
      <c r="H212" s="20" t="s">
        <v>6486</v>
      </c>
      <c r="I212" s="20" t="s">
        <v>3285</v>
      </c>
      <c r="J212" s="20" t="s">
        <v>2860</v>
      </c>
      <c r="K212" s="20" t="s">
        <v>10013</v>
      </c>
      <c r="L212" s="3">
        <v>30</v>
      </c>
      <c r="M212" s="3" t="s">
        <v>10018</v>
      </c>
      <c r="N212" s="3" t="str">
        <f>HYPERLINK("http://ictvonline.org/taxonomyHistory.asp?taxnode_id=20160044","ICTVonline=20160044")</f>
        <v>ICTVonline=20160044</v>
      </c>
    </row>
    <row r="213" spans="1:14" x14ac:dyDescent="0.15">
      <c r="A213" s="3">
        <v>212</v>
      </c>
      <c r="B213" s="1" t="s">
        <v>1366</v>
      </c>
      <c r="C213" s="1" t="s">
        <v>1367</v>
      </c>
      <c r="D213" s="1" t="s">
        <v>1377</v>
      </c>
      <c r="E213" s="1" t="s">
        <v>3286</v>
      </c>
      <c r="F213" s="1" t="s">
        <v>3287</v>
      </c>
      <c r="G213" s="3">
        <v>0</v>
      </c>
      <c r="J213" s="20" t="s">
        <v>2860</v>
      </c>
      <c r="K213" s="20" t="s">
        <v>10014</v>
      </c>
      <c r="L213" s="3">
        <v>30</v>
      </c>
      <c r="M213" s="3" t="s">
        <v>10019</v>
      </c>
      <c r="N213" s="3" t="str">
        <f>HYPERLINK("http://ictvonline.org/taxonomyHistory.asp?taxnode_id=20160046","ICTVonline=20160046")</f>
        <v>ICTVonline=20160046</v>
      </c>
    </row>
    <row r="214" spans="1:14" x14ac:dyDescent="0.15">
      <c r="A214" s="3">
        <v>213</v>
      </c>
      <c r="B214" s="1" t="s">
        <v>1366</v>
      </c>
      <c r="C214" s="1" t="s">
        <v>1367</v>
      </c>
      <c r="D214" s="1" t="s">
        <v>1377</v>
      </c>
      <c r="E214" s="1" t="s">
        <v>3286</v>
      </c>
      <c r="F214" s="1" t="s">
        <v>3288</v>
      </c>
      <c r="G214" s="3">
        <v>1</v>
      </c>
      <c r="H214" s="20" t="s">
        <v>6487</v>
      </c>
      <c r="I214" s="20" t="s">
        <v>1378</v>
      </c>
      <c r="J214" s="20" t="s">
        <v>2860</v>
      </c>
      <c r="K214" s="20" t="s">
        <v>10014</v>
      </c>
      <c r="L214" s="3">
        <v>30</v>
      </c>
      <c r="M214" s="3" t="s">
        <v>10019</v>
      </c>
      <c r="N214" s="3" t="str">
        <f>HYPERLINK("http://ictvonline.org/taxonomyHistory.asp?taxnode_id=20160047","ICTVonline=20160047")</f>
        <v>ICTVonline=20160047</v>
      </c>
    </row>
    <row r="215" spans="1:14" x14ac:dyDescent="0.15">
      <c r="A215" s="3">
        <v>214</v>
      </c>
      <c r="B215" s="1" t="s">
        <v>1366</v>
      </c>
      <c r="C215" s="1" t="s">
        <v>1367</v>
      </c>
      <c r="D215" s="1" t="s">
        <v>1377</v>
      </c>
      <c r="E215" s="1" t="s">
        <v>3289</v>
      </c>
      <c r="F215" s="1" t="s">
        <v>3290</v>
      </c>
      <c r="G215" s="3">
        <v>1</v>
      </c>
      <c r="H215" s="20" t="s">
        <v>6488</v>
      </c>
      <c r="I215" s="20" t="s">
        <v>3291</v>
      </c>
      <c r="J215" s="20" t="s">
        <v>2860</v>
      </c>
      <c r="K215" s="20" t="s">
        <v>10013</v>
      </c>
      <c r="L215" s="3">
        <v>30</v>
      </c>
      <c r="M215" s="3" t="s">
        <v>10020</v>
      </c>
      <c r="N215" s="3" t="str">
        <f>HYPERLINK("http://ictvonline.org/taxonomyHistory.asp?taxnode_id=20160049","ICTVonline=20160049")</f>
        <v>ICTVonline=20160049</v>
      </c>
    </row>
    <row r="216" spans="1:14" x14ac:dyDescent="0.15">
      <c r="A216" s="3">
        <v>215</v>
      </c>
      <c r="B216" s="1" t="s">
        <v>1366</v>
      </c>
      <c r="C216" s="1" t="s">
        <v>1367</v>
      </c>
      <c r="D216" s="1" t="s">
        <v>1377</v>
      </c>
      <c r="E216" s="1" t="s">
        <v>3289</v>
      </c>
      <c r="F216" s="1" t="s">
        <v>3292</v>
      </c>
      <c r="G216" s="3">
        <v>0</v>
      </c>
      <c r="H216" s="20" t="s">
        <v>6489</v>
      </c>
      <c r="I216" s="20" t="s">
        <v>3293</v>
      </c>
      <c r="J216" s="20" t="s">
        <v>2860</v>
      </c>
      <c r="K216" s="20" t="s">
        <v>10013</v>
      </c>
      <c r="L216" s="3">
        <v>30</v>
      </c>
      <c r="M216" s="3" t="s">
        <v>10020</v>
      </c>
      <c r="N216" s="3" t="str">
        <f>HYPERLINK("http://ictvonline.org/taxonomyHistory.asp?taxnode_id=20160050","ICTVonline=20160050")</f>
        <v>ICTVonline=20160050</v>
      </c>
    </row>
    <row r="217" spans="1:14" x14ac:dyDescent="0.15">
      <c r="A217" s="3">
        <v>216</v>
      </c>
      <c r="B217" s="1" t="s">
        <v>1366</v>
      </c>
      <c r="C217" s="1" t="s">
        <v>1367</v>
      </c>
      <c r="D217" s="1" t="s">
        <v>1377</v>
      </c>
      <c r="E217" s="1" t="s">
        <v>3289</v>
      </c>
      <c r="F217" s="1" t="s">
        <v>7763</v>
      </c>
      <c r="G217" s="3">
        <v>0</v>
      </c>
      <c r="H217" s="20" t="s">
        <v>7764</v>
      </c>
      <c r="I217" s="20" t="s">
        <v>7765</v>
      </c>
      <c r="J217" s="20" t="s">
        <v>2860</v>
      </c>
      <c r="K217" s="20" t="s">
        <v>10013</v>
      </c>
      <c r="L217" s="3">
        <v>31</v>
      </c>
      <c r="M217" s="3" t="s">
        <v>7480</v>
      </c>
      <c r="N217" s="3" t="str">
        <f>HYPERLINK("http://ictvonline.org/taxonomyHistory.asp?taxnode_id=20164830","ICTVonline=20164830")</f>
        <v>ICTVonline=20164830</v>
      </c>
    </row>
    <row r="218" spans="1:14" x14ac:dyDescent="0.15">
      <c r="A218" s="3">
        <v>217</v>
      </c>
      <c r="B218" s="1" t="s">
        <v>1366</v>
      </c>
      <c r="C218" s="1" t="s">
        <v>1367</v>
      </c>
      <c r="D218" s="1" t="s">
        <v>1377</v>
      </c>
      <c r="E218" s="1" t="s">
        <v>3294</v>
      </c>
      <c r="F218" s="1" t="s">
        <v>7766</v>
      </c>
      <c r="G218" s="3">
        <v>0</v>
      </c>
      <c r="H218" s="20" t="s">
        <v>7767</v>
      </c>
      <c r="I218" s="20" t="s">
        <v>7768</v>
      </c>
      <c r="J218" s="20" t="s">
        <v>2860</v>
      </c>
      <c r="K218" s="20" t="s">
        <v>10013</v>
      </c>
      <c r="L218" s="3">
        <v>31</v>
      </c>
      <c r="M218" s="3" t="s">
        <v>7480</v>
      </c>
      <c r="N218" s="3" t="str">
        <f>HYPERLINK("http://ictvonline.org/taxonomyHistory.asp?taxnode_id=20164831","ICTVonline=20164831")</f>
        <v>ICTVonline=20164831</v>
      </c>
    </row>
    <row r="219" spans="1:14" x14ac:dyDescent="0.15">
      <c r="A219" s="3">
        <v>218</v>
      </c>
      <c r="B219" s="1" t="s">
        <v>1366</v>
      </c>
      <c r="C219" s="1" t="s">
        <v>1367</v>
      </c>
      <c r="D219" s="1" t="s">
        <v>1377</v>
      </c>
      <c r="E219" s="1" t="s">
        <v>3294</v>
      </c>
      <c r="F219" s="1" t="s">
        <v>3295</v>
      </c>
      <c r="G219" s="3">
        <v>1</v>
      </c>
      <c r="J219" s="20" t="s">
        <v>2860</v>
      </c>
      <c r="K219" s="20" t="s">
        <v>10014</v>
      </c>
      <c r="L219" s="3">
        <v>30</v>
      </c>
      <c r="M219" s="3" t="s">
        <v>10017</v>
      </c>
      <c r="N219" s="3" t="str">
        <f>HYPERLINK("http://ictvonline.org/taxonomyHistory.asp?taxnode_id=20160052","ICTVonline=20160052")</f>
        <v>ICTVonline=20160052</v>
      </c>
    </row>
    <row r="220" spans="1:14" x14ac:dyDescent="0.15">
      <c r="A220" s="3">
        <v>219</v>
      </c>
      <c r="B220" s="1" t="s">
        <v>1366</v>
      </c>
      <c r="C220" s="1" t="s">
        <v>1367</v>
      </c>
      <c r="D220" s="1" t="s">
        <v>1377</v>
      </c>
      <c r="E220" s="1" t="s">
        <v>7769</v>
      </c>
      <c r="F220" s="1" t="s">
        <v>7770</v>
      </c>
      <c r="G220" s="3">
        <v>0</v>
      </c>
      <c r="H220" s="20" t="s">
        <v>7771</v>
      </c>
      <c r="I220" s="20" t="s">
        <v>7772</v>
      </c>
      <c r="J220" s="20" t="s">
        <v>2860</v>
      </c>
      <c r="K220" s="20" t="s">
        <v>10013</v>
      </c>
      <c r="L220" s="3">
        <v>31</v>
      </c>
      <c r="M220" s="3" t="s">
        <v>7773</v>
      </c>
      <c r="N220" s="3" t="str">
        <f>HYPERLINK("http://ictvonline.org/taxonomyHistory.asp?taxnode_id=20164832","ICTVonline=20164832")</f>
        <v>ICTVonline=20164832</v>
      </c>
    </row>
    <row r="221" spans="1:14" x14ac:dyDescent="0.15">
      <c r="A221" s="3">
        <v>220</v>
      </c>
      <c r="B221" s="1" t="s">
        <v>1366</v>
      </c>
      <c r="C221" s="1" t="s">
        <v>1367</v>
      </c>
      <c r="D221" s="1" t="s">
        <v>1377</v>
      </c>
      <c r="E221" s="1" t="s">
        <v>7769</v>
      </c>
      <c r="F221" s="1" t="s">
        <v>7774</v>
      </c>
      <c r="G221" s="3">
        <v>1</v>
      </c>
      <c r="H221" s="20" t="s">
        <v>7775</v>
      </c>
      <c r="I221" s="20" t="s">
        <v>7776</v>
      </c>
      <c r="J221" s="20" t="s">
        <v>2860</v>
      </c>
      <c r="K221" s="20" t="s">
        <v>10013</v>
      </c>
      <c r="L221" s="3">
        <v>31</v>
      </c>
      <c r="M221" s="3" t="s">
        <v>7773</v>
      </c>
      <c r="N221" s="3" t="str">
        <f>HYPERLINK("http://ictvonline.org/taxonomyHistory.asp?taxnode_id=20164833","ICTVonline=20164833")</f>
        <v>ICTVonline=20164833</v>
      </c>
    </row>
    <row r="222" spans="1:14" x14ac:dyDescent="0.15">
      <c r="A222" s="3">
        <v>221</v>
      </c>
      <c r="B222" s="1" t="s">
        <v>1366</v>
      </c>
      <c r="C222" s="1" t="s">
        <v>1367</v>
      </c>
      <c r="D222" s="1" t="s">
        <v>1377</v>
      </c>
      <c r="E222" s="1" t="s">
        <v>3296</v>
      </c>
      <c r="F222" s="1" t="s">
        <v>3297</v>
      </c>
      <c r="G222" s="3">
        <v>1</v>
      </c>
      <c r="J222" s="20" t="s">
        <v>2860</v>
      </c>
      <c r="K222" s="20" t="s">
        <v>10014</v>
      </c>
      <c r="L222" s="3">
        <v>30</v>
      </c>
      <c r="M222" s="3" t="s">
        <v>10017</v>
      </c>
      <c r="N222" s="3" t="str">
        <f>HYPERLINK("http://ictvonline.org/taxonomyHistory.asp?taxnode_id=20160054","ICTVonline=20160054")</f>
        <v>ICTVonline=20160054</v>
      </c>
    </row>
    <row r="223" spans="1:14" x14ac:dyDescent="0.15">
      <c r="A223" s="3">
        <v>222</v>
      </c>
      <c r="B223" s="1" t="s">
        <v>1366</v>
      </c>
      <c r="C223" s="1" t="s">
        <v>1367</v>
      </c>
      <c r="D223" s="1" t="s">
        <v>1377</v>
      </c>
      <c r="E223" s="1" t="s">
        <v>926</v>
      </c>
      <c r="F223" s="1" t="s">
        <v>3298</v>
      </c>
      <c r="G223" s="3">
        <v>0</v>
      </c>
      <c r="J223" s="20" t="s">
        <v>2860</v>
      </c>
      <c r="K223" s="20" t="s">
        <v>10021</v>
      </c>
      <c r="L223" s="3">
        <v>30</v>
      </c>
      <c r="M223" s="3" t="s">
        <v>10017</v>
      </c>
      <c r="N223" s="3" t="str">
        <f>HYPERLINK("http://ictvonline.org/taxonomyHistory.asp?taxnode_id=20160056","ICTVonline=20160056")</f>
        <v>ICTVonline=20160056</v>
      </c>
    </row>
    <row r="224" spans="1:14" x14ac:dyDescent="0.15">
      <c r="A224" s="3">
        <v>223</v>
      </c>
      <c r="B224" s="1" t="s">
        <v>1366</v>
      </c>
      <c r="C224" s="1" t="s">
        <v>1367</v>
      </c>
      <c r="D224" s="1" t="s">
        <v>1377</v>
      </c>
      <c r="E224" s="1" t="s">
        <v>926</v>
      </c>
      <c r="F224" s="1" t="s">
        <v>10471</v>
      </c>
      <c r="G224" s="3">
        <v>0</v>
      </c>
      <c r="H224" s="20" t="s">
        <v>6490</v>
      </c>
      <c r="J224" s="20" t="s">
        <v>2860</v>
      </c>
      <c r="K224" s="20" t="s">
        <v>10021</v>
      </c>
      <c r="L224" s="3">
        <v>31</v>
      </c>
      <c r="M224" s="3" t="s">
        <v>10043</v>
      </c>
      <c r="N224" s="3" t="str">
        <f>HYPERLINK("http://ictvonline.org/taxonomyHistory.asp?taxnode_id=20160057","ICTVonline=20160057")</f>
        <v>ICTVonline=20160057</v>
      </c>
    </row>
    <row r="225" spans="1:14" x14ac:dyDescent="0.15">
      <c r="A225" s="3">
        <v>224</v>
      </c>
      <c r="B225" s="1" t="s">
        <v>1366</v>
      </c>
      <c r="C225" s="1" t="s">
        <v>1367</v>
      </c>
      <c r="D225" s="1" t="s">
        <v>1377</v>
      </c>
      <c r="E225" s="1" t="s">
        <v>926</v>
      </c>
      <c r="F225" s="1" t="s">
        <v>3299</v>
      </c>
      <c r="G225" s="3">
        <v>0</v>
      </c>
      <c r="J225" s="20" t="s">
        <v>2860</v>
      </c>
      <c r="K225" s="20" t="s">
        <v>10021</v>
      </c>
      <c r="L225" s="3">
        <v>30</v>
      </c>
      <c r="M225" s="3" t="s">
        <v>10017</v>
      </c>
      <c r="N225" s="3" t="str">
        <f>HYPERLINK("http://ictvonline.org/taxonomyHistory.asp?taxnode_id=20160058","ICTVonline=20160058")</f>
        <v>ICTVonline=20160058</v>
      </c>
    </row>
    <row r="226" spans="1:14" x14ac:dyDescent="0.15">
      <c r="A226" s="3">
        <v>225</v>
      </c>
      <c r="B226" s="1" t="s">
        <v>1366</v>
      </c>
      <c r="C226" s="1" t="s">
        <v>1367</v>
      </c>
      <c r="D226" s="1" t="s">
        <v>1379</v>
      </c>
      <c r="E226" s="1" t="s">
        <v>3300</v>
      </c>
      <c r="F226" s="1" t="s">
        <v>3302</v>
      </c>
      <c r="G226" s="3">
        <v>0</v>
      </c>
      <c r="H226" s="20" t="s">
        <v>6492</v>
      </c>
      <c r="I226" s="20" t="s">
        <v>3303</v>
      </c>
      <c r="J226" s="20" t="s">
        <v>2860</v>
      </c>
      <c r="K226" s="20" t="s">
        <v>10013</v>
      </c>
      <c r="L226" s="3">
        <v>30</v>
      </c>
      <c r="M226" s="3" t="s">
        <v>10022</v>
      </c>
      <c r="N226" s="3" t="str">
        <f>HYPERLINK("http://ictvonline.org/taxonomyHistory.asp?taxnode_id=20160062","ICTVonline=20160062")</f>
        <v>ICTVonline=20160062</v>
      </c>
    </row>
    <row r="227" spans="1:14" x14ac:dyDescent="0.15">
      <c r="A227" s="3">
        <v>226</v>
      </c>
      <c r="B227" s="1" t="s">
        <v>1366</v>
      </c>
      <c r="C227" s="1" t="s">
        <v>1367</v>
      </c>
      <c r="D227" s="1" t="s">
        <v>1379</v>
      </c>
      <c r="E227" s="1" t="s">
        <v>3300</v>
      </c>
      <c r="F227" s="1" t="s">
        <v>10472</v>
      </c>
      <c r="G227" s="3">
        <v>1</v>
      </c>
      <c r="H227" s="20" t="s">
        <v>6491</v>
      </c>
      <c r="I227" s="20" t="s">
        <v>3301</v>
      </c>
      <c r="J227" s="20" t="s">
        <v>2860</v>
      </c>
      <c r="K227" s="20" t="s">
        <v>10021</v>
      </c>
      <c r="L227" s="3">
        <v>31</v>
      </c>
      <c r="M227" s="3" t="s">
        <v>10043</v>
      </c>
      <c r="N227" s="3" t="str">
        <f>HYPERLINK("http://ictvonline.org/taxonomyHistory.asp?taxnode_id=20160061","ICTVonline=20160061")</f>
        <v>ICTVonline=20160061</v>
      </c>
    </row>
    <row r="228" spans="1:14" x14ac:dyDescent="0.15">
      <c r="A228" s="3">
        <v>227</v>
      </c>
      <c r="B228" s="1" t="s">
        <v>1366</v>
      </c>
      <c r="C228" s="1" t="s">
        <v>1367</v>
      </c>
      <c r="D228" s="1" t="s">
        <v>1379</v>
      </c>
      <c r="E228" s="1" t="s">
        <v>7777</v>
      </c>
      <c r="F228" s="1" t="s">
        <v>7778</v>
      </c>
      <c r="G228" s="3">
        <v>1</v>
      </c>
      <c r="H228" s="20" t="s">
        <v>7779</v>
      </c>
      <c r="I228" s="20" t="s">
        <v>7780</v>
      </c>
      <c r="J228" s="20" t="s">
        <v>2860</v>
      </c>
      <c r="K228" s="20" t="s">
        <v>10013</v>
      </c>
      <c r="L228" s="3">
        <v>31</v>
      </c>
      <c r="M228" s="3" t="s">
        <v>7781</v>
      </c>
      <c r="N228" s="3" t="str">
        <f>HYPERLINK("http://ictvonline.org/taxonomyHistory.asp?taxnode_id=20164834","ICTVonline=20164834")</f>
        <v>ICTVonline=20164834</v>
      </c>
    </row>
    <row r="229" spans="1:14" x14ac:dyDescent="0.15">
      <c r="A229" s="3">
        <v>228</v>
      </c>
      <c r="B229" s="1" t="s">
        <v>1366</v>
      </c>
      <c r="C229" s="1" t="s">
        <v>1367</v>
      </c>
      <c r="D229" s="1" t="s">
        <v>1379</v>
      </c>
      <c r="E229" s="1" t="s">
        <v>7777</v>
      </c>
      <c r="F229" s="1" t="s">
        <v>7782</v>
      </c>
      <c r="G229" s="3">
        <v>0</v>
      </c>
      <c r="H229" s="20" t="s">
        <v>7783</v>
      </c>
      <c r="I229" s="20" t="s">
        <v>7784</v>
      </c>
      <c r="J229" s="20" t="s">
        <v>2860</v>
      </c>
      <c r="K229" s="20" t="s">
        <v>10013</v>
      </c>
      <c r="L229" s="3">
        <v>31</v>
      </c>
      <c r="M229" s="3" t="s">
        <v>7781</v>
      </c>
      <c r="N229" s="3" t="str">
        <f>HYPERLINK("http://ictvonline.org/taxonomyHistory.asp?taxnode_id=20164835","ICTVonline=20164835")</f>
        <v>ICTVonline=20164835</v>
      </c>
    </row>
    <row r="230" spans="1:14" x14ac:dyDescent="0.15">
      <c r="A230" s="3">
        <v>229</v>
      </c>
      <c r="B230" s="1" t="s">
        <v>1366</v>
      </c>
      <c r="C230" s="1" t="s">
        <v>1367</v>
      </c>
      <c r="D230" s="1" t="s">
        <v>1379</v>
      </c>
      <c r="E230" s="1" t="s">
        <v>3304</v>
      </c>
      <c r="F230" s="1" t="s">
        <v>3305</v>
      </c>
      <c r="G230" s="3">
        <v>0</v>
      </c>
      <c r="H230" s="20" t="s">
        <v>6493</v>
      </c>
      <c r="I230" s="20" t="s">
        <v>3306</v>
      </c>
      <c r="J230" s="20" t="s">
        <v>2860</v>
      </c>
      <c r="K230" s="20" t="s">
        <v>10013</v>
      </c>
      <c r="L230" s="3">
        <v>30</v>
      </c>
      <c r="M230" s="3" t="s">
        <v>10022</v>
      </c>
      <c r="N230" s="3" t="str">
        <f>HYPERLINK("http://ictvonline.org/taxonomyHistory.asp?taxnode_id=20160064","ICTVonline=20160064")</f>
        <v>ICTVonline=20160064</v>
      </c>
    </row>
    <row r="231" spans="1:14" x14ac:dyDescent="0.15">
      <c r="A231" s="3">
        <v>230</v>
      </c>
      <c r="B231" s="1" t="s">
        <v>1366</v>
      </c>
      <c r="C231" s="1" t="s">
        <v>1367</v>
      </c>
      <c r="D231" s="1" t="s">
        <v>1379</v>
      </c>
      <c r="E231" s="1" t="s">
        <v>3304</v>
      </c>
      <c r="F231" s="1" t="s">
        <v>3307</v>
      </c>
      <c r="G231" s="3">
        <v>0</v>
      </c>
      <c r="H231" s="20" t="s">
        <v>6494</v>
      </c>
      <c r="I231" s="20" t="s">
        <v>3308</v>
      </c>
      <c r="J231" s="20" t="s">
        <v>2860</v>
      </c>
      <c r="K231" s="20" t="s">
        <v>10013</v>
      </c>
      <c r="L231" s="3">
        <v>30</v>
      </c>
      <c r="M231" s="3" t="s">
        <v>10022</v>
      </c>
      <c r="N231" s="3" t="str">
        <f>HYPERLINK("http://ictvonline.org/taxonomyHistory.asp?taxnode_id=20160065","ICTVonline=20160065")</f>
        <v>ICTVonline=20160065</v>
      </c>
    </row>
    <row r="232" spans="1:14" x14ac:dyDescent="0.15">
      <c r="A232" s="3">
        <v>231</v>
      </c>
      <c r="B232" s="1" t="s">
        <v>1366</v>
      </c>
      <c r="C232" s="1" t="s">
        <v>1367</v>
      </c>
      <c r="D232" s="1" t="s">
        <v>1379</v>
      </c>
      <c r="E232" s="1" t="s">
        <v>3304</v>
      </c>
      <c r="F232" s="1" t="s">
        <v>3309</v>
      </c>
      <c r="G232" s="3">
        <v>0</v>
      </c>
      <c r="H232" s="20" t="s">
        <v>6495</v>
      </c>
      <c r="I232" s="20" t="s">
        <v>3310</v>
      </c>
      <c r="J232" s="20" t="s">
        <v>2860</v>
      </c>
      <c r="K232" s="20" t="s">
        <v>10013</v>
      </c>
      <c r="L232" s="3">
        <v>30</v>
      </c>
      <c r="M232" s="3" t="s">
        <v>10022</v>
      </c>
      <c r="N232" s="3" t="str">
        <f>HYPERLINK("http://ictvonline.org/taxonomyHistory.asp?taxnode_id=20160066","ICTVonline=20160066")</f>
        <v>ICTVonline=20160066</v>
      </c>
    </row>
    <row r="233" spans="1:14" x14ac:dyDescent="0.15">
      <c r="A233" s="3">
        <v>232</v>
      </c>
      <c r="B233" s="1" t="s">
        <v>1366</v>
      </c>
      <c r="C233" s="1" t="s">
        <v>1367</v>
      </c>
      <c r="D233" s="1" t="s">
        <v>1379</v>
      </c>
      <c r="E233" s="1" t="s">
        <v>3304</v>
      </c>
      <c r="F233" s="1" t="s">
        <v>3311</v>
      </c>
      <c r="G233" s="3">
        <v>1</v>
      </c>
      <c r="J233" s="20" t="s">
        <v>2860</v>
      </c>
      <c r="K233" s="20" t="s">
        <v>10014</v>
      </c>
      <c r="L233" s="3">
        <v>30</v>
      </c>
      <c r="M233" s="3" t="s">
        <v>10022</v>
      </c>
      <c r="N233" s="3" t="str">
        <f>HYPERLINK("http://ictvonline.org/taxonomyHistory.asp?taxnode_id=20160067","ICTVonline=20160067")</f>
        <v>ICTVonline=20160067</v>
      </c>
    </row>
    <row r="234" spans="1:14" x14ac:dyDescent="0.15">
      <c r="A234" s="3">
        <v>233</v>
      </c>
      <c r="B234" s="1" t="s">
        <v>1366</v>
      </c>
      <c r="C234" s="1" t="s">
        <v>1367</v>
      </c>
      <c r="D234" s="1" t="s">
        <v>1379</v>
      </c>
      <c r="E234" s="1" t="s">
        <v>3304</v>
      </c>
      <c r="F234" s="1" t="s">
        <v>7785</v>
      </c>
      <c r="G234" s="3">
        <v>0</v>
      </c>
      <c r="H234" s="20" t="s">
        <v>7786</v>
      </c>
      <c r="I234" s="20" t="s">
        <v>7787</v>
      </c>
      <c r="J234" s="20" t="s">
        <v>2860</v>
      </c>
      <c r="K234" s="20" t="s">
        <v>10013</v>
      </c>
      <c r="L234" s="3">
        <v>31</v>
      </c>
      <c r="M234" s="3" t="s">
        <v>7480</v>
      </c>
      <c r="N234" s="3" t="str">
        <f>HYPERLINK("http://ictvonline.org/taxonomyHistory.asp?taxnode_id=20164836","ICTVonline=20164836")</f>
        <v>ICTVonline=20164836</v>
      </c>
    </row>
    <row r="235" spans="1:14" x14ac:dyDescent="0.15">
      <c r="A235" s="3">
        <v>234</v>
      </c>
      <c r="B235" s="1" t="s">
        <v>1366</v>
      </c>
      <c r="C235" s="1" t="s">
        <v>1367</v>
      </c>
      <c r="D235" s="1" t="s">
        <v>1379</v>
      </c>
      <c r="E235" s="1" t="s">
        <v>3304</v>
      </c>
      <c r="F235" s="1" t="s">
        <v>3312</v>
      </c>
      <c r="G235" s="3">
        <v>0</v>
      </c>
      <c r="H235" s="20" t="s">
        <v>6496</v>
      </c>
      <c r="I235" s="20" t="s">
        <v>3313</v>
      </c>
      <c r="J235" s="20" t="s">
        <v>2860</v>
      </c>
      <c r="K235" s="20" t="s">
        <v>10013</v>
      </c>
      <c r="L235" s="3">
        <v>30</v>
      </c>
      <c r="M235" s="3" t="s">
        <v>10022</v>
      </c>
      <c r="N235" s="3" t="str">
        <f>HYPERLINK("http://ictvonline.org/taxonomyHistory.asp?taxnode_id=20160068","ICTVonline=20160068")</f>
        <v>ICTVonline=20160068</v>
      </c>
    </row>
    <row r="236" spans="1:14" x14ac:dyDescent="0.15">
      <c r="A236" s="3">
        <v>235</v>
      </c>
      <c r="B236" s="1" t="s">
        <v>1366</v>
      </c>
      <c r="C236" s="1" t="s">
        <v>1367</v>
      </c>
      <c r="D236" s="1" t="s">
        <v>1379</v>
      </c>
      <c r="E236" s="1" t="s">
        <v>7788</v>
      </c>
      <c r="F236" s="1" t="s">
        <v>7789</v>
      </c>
      <c r="G236" s="3">
        <v>0</v>
      </c>
      <c r="H236" s="20" t="s">
        <v>7790</v>
      </c>
      <c r="I236" s="20" t="s">
        <v>7791</v>
      </c>
      <c r="J236" s="20" t="s">
        <v>2860</v>
      </c>
      <c r="K236" s="20" t="s">
        <v>10013</v>
      </c>
      <c r="L236" s="3">
        <v>31</v>
      </c>
      <c r="M236" s="3" t="s">
        <v>7792</v>
      </c>
      <c r="N236" s="3" t="str">
        <f>HYPERLINK("http://ictvonline.org/taxonomyHistory.asp?taxnode_id=20164837","ICTVonline=20164837")</f>
        <v>ICTVonline=20164837</v>
      </c>
    </row>
    <row r="237" spans="1:14" x14ac:dyDescent="0.15">
      <c r="A237" s="3">
        <v>236</v>
      </c>
      <c r="B237" s="1" t="s">
        <v>1366</v>
      </c>
      <c r="C237" s="1" t="s">
        <v>1367</v>
      </c>
      <c r="D237" s="1" t="s">
        <v>1379</v>
      </c>
      <c r="E237" s="1" t="s">
        <v>7788</v>
      </c>
      <c r="F237" s="1" t="s">
        <v>7793</v>
      </c>
      <c r="G237" s="3">
        <v>1</v>
      </c>
      <c r="H237" s="20" t="s">
        <v>7794</v>
      </c>
      <c r="I237" s="20" t="s">
        <v>7795</v>
      </c>
      <c r="J237" s="20" t="s">
        <v>2860</v>
      </c>
      <c r="K237" s="20" t="s">
        <v>10013</v>
      </c>
      <c r="L237" s="3">
        <v>31</v>
      </c>
      <c r="M237" s="3" t="s">
        <v>7792</v>
      </c>
      <c r="N237" s="3" t="str">
        <f>HYPERLINK("http://ictvonline.org/taxonomyHistory.asp?taxnode_id=20164838","ICTVonline=20164838")</f>
        <v>ICTVonline=20164838</v>
      </c>
    </row>
    <row r="238" spans="1:14" x14ac:dyDescent="0.15">
      <c r="A238" s="3">
        <v>237</v>
      </c>
      <c r="B238" s="1" t="s">
        <v>1366</v>
      </c>
      <c r="C238" s="1" t="s">
        <v>1367</v>
      </c>
      <c r="D238" s="1" t="s">
        <v>1379</v>
      </c>
      <c r="E238" s="1" t="s">
        <v>7788</v>
      </c>
      <c r="F238" s="1" t="s">
        <v>7796</v>
      </c>
      <c r="G238" s="3">
        <v>0</v>
      </c>
      <c r="H238" s="20" t="s">
        <v>7797</v>
      </c>
      <c r="I238" s="20" t="s">
        <v>7798</v>
      </c>
      <c r="J238" s="20" t="s">
        <v>2860</v>
      </c>
      <c r="K238" s="20" t="s">
        <v>10013</v>
      </c>
      <c r="L238" s="3">
        <v>31</v>
      </c>
      <c r="M238" s="3" t="s">
        <v>7792</v>
      </c>
      <c r="N238" s="3" t="str">
        <f>HYPERLINK("http://ictvonline.org/taxonomyHistory.asp?taxnode_id=20164839","ICTVonline=20164839")</f>
        <v>ICTVonline=20164839</v>
      </c>
    </row>
    <row r="239" spans="1:14" x14ac:dyDescent="0.15">
      <c r="A239" s="3">
        <v>238</v>
      </c>
      <c r="B239" s="1" t="s">
        <v>1366</v>
      </c>
      <c r="C239" s="1" t="s">
        <v>1367</v>
      </c>
      <c r="D239" s="1" t="s">
        <v>1379</v>
      </c>
      <c r="E239" s="1" t="s">
        <v>7788</v>
      </c>
      <c r="F239" s="1" t="s">
        <v>7799</v>
      </c>
      <c r="G239" s="3">
        <v>0</v>
      </c>
      <c r="H239" s="20" t="s">
        <v>7800</v>
      </c>
      <c r="I239" s="20" t="s">
        <v>7801</v>
      </c>
      <c r="J239" s="20" t="s">
        <v>2860</v>
      </c>
      <c r="K239" s="20" t="s">
        <v>10013</v>
      </c>
      <c r="L239" s="3">
        <v>31</v>
      </c>
      <c r="M239" s="3" t="s">
        <v>7792</v>
      </c>
      <c r="N239" s="3" t="str">
        <f>HYPERLINK("http://ictvonline.org/taxonomyHistory.asp?taxnode_id=20164840","ICTVonline=20164840")</f>
        <v>ICTVonline=20164840</v>
      </c>
    </row>
    <row r="240" spans="1:14" x14ac:dyDescent="0.15">
      <c r="A240" s="3">
        <v>239</v>
      </c>
      <c r="B240" s="1" t="s">
        <v>1366</v>
      </c>
      <c r="C240" s="1" t="s">
        <v>1367</v>
      </c>
      <c r="D240" s="1" t="s">
        <v>1379</v>
      </c>
      <c r="E240" s="1" t="s">
        <v>7788</v>
      </c>
      <c r="F240" s="1" t="s">
        <v>7802</v>
      </c>
      <c r="G240" s="3">
        <v>0</v>
      </c>
      <c r="H240" s="20" t="s">
        <v>7803</v>
      </c>
      <c r="I240" s="20" t="s">
        <v>7804</v>
      </c>
      <c r="J240" s="20" t="s">
        <v>2860</v>
      </c>
      <c r="K240" s="20" t="s">
        <v>10013</v>
      </c>
      <c r="L240" s="3">
        <v>31</v>
      </c>
      <c r="M240" s="3" t="s">
        <v>7792</v>
      </c>
      <c r="N240" s="3" t="str">
        <f>HYPERLINK("http://ictvonline.org/taxonomyHistory.asp?taxnode_id=20164841","ICTVonline=20164841")</f>
        <v>ICTVonline=20164841</v>
      </c>
    </row>
    <row r="241" spans="1:14" x14ac:dyDescent="0.15">
      <c r="A241" s="3">
        <v>240</v>
      </c>
      <c r="B241" s="1" t="s">
        <v>1366</v>
      </c>
      <c r="C241" s="1" t="s">
        <v>1367</v>
      </c>
      <c r="D241" s="1" t="s">
        <v>1379</v>
      </c>
      <c r="E241" s="1" t="s">
        <v>7805</v>
      </c>
      <c r="F241" s="1" t="s">
        <v>7806</v>
      </c>
      <c r="G241" s="3">
        <v>0</v>
      </c>
      <c r="H241" s="20" t="s">
        <v>7807</v>
      </c>
      <c r="I241" s="20" t="s">
        <v>7808</v>
      </c>
      <c r="J241" s="20" t="s">
        <v>2860</v>
      </c>
      <c r="K241" s="20" t="s">
        <v>10013</v>
      </c>
      <c r="L241" s="3">
        <v>31</v>
      </c>
      <c r="M241" s="3" t="s">
        <v>7809</v>
      </c>
      <c r="N241" s="3" t="str">
        <f>HYPERLINK("http://ictvonline.org/taxonomyHistory.asp?taxnode_id=20164842","ICTVonline=20164842")</f>
        <v>ICTVonline=20164842</v>
      </c>
    </row>
    <row r="242" spans="1:14" x14ac:dyDescent="0.15">
      <c r="A242" s="3">
        <v>241</v>
      </c>
      <c r="B242" s="1" t="s">
        <v>1366</v>
      </c>
      <c r="C242" s="1" t="s">
        <v>1367</v>
      </c>
      <c r="D242" s="1" t="s">
        <v>1379</v>
      </c>
      <c r="E242" s="1" t="s">
        <v>7805</v>
      </c>
      <c r="F242" s="1" t="s">
        <v>7810</v>
      </c>
      <c r="G242" s="3">
        <v>1</v>
      </c>
      <c r="H242" s="20" t="s">
        <v>7811</v>
      </c>
      <c r="I242" s="20" t="s">
        <v>7812</v>
      </c>
      <c r="J242" s="20" t="s">
        <v>2860</v>
      </c>
      <c r="K242" s="20" t="s">
        <v>10013</v>
      </c>
      <c r="L242" s="3">
        <v>31</v>
      </c>
      <c r="M242" s="3" t="s">
        <v>7809</v>
      </c>
      <c r="N242" s="3" t="str">
        <f>HYPERLINK("http://ictvonline.org/taxonomyHistory.asp?taxnode_id=20164843","ICTVonline=20164843")</f>
        <v>ICTVonline=20164843</v>
      </c>
    </row>
    <row r="243" spans="1:14" x14ac:dyDescent="0.15">
      <c r="A243" s="3">
        <v>242</v>
      </c>
      <c r="B243" s="1" t="s">
        <v>1366</v>
      </c>
      <c r="C243" s="1" t="s">
        <v>1367</v>
      </c>
      <c r="D243" s="1" t="s">
        <v>1379</v>
      </c>
      <c r="E243" s="1" t="s">
        <v>3314</v>
      </c>
      <c r="F243" s="1" t="s">
        <v>7813</v>
      </c>
      <c r="G243" s="3">
        <v>0</v>
      </c>
      <c r="H243" s="20" t="s">
        <v>7814</v>
      </c>
      <c r="I243" s="20" t="s">
        <v>7815</v>
      </c>
      <c r="J243" s="20" t="s">
        <v>2860</v>
      </c>
      <c r="K243" s="20" t="s">
        <v>10013</v>
      </c>
      <c r="L243" s="3">
        <v>31</v>
      </c>
      <c r="M243" s="3" t="s">
        <v>7480</v>
      </c>
      <c r="N243" s="3" t="str">
        <f>HYPERLINK("http://ictvonline.org/taxonomyHistory.asp?taxnode_id=20164844","ICTVonline=20164844")</f>
        <v>ICTVonline=20164844</v>
      </c>
    </row>
    <row r="244" spans="1:14" x14ac:dyDescent="0.15">
      <c r="A244" s="3">
        <v>243</v>
      </c>
      <c r="B244" s="1" t="s">
        <v>1366</v>
      </c>
      <c r="C244" s="1" t="s">
        <v>1367</v>
      </c>
      <c r="D244" s="1" t="s">
        <v>1379</v>
      </c>
      <c r="E244" s="1" t="s">
        <v>3314</v>
      </c>
      <c r="F244" s="1" t="s">
        <v>3315</v>
      </c>
      <c r="G244" s="3">
        <v>0</v>
      </c>
      <c r="J244" s="20" t="s">
        <v>2860</v>
      </c>
      <c r="K244" s="20" t="s">
        <v>10014</v>
      </c>
      <c r="L244" s="3">
        <v>30</v>
      </c>
      <c r="M244" s="3" t="s">
        <v>10022</v>
      </c>
      <c r="N244" s="3" t="str">
        <f>HYPERLINK("http://ictvonline.org/taxonomyHistory.asp?taxnode_id=20160070","ICTVonline=20160070")</f>
        <v>ICTVonline=20160070</v>
      </c>
    </row>
    <row r="245" spans="1:14" x14ac:dyDescent="0.15">
      <c r="A245" s="3">
        <v>244</v>
      </c>
      <c r="B245" s="1" t="s">
        <v>1366</v>
      </c>
      <c r="C245" s="1" t="s">
        <v>1367</v>
      </c>
      <c r="D245" s="1" t="s">
        <v>1379</v>
      </c>
      <c r="E245" s="1" t="s">
        <v>3314</v>
      </c>
      <c r="F245" s="1" t="s">
        <v>3316</v>
      </c>
      <c r="G245" s="3">
        <v>1</v>
      </c>
      <c r="J245" s="20" t="s">
        <v>2860</v>
      </c>
      <c r="K245" s="20" t="s">
        <v>10014</v>
      </c>
      <c r="L245" s="3">
        <v>30</v>
      </c>
      <c r="M245" s="3" t="s">
        <v>10022</v>
      </c>
      <c r="N245" s="3" t="str">
        <f>HYPERLINK("http://ictvonline.org/taxonomyHistory.asp?taxnode_id=20160071","ICTVonline=20160071")</f>
        <v>ICTVonline=20160071</v>
      </c>
    </row>
    <row r="246" spans="1:14" x14ac:dyDescent="0.15">
      <c r="A246" s="3">
        <v>245</v>
      </c>
      <c r="B246" s="1" t="s">
        <v>1366</v>
      </c>
      <c r="C246" s="1" t="s">
        <v>1367</v>
      </c>
      <c r="D246" s="1" t="s">
        <v>1379</v>
      </c>
      <c r="E246" s="1" t="s">
        <v>3317</v>
      </c>
      <c r="F246" s="1" t="s">
        <v>3318</v>
      </c>
      <c r="G246" s="3">
        <v>0</v>
      </c>
      <c r="H246" s="20" t="s">
        <v>6497</v>
      </c>
      <c r="I246" s="20" t="s">
        <v>3319</v>
      </c>
      <c r="J246" s="20" t="s">
        <v>2860</v>
      </c>
      <c r="K246" s="20" t="s">
        <v>10013</v>
      </c>
      <c r="L246" s="3">
        <v>30</v>
      </c>
      <c r="M246" s="3" t="s">
        <v>10022</v>
      </c>
      <c r="N246" s="3" t="str">
        <f>HYPERLINK("http://ictvonline.org/taxonomyHistory.asp?taxnode_id=20160073","ICTVonline=20160073")</f>
        <v>ICTVonline=20160073</v>
      </c>
    </row>
    <row r="247" spans="1:14" x14ac:dyDescent="0.15">
      <c r="A247" s="3">
        <v>246</v>
      </c>
      <c r="B247" s="1" t="s">
        <v>1366</v>
      </c>
      <c r="C247" s="1" t="s">
        <v>1367</v>
      </c>
      <c r="D247" s="1" t="s">
        <v>1379</v>
      </c>
      <c r="E247" s="1" t="s">
        <v>3317</v>
      </c>
      <c r="F247" s="1" t="s">
        <v>3320</v>
      </c>
      <c r="G247" s="3">
        <v>0</v>
      </c>
      <c r="H247" s="20" t="s">
        <v>6498</v>
      </c>
      <c r="I247" s="20" t="s">
        <v>3321</v>
      </c>
      <c r="J247" s="20" t="s">
        <v>2860</v>
      </c>
      <c r="K247" s="20" t="s">
        <v>10013</v>
      </c>
      <c r="L247" s="3">
        <v>30</v>
      </c>
      <c r="M247" s="3" t="s">
        <v>10022</v>
      </c>
      <c r="N247" s="3" t="str">
        <f>HYPERLINK("http://ictvonline.org/taxonomyHistory.asp?taxnode_id=20160074","ICTVonline=20160074")</f>
        <v>ICTVonline=20160074</v>
      </c>
    </row>
    <row r="248" spans="1:14" x14ac:dyDescent="0.15">
      <c r="A248" s="3">
        <v>247</v>
      </c>
      <c r="B248" s="1" t="s">
        <v>1366</v>
      </c>
      <c r="C248" s="1" t="s">
        <v>1367</v>
      </c>
      <c r="D248" s="1" t="s">
        <v>1379</v>
      </c>
      <c r="E248" s="1" t="s">
        <v>3317</v>
      </c>
      <c r="F248" s="1" t="s">
        <v>3322</v>
      </c>
      <c r="G248" s="3">
        <v>1</v>
      </c>
      <c r="J248" s="20" t="s">
        <v>2860</v>
      </c>
      <c r="K248" s="20" t="s">
        <v>10014</v>
      </c>
      <c r="L248" s="3">
        <v>30</v>
      </c>
      <c r="M248" s="3" t="s">
        <v>10022</v>
      </c>
      <c r="N248" s="3" t="str">
        <f>HYPERLINK("http://ictvonline.org/taxonomyHistory.asp?taxnode_id=20160075","ICTVonline=20160075")</f>
        <v>ICTVonline=20160075</v>
      </c>
    </row>
    <row r="249" spans="1:14" x14ac:dyDescent="0.15">
      <c r="A249" s="3">
        <v>248</v>
      </c>
      <c r="B249" s="1" t="s">
        <v>1366</v>
      </c>
      <c r="C249" s="1" t="s">
        <v>1367</v>
      </c>
      <c r="D249" s="1" t="s">
        <v>1379</v>
      </c>
      <c r="E249" s="1" t="s">
        <v>3317</v>
      </c>
      <c r="F249" s="1" t="s">
        <v>3323</v>
      </c>
      <c r="G249" s="3">
        <v>0</v>
      </c>
      <c r="H249" s="20" t="s">
        <v>6499</v>
      </c>
      <c r="I249" s="20" t="s">
        <v>3324</v>
      </c>
      <c r="J249" s="20" t="s">
        <v>2860</v>
      </c>
      <c r="K249" s="20" t="s">
        <v>10013</v>
      </c>
      <c r="L249" s="3">
        <v>30</v>
      </c>
      <c r="M249" s="3" t="s">
        <v>10022</v>
      </c>
      <c r="N249" s="3" t="str">
        <f>HYPERLINK("http://ictvonline.org/taxonomyHistory.asp?taxnode_id=20160076","ICTVonline=20160076")</f>
        <v>ICTVonline=20160076</v>
      </c>
    </row>
    <row r="250" spans="1:14" x14ac:dyDescent="0.15">
      <c r="A250" s="3">
        <v>249</v>
      </c>
      <c r="B250" s="1" t="s">
        <v>1366</v>
      </c>
      <c r="C250" s="1" t="s">
        <v>1367</v>
      </c>
      <c r="D250" s="1" t="s">
        <v>1379</v>
      </c>
      <c r="E250" s="1" t="s">
        <v>3325</v>
      </c>
      <c r="F250" s="1" t="s">
        <v>3326</v>
      </c>
      <c r="G250" s="3">
        <v>1</v>
      </c>
      <c r="H250" s="20" t="s">
        <v>6500</v>
      </c>
      <c r="I250" s="20" t="s">
        <v>3327</v>
      </c>
      <c r="J250" s="20" t="s">
        <v>2860</v>
      </c>
      <c r="K250" s="20" t="s">
        <v>10013</v>
      </c>
      <c r="L250" s="3">
        <v>30</v>
      </c>
      <c r="M250" s="3" t="s">
        <v>10022</v>
      </c>
      <c r="N250" s="3" t="str">
        <f>HYPERLINK("http://ictvonline.org/taxonomyHistory.asp?taxnode_id=20160078","ICTVonline=20160078")</f>
        <v>ICTVonline=20160078</v>
      </c>
    </row>
    <row r="251" spans="1:14" x14ac:dyDescent="0.15">
      <c r="A251" s="3">
        <v>250</v>
      </c>
      <c r="B251" s="1" t="s">
        <v>1366</v>
      </c>
      <c r="C251" s="1" t="s">
        <v>1367</v>
      </c>
      <c r="D251" s="1" t="s">
        <v>1379</v>
      </c>
      <c r="E251" s="1" t="s">
        <v>3325</v>
      </c>
      <c r="F251" s="1" t="s">
        <v>3328</v>
      </c>
      <c r="G251" s="3">
        <v>0</v>
      </c>
      <c r="H251" s="20" t="s">
        <v>6501</v>
      </c>
      <c r="I251" s="20" t="s">
        <v>3329</v>
      </c>
      <c r="J251" s="20" t="s">
        <v>2860</v>
      </c>
      <c r="K251" s="20" t="s">
        <v>10013</v>
      </c>
      <c r="L251" s="3">
        <v>30</v>
      </c>
      <c r="M251" s="3" t="s">
        <v>10022</v>
      </c>
      <c r="N251" s="3" t="str">
        <f>HYPERLINK("http://ictvonline.org/taxonomyHistory.asp?taxnode_id=20160079","ICTVonline=20160079")</f>
        <v>ICTVonline=20160079</v>
      </c>
    </row>
    <row r="252" spans="1:14" x14ac:dyDescent="0.15">
      <c r="A252" s="3">
        <v>251</v>
      </c>
      <c r="B252" s="1" t="s">
        <v>1366</v>
      </c>
      <c r="C252" s="1" t="s">
        <v>1367</v>
      </c>
      <c r="D252" s="1" t="s">
        <v>1379</v>
      </c>
      <c r="E252" s="1" t="s">
        <v>3330</v>
      </c>
      <c r="F252" s="1" t="s">
        <v>3331</v>
      </c>
      <c r="G252" s="3">
        <v>1</v>
      </c>
      <c r="J252" s="20" t="s">
        <v>2860</v>
      </c>
      <c r="K252" s="20" t="s">
        <v>10014</v>
      </c>
      <c r="L252" s="3">
        <v>30</v>
      </c>
      <c r="M252" s="3" t="s">
        <v>10017</v>
      </c>
      <c r="N252" s="3" t="str">
        <f>HYPERLINK("http://ictvonline.org/taxonomyHistory.asp?taxnode_id=20160081","ICTVonline=20160081")</f>
        <v>ICTVonline=20160081</v>
      </c>
    </row>
    <row r="253" spans="1:14" x14ac:dyDescent="0.15">
      <c r="A253" s="3">
        <v>252</v>
      </c>
      <c r="B253" s="1" t="s">
        <v>1366</v>
      </c>
      <c r="C253" s="1" t="s">
        <v>1367</v>
      </c>
      <c r="D253" s="1" t="s">
        <v>1379</v>
      </c>
      <c r="E253" s="1" t="s">
        <v>3330</v>
      </c>
      <c r="F253" s="1" t="s">
        <v>3332</v>
      </c>
      <c r="G253" s="3">
        <v>0</v>
      </c>
      <c r="J253" s="20" t="s">
        <v>2860</v>
      </c>
      <c r="K253" s="20" t="s">
        <v>10014</v>
      </c>
      <c r="L253" s="3">
        <v>30</v>
      </c>
      <c r="M253" s="3" t="s">
        <v>10017</v>
      </c>
      <c r="N253" s="3" t="str">
        <f>HYPERLINK("http://ictvonline.org/taxonomyHistory.asp?taxnode_id=20160082","ICTVonline=20160082")</f>
        <v>ICTVonline=20160082</v>
      </c>
    </row>
    <row r="254" spans="1:14" x14ac:dyDescent="0.15">
      <c r="A254" s="3">
        <v>253</v>
      </c>
      <c r="B254" s="1" t="s">
        <v>1366</v>
      </c>
      <c r="C254" s="1" t="s">
        <v>1367</v>
      </c>
      <c r="D254" s="1" t="s">
        <v>1379</v>
      </c>
      <c r="E254" s="1" t="s">
        <v>3330</v>
      </c>
      <c r="F254" s="1" t="s">
        <v>3333</v>
      </c>
      <c r="G254" s="3">
        <v>0</v>
      </c>
      <c r="H254" s="20" t="s">
        <v>6502</v>
      </c>
      <c r="I254" s="20" t="s">
        <v>3334</v>
      </c>
      <c r="J254" s="20" t="s">
        <v>2860</v>
      </c>
      <c r="K254" s="20" t="s">
        <v>10013</v>
      </c>
      <c r="L254" s="3">
        <v>30</v>
      </c>
      <c r="M254" s="3" t="s">
        <v>10023</v>
      </c>
      <c r="N254" s="3" t="str">
        <f>HYPERLINK("http://ictvonline.org/taxonomyHistory.asp?taxnode_id=20160083","ICTVonline=20160083")</f>
        <v>ICTVonline=20160083</v>
      </c>
    </row>
    <row r="255" spans="1:14" x14ac:dyDescent="0.15">
      <c r="A255" s="3">
        <v>254</v>
      </c>
      <c r="B255" s="1" t="s">
        <v>1366</v>
      </c>
      <c r="C255" s="1" t="s">
        <v>1367</v>
      </c>
      <c r="D255" s="1" t="s">
        <v>1379</v>
      </c>
      <c r="E255" s="1" t="s">
        <v>3335</v>
      </c>
      <c r="F255" s="1" t="s">
        <v>3336</v>
      </c>
      <c r="G255" s="3">
        <v>0</v>
      </c>
      <c r="H255" s="20" t="s">
        <v>6503</v>
      </c>
      <c r="I255" s="20" t="s">
        <v>3337</v>
      </c>
      <c r="J255" s="20" t="s">
        <v>2860</v>
      </c>
      <c r="K255" s="20" t="s">
        <v>10013</v>
      </c>
      <c r="L255" s="3">
        <v>30</v>
      </c>
      <c r="M255" s="3" t="s">
        <v>10022</v>
      </c>
      <c r="N255" s="3" t="str">
        <f>HYPERLINK("http://ictvonline.org/taxonomyHistory.asp?taxnode_id=20160085","ICTVonline=20160085")</f>
        <v>ICTVonline=20160085</v>
      </c>
    </row>
    <row r="256" spans="1:14" x14ac:dyDescent="0.15">
      <c r="A256" s="3">
        <v>255</v>
      </c>
      <c r="B256" s="1" t="s">
        <v>1366</v>
      </c>
      <c r="C256" s="1" t="s">
        <v>1367</v>
      </c>
      <c r="D256" s="1" t="s">
        <v>1379</v>
      </c>
      <c r="E256" s="1" t="s">
        <v>3335</v>
      </c>
      <c r="F256" s="1" t="s">
        <v>3338</v>
      </c>
      <c r="G256" s="3">
        <v>0</v>
      </c>
      <c r="H256" s="20" t="s">
        <v>6504</v>
      </c>
      <c r="I256" s="20" t="s">
        <v>3339</v>
      </c>
      <c r="J256" s="20" t="s">
        <v>2860</v>
      </c>
      <c r="K256" s="20" t="s">
        <v>10013</v>
      </c>
      <c r="L256" s="3">
        <v>30</v>
      </c>
      <c r="M256" s="3" t="s">
        <v>10022</v>
      </c>
      <c r="N256" s="3" t="str">
        <f>HYPERLINK("http://ictvonline.org/taxonomyHistory.asp?taxnode_id=20160086","ICTVonline=20160086")</f>
        <v>ICTVonline=20160086</v>
      </c>
    </row>
    <row r="257" spans="1:14" x14ac:dyDescent="0.15">
      <c r="A257" s="3">
        <v>256</v>
      </c>
      <c r="B257" s="1" t="s">
        <v>1366</v>
      </c>
      <c r="C257" s="1" t="s">
        <v>1367</v>
      </c>
      <c r="D257" s="1" t="s">
        <v>1379</v>
      </c>
      <c r="E257" s="1" t="s">
        <v>3335</v>
      </c>
      <c r="F257" s="1" t="s">
        <v>3340</v>
      </c>
      <c r="G257" s="3">
        <v>0</v>
      </c>
      <c r="H257" s="20" t="s">
        <v>6505</v>
      </c>
      <c r="I257" s="20" t="s">
        <v>3341</v>
      </c>
      <c r="J257" s="20" t="s">
        <v>2860</v>
      </c>
      <c r="K257" s="20" t="s">
        <v>10013</v>
      </c>
      <c r="L257" s="3">
        <v>30</v>
      </c>
      <c r="M257" s="3" t="s">
        <v>10022</v>
      </c>
      <c r="N257" s="3" t="str">
        <f>HYPERLINK("http://ictvonline.org/taxonomyHistory.asp?taxnode_id=20160087","ICTVonline=20160087")</f>
        <v>ICTVonline=20160087</v>
      </c>
    </row>
    <row r="258" spans="1:14" x14ac:dyDescent="0.15">
      <c r="A258" s="3">
        <v>257</v>
      </c>
      <c r="B258" s="1" t="s">
        <v>1366</v>
      </c>
      <c r="C258" s="1" t="s">
        <v>1367</v>
      </c>
      <c r="D258" s="1" t="s">
        <v>1379</v>
      </c>
      <c r="E258" s="1" t="s">
        <v>3335</v>
      </c>
      <c r="F258" s="1" t="s">
        <v>3342</v>
      </c>
      <c r="G258" s="3">
        <v>0</v>
      </c>
      <c r="H258" s="20" t="s">
        <v>6506</v>
      </c>
      <c r="I258" s="20" t="s">
        <v>3343</v>
      </c>
      <c r="J258" s="20" t="s">
        <v>2860</v>
      </c>
      <c r="K258" s="20" t="s">
        <v>10013</v>
      </c>
      <c r="L258" s="3">
        <v>30</v>
      </c>
      <c r="M258" s="3" t="s">
        <v>10022</v>
      </c>
      <c r="N258" s="3" t="str">
        <f>HYPERLINK("http://ictvonline.org/taxonomyHistory.asp?taxnode_id=20160088","ICTVonline=20160088")</f>
        <v>ICTVonline=20160088</v>
      </c>
    </row>
    <row r="259" spans="1:14" x14ac:dyDescent="0.15">
      <c r="A259" s="3">
        <v>258</v>
      </c>
      <c r="B259" s="1" t="s">
        <v>1366</v>
      </c>
      <c r="C259" s="1" t="s">
        <v>1367</v>
      </c>
      <c r="D259" s="1" t="s">
        <v>1379</v>
      </c>
      <c r="E259" s="1" t="s">
        <v>3335</v>
      </c>
      <c r="F259" s="1" t="s">
        <v>3344</v>
      </c>
      <c r="G259" s="3">
        <v>1</v>
      </c>
      <c r="H259" s="20" t="s">
        <v>6507</v>
      </c>
      <c r="I259" s="20" t="s">
        <v>3345</v>
      </c>
      <c r="J259" s="20" t="s">
        <v>2860</v>
      </c>
      <c r="K259" s="20" t="s">
        <v>10013</v>
      </c>
      <c r="L259" s="3">
        <v>30</v>
      </c>
      <c r="M259" s="3" t="s">
        <v>10022</v>
      </c>
      <c r="N259" s="3" t="str">
        <f>HYPERLINK("http://ictvonline.org/taxonomyHistory.asp?taxnode_id=20160089","ICTVonline=20160089")</f>
        <v>ICTVonline=20160089</v>
      </c>
    </row>
    <row r="260" spans="1:14" x14ac:dyDescent="0.15">
      <c r="A260" s="3">
        <v>259</v>
      </c>
      <c r="B260" s="1" t="s">
        <v>1366</v>
      </c>
      <c r="C260" s="1" t="s">
        <v>1367</v>
      </c>
      <c r="D260" s="1" t="s">
        <v>1379</v>
      </c>
      <c r="E260" s="1" t="s">
        <v>3346</v>
      </c>
      <c r="F260" s="1" t="s">
        <v>3347</v>
      </c>
      <c r="G260" s="3">
        <v>0</v>
      </c>
      <c r="H260" s="20" t="s">
        <v>6508</v>
      </c>
      <c r="I260" s="20" t="s">
        <v>3348</v>
      </c>
      <c r="J260" s="20" t="s">
        <v>2860</v>
      </c>
      <c r="K260" s="20" t="s">
        <v>10013</v>
      </c>
      <c r="L260" s="3">
        <v>30</v>
      </c>
      <c r="M260" s="3" t="s">
        <v>10022</v>
      </c>
      <c r="N260" s="3" t="str">
        <f>HYPERLINK("http://ictvonline.org/taxonomyHistory.asp?taxnode_id=20160091","ICTVonline=20160091")</f>
        <v>ICTVonline=20160091</v>
      </c>
    </row>
    <row r="261" spans="1:14" x14ac:dyDescent="0.15">
      <c r="A261" s="3">
        <v>260</v>
      </c>
      <c r="B261" s="1" t="s">
        <v>1366</v>
      </c>
      <c r="C261" s="1" t="s">
        <v>1367</v>
      </c>
      <c r="D261" s="1" t="s">
        <v>1379</v>
      </c>
      <c r="E261" s="1" t="s">
        <v>3346</v>
      </c>
      <c r="F261" s="1" t="s">
        <v>3349</v>
      </c>
      <c r="G261" s="3">
        <v>0</v>
      </c>
      <c r="H261" s="20" t="s">
        <v>6509</v>
      </c>
      <c r="I261" s="20" t="s">
        <v>3350</v>
      </c>
      <c r="J261" s="20" t="s">
        <v>2860</v>
      </c>
      <c r="K261" s="20" t="s">
        <v>10013</v>
      </c>
      <c r="L261" s="3">
        <v>30</v>
      </c>
      <c r="M261" s="3" t="s">
        <v>10022</v>
      </c>
      <c r="N261" s="3" t="str">
        <f>HYPERLINK("http://ictvonline.org/taxonomyHistory.asp?taxnode_id=20160092","ICTVonline=20160092")</f>
        <v>ICTVonline=20160092</v>
      </c>
    </row>
    <row r="262" spans="1:14" x14ac:dyDescent="0.15">
      <c r="A262" s="3">
        <v>261</v>
      </c>
      <c r="B262" s="1" t="s">
        <v>1366</v>
      </c>
      <c r="C262" s="1" t="s">
        <v>1367</v>
      </c>
      <c r="D262" s="1" t="s">
        <v>1379</v>
      </c>
      <c r="E262" s="1" t="s">
        <v>3346</v>
      </c>
      <c r="F262" s="1" t="s">
        <v>3351</v>
      </c>
      <c r="G262" s="3">
        <v>0</v>
      </c>
      <c r="H262" s="20" t="s">
        <v>6510</v>
      </c>
      <c r="I262" s="20" t="s">
        <v>3352</v>
      </c>
      <c r="J262" s="20" t="s">
        <v>2860</v>
      </c>
      <c r="K262" s="20" t="s">
        <v>10013</v>
      </c>
      <c r="L262" s="3">
        <v>30</v>
      </c>
      <c r="M262" s="3" t="s">
        <v>10022</v>
      </c>
      <c r="N262" s="3" t="str">
        <f>HYPERLINK("http://ictvonline.org/taxonomyHistory.asp?taxnode_id=20160093","ICTVonline=20160093")</f>
        <v>ICTVonline=20160093</v>
      </c>
    </row>
    <row r="263" spans="1:14" x14ac:dyDescent="0.15">
      <c r="A263" s="3">
        <v>262</v>
      </c>
      <c r="B263" s="1" t="s">
        <v>1366</v>
      </c>
      <c r="C263" s="1" t="s">
        <v>1367</v>
      </c>
      <c r="D263" s="1" t="s">
        <v>1379</v>
      </c>
      <c r="E263" s="1" t="s">
        <v>3346</v>
      </c>
      <c r="F263" s="1" t="s">
        <v>3353</v>
      </c>
      <c r="G263" s="3">
        <v>0</v>
      </c>
      <c r="H263" s="20" t="s">
        <v>6511</v>
      </c>
      <c r="I263" s="20" t="s">
        <v>3354</v>
      </c>
      <c r="J263" s="20" t="s">
        <v>2860</v>
      </c>
      <c r="K263" s="20" t="s">
        <v>10013</v>
      </c>
      <c r="L263" s="3">
        <v>30</v>
      </c>
      <c r="M263" s="3" t="s">
        <v>10022</v>
      </c>
      <c r="N263" s="3" t="str">
        <f>HYPERLINK("http://ictvonline.org/taxonomyHistory.asp?taxnode_id=20160094","ICTVonline=20160094")</f>
        <v>ICTVonline=20160094</v>
      </c>
    </row>
    <row r="264" spans="1:14" x14ac:dyDescent="0.15">
      <c r="A264" s="3">
        <v>263</v>
      </c>
      <c r="B264" s="1" t="s">
        <v>1366</v>
      </c>
      <c r="C264" s="1" t="s">
        <v>1367</v>
      </c>
      <c r="D264" s="1" t="s">
        <v>1379</v>
      </c>
      <c r="E264" s="1" t="s">
        <v>3346</v>
      </c>
      <c r="F264" s="1" t="s">
        <v>7816</v>
      </c>
      <c r="G264" s="3">
        <v>0</v>
      </c>
      <c r="H264" s="20" t="s">
        <v>7817</v>
      </c>
      <c r="I264" s="20" t="s">
        <v>7818</v>
      </c>
      <c r="J264" s="20" t="s">
        <v>2860</v>
      </c>
      <c r="K264" s="20" t="s">
        <v>10013</v>
      </c>
      <c r="L264" s="3">
        <v>31</v>
      </c>
      <c r="M264" s="3" t="s">
        <v>7480</v>
      </c>
      <c r="N264" s="3" t="str">
        <f>HYPERLINK("http://ictvonline.org/taxonomyHistory.asp?taxnode_id=20164845","ICTVonline=20164845")</f>
        <v>ICTVonline=20164845</v>
      </c>
    </row>
    <row r="265" spans="1:14" x14ac:dyDescent="0.15">
      <c r="A265" s="3">
        <v>264</v>
      </c>
      <c r="B265" s="1" t="s">
        <v>1366</v>
      </c>
      <c r="C265" s="1" t="s">
        <v>1367</v>
      </c>
      <c r="D265" s="1" t="s">
        <v>1379</v>
      </c>
      <c r="E265" s="1" t="s">
        <v>3346</v>
      </c>
      <c r="F265" s="1" t="s">
        <v>3355</v>
      </c>
      <c r="G265" s="3">
        <v>0</v>
      </c>
      <c r="H265" s="20" t="s">
        <v>6512</v>
      </c>
      <c r="I265" s="20" t="s">
        <v>3356</v>
      </c>
      <c r="J265" s="20" t="s">
        <v>2860</v>
      </c>
      <c r="K265" s="20" t="s">
        <v>10013</v>
      </c>
      <c r="L265" s="3">
        <v>30</v>
      </c>
      <c r="M265" s="3" t="s">
        <v>10022</v>
      </c>
      <c r="N265" s="3" t="str">
        <f>HYPERLINK("http://ictvonline.org/taxonomyHistory.asp?taxnode_id=20160095","ICTVonline=20160095")</f>
        <v>ICTVonline=20160095</v>
      </c>
    </row>
    <row r="266" spans="1:14" x14ac:dyDescent="0.15">
      <c r="A266" s="3">
        <v>265</v>
      </c>
      <c r="B266" s="1" t="s">
        <v>1366</v>
      </c>
      <c r="C266" s="1" t="s">
        <v>1367</v>
      </c>
      <c r="D266" s="1" t="s">
        <v>1379</v>
      </c>
      <c r="E266" s="1" t="s">
        <v>3346</v>
      </c>
      <c r="F266" s="1" t="s">
        <v>3357</v>
      </c>
      <c r="G266" s="3">
        <v>0</v>
      </c>
      <c r="H266" s="20" t="s">
        <v>6513</v>
      </c>
      <c r="I266" s="20" t="s">
        <v>3358</v>
      </c>
      <c r="J266" s="20" t="s">
        <v>2860</v>
      </c>
      <c r="K266" s="20" t="s">
        <v>10013</v>
      </c>
      <c r="L266" s="3">
        <v>30</v>
      </c>
      <c r="M266" s="3" t="s">
        <v>10022</v>
      </c>
      <c r="N266" s="3" t="str">
        <f>HYPERLINK("http://ictvonline.org/taxonomyHistory.asp?taxnode_id=20160096","ICTVonline=20160096")</f>
        <v>ICTVonline=20160096</v>
      </c>
    </row>
    <row r="267" spans="1:14" x14ac:dyDescent="0.15">
      <c r="A267" s="3">
        <v>266</v>
      </c>
      <c r="B267" s="1" t="s">
        <v>1366</v>
      </c>
      <c r="C267" s="1" t="s">
        <v>1367</v>
      </c>
      <c r="D267" s="1" t="s">
        <v>1379</v>
      </c>
      <c r="E267" s="1" t="s">
        <v>3346</v>
      </c>
      <c r="F267" s="1" t="s">
        <v>3359</v>
      </c>
      <c r="G267" s="3">
        <v>0</v>
      </c>
      <c r="J267" s="20" t="s">
        <v>2860</v>
      </c>
      <c r="K267" s="20" t="s">
        <v>10014</v>
      </c>
      <c r="L267" s="3">
        <v>30</v>
      </c>
      <c r="M267" s="3" t="s">
        <v>10017</v>
      </c>
      <c r="N267" s="3" t="str">
        <f>HYPERLINK("http://ictvonline.org/taxonomyHistory.asp?taxnode_id=20160097","ICTVonline=20160097")</f>
        <v>ICTVonline=20160097</v>
      </c>
    </row>
    <row r="268" spans="1:14" x14ac:dyDescent="0.15">
      <c r="A268" s="3">
        <v>267</v>
      </c>
      <c r="B268" s="1" t="s">
        <v>1366</v>
      </c>
      <c r="C268" s="1" t="s">
        <v>1367</v>
      </c>
      <c r="D268" s="1" t="s">
        <v>1379</v>
      </c>
      <c r="E268" s="1" t="s">
        <v>3346</v>
      </c>
      <c r="F268" s="1" t="s">
        <v>3360</v>
      </c>
      <c r="G268" s="3">
        <v>1</v>
      </c>
      <c r="J268" s="20" t="s">
        <v>2860</v>
      </c>
      <c r="K268" s="20" t="s">
        <v>10014</v>
      </c>
      <c r="L268" s="3">
        <v>30</v>
      </c>
      <c r="M268" s="3" t="s">
        <v>10017</v>
      </c>
      <c r="N268" s="3" t="str">
        <f>HYPERLINK("http://ictvonline.org/taxonomyHistory.asp?taxnode_id=20160098","ICTVonline=20160098")</f>
        <v>ICTVonline=20160098</v>
      </c>
    </row>
    <row r="269" spans="1:14" x14ac:dyDescent="0.15">
      <c r="A269" s="3">
        <v>268</v>
      </c>
      <c r="B269" s="1" t="s">
        <v>1366</v>
      </c>
      <c r="C269" s="1" t="s">
        <v>1367</v>
      </c>
      <c r="D269" s="1" t="s">
        <v>1379</v>
      </c>
      <c r="E269" s="1" t="s">
        <v>3346</v>
      </c>
      <c r="F269" s="1" t="s">
        <v>3361</v>
      </c>
      <c r="G269" s="3">
        <v>0</v>
      </c>
      <c r="H269" s="20" t="s">
        <v>6514</v>
      </c>
      <c r="I269" s="20" t="s">
        <v>3362</v>
      </c>
      <c r="J269" s="20" t="s">
        <v>2860</v>
      </c>
      <c r="K269" s="20" t="s">
        <v>10013</v>
      </c>
      <c r="L269" s="3">
        <v>30</v>
      </c>
      <c r="M269" s="3" t="s">
        <v>10022</v>
      </c>
      <c r="N269" s="3" t="str">
        <f>HYPERLINK("http://ictvonline.org/taxonomyHistory.asp?taxnode_id=20160099","ICTVonline=20160099")</f>
        <v>ICTVonline=20160099</v>
      </c>
    </row>
    <row r="270" spans="1:14" x14ac:dyDescent="0.15">
      <c r="A270" s="3">
        <v>269</v>
      </c>
      <c r="B270" s="1" t="s">
        <v>1366</v>
      </c>
      <c r="C270" s="1" t="s">
        <v>1367</v>
      </c>
      <c r="D270" s="1" t="s">
        <v>1379</v>
      </c>
      <c r="E270" s="1" t="s">
        <v>3346</v>
      </c>
      <c r="F270" s="1" t="s">
        <v>3363</v>
      </c>
      <c r="G270" s="3">
        <v>0</v>
      </c>
      <c r="H270" s="20" t="s">
        <v>6515</v>
      </c>
      <c r="I270" s="20" t="s">
        <v>3364</v>
      </c>
      <c r="J270" s="20" t="s">
        <v>2860</v>
      </c>
      <c r="K270" s="20" t="s">
        <v>10013</v>
      </c>
      <c r="L270" s="3">
        <v>30</v>
      </c>
      <c r="M270" s="3" t="s">
        <v>10022</v>
      </c>
      <c r="N270" s="3" t="str">
        <f>HYPERLINK("http://ictvonline.org/taxonomyHistory.asp?taxnode_id=20160100","ICTVonline=20160100")</f>
        <v>ICTVonline=20160100</v>
      </c>
    </row>
    <row r="271" spans="1:14" x14ac:dyDescent="0.15">
      <c r="A271" s="3">
        <v>270</v>
      </c>
      <c r="B271" s="1" t="s">
        <v>1366</v>
      </c>
      <c r="C271" s="1" t="s">
        <v>1367</v>
      </c>
      <c r="D271" s="1" t="s">
        <v>1379</v>
      </c>
      <c r="E271" s="1" t="s">
        <v>3346</v>
      </c>
      <c r="F271" s="1" t="s">
        <v>3365</v>
      </c>
      <c r="G271" s="3">
        <v>0</v>
      </c>
      <c r="H271" s="20" t="s">
        <v>6516</v>
      </c>
      <c r="I271" s="20" t="s">
        <v>3366</v>
      </c>
      <c r="J271" s="20" t="s">
        <v>2860</v>
      </c>
      <c r="K271" s="20" t="s">
        <v>10013</v>
      </c>
      <c r="L271" s="3">
        <v>30</v>
      </c>
      <c r="M271" s="3" t="s">
        <v>10022</v>
      </c>
      <c r="N271" s="3" t="str">
        <f>HYPERLINK("http://ictvonline.org/taxonomyHistory.asp?taxnode_id=20160101","ICTVonline=20160101")</f>
        <v>ICTVonline=20160101</v>
      </c>
    </row>
    <row r="272" spans="1:14" x14ac:dyDescent="0.15">
      <c r="A272" s="3">
        <v>271</v>
      </c>
      <c r="B272" s="1" t="s">
        <v>1366</v>
      </c>
      <c r="C272" s="1" t="s">
        <v>1367</v>
      </c>
      <c r="D272" s="1" t="s">
        <v>1379</v>
      </c>
      <c r="E272" s="1" t="s">
        <v>3346</v>
      </c>
      <c r="F272" s="1" t="s">
        <v>3367</v>
      </c>
      <c r="G272" s="3">
        <v>0</v>
      </c>
      <c r="H272" s="20" t="s">
        <v>6517</v>
      </c>
      <c r="I272" s="20" t="s">
        <v>3368</v>
      </c>
      <c r="J272" s="20" t="s">
        <v>2860</v>
      </c>
      <c r="K272" s="20" t="s">
        <v>10013</v>
      </c>
      <c r="L272" s="3">
        <v>30</v>
      </c>
      <c r="M272" s="3" t="s">
        <v>10022</v>
      </c>
      <c r="N272" s="3" t="str">
        <f>HYPERLINK("http://ictvonline.org/taxonomyHistory.asp?taxnode_id=20160102","ICTVonline=20160102")</f>
        <v>ICTVonline=20160102</v>
      </c>
    </row>
    <row r="273" spans="1:14" x14ac:dyDescent="0.15">
      <c r="A273" s="3">
        <v>272</v>
      </c>
      <c r="B273" s="1" t="s">
        <v>1366</v>
      </c>
      <c r="C273" s="1" t="s">
        <v>1367</v>
      </c>
      <c r="D273" s="1" t="s">
        <v>1379</v>
      </c>
      <c r="E273" s="1" t="s">
        <v>926</v>
      </c>
      <c r="F273" s="1" t="s">
        <v>3369</v>
      </c>
      <c r="G273" s="3">
        <v>0</v>
      </c>
      <c r="J273" s="20" t="s">
        <v>2860</v>
      </c>
      <c r="K273" s="20" t="s">
        <v>10021</v>
      </c>
      <c r="L273" s="3">
        <v>30</v>
      </c>
      <c r="M273" s="3" t="s">
        <v>10017</v>
      </c>
      <c r="N273" s="3" t="str">
        <f>HYPERLINK("http://ictvonline.org/taxonomyHistory.asp?taxnode_id=20160104","ICTVonline=20160104")</f>
        <v>ICTVonline=20160104</v>
      </c>
    </row>
    <row r="274" spans="1:14" x14ac:dyDescent="0.15">
      <c r="A274" s="3">
        <v>273</v>
      </c>
      <c r="B274" s="1" t="s">
        <v>1366</v>
      </c>
      <c r="C274" s="1" t="s">
        <v>1367</v>
      </c>
      <c r="D274" s="1" t="s">
        <v>1379</v>
      </c>
      <c r="E274" s="1" t="s">
        <v>926</v>
      </c>
      <c r="F274" s="1" t="s">
        <v>3370</v>
      </c>
      <c r="G274" s="3">
        <v>0</v>
      </c>
      <c r="J274" s="20" t="s">
        <v>2860</v>
      </c>
      <c r="K274" s="20" t="s">
        <v>10021</v>
      </c>
      <c r="L274" s="3">
        <v>30</v>
      </c>
      <c r="M274" s="3" t="s">
        <v>10017</v>
      </c>
      <c r="N274" s="3" t="str">
        <f>HYPERLINK("http://ictvonline.org/taxonomyHistory.asp?taxnode_id=20160105","ICTVonline=20160105")</f>
        <v>ICTVonline=20160105</v>
      </c>
    </row>
    <row r="275" spans="1:14" x14ac:dyDescent="0.15">
      <c r="A275" s="3">
        <v>274</v>
      </c>
      <c r="B275" s="1" t="s">
        <v>1366</v>
      </c>
      <c r="C275" s="1" t="s">
        <v>1367</v>
      </c>
      <c r="D275" s="1" t="s">
        <v>1379</v>
      </c>
      <c r="E275" s="1" t="s">
        <v>926</v>
      </c>
      <c r="F275" s="1" t="s">
        <v>3371</v>
      </c>
      <c r="G275" s="3">
        <v>0</v>
      </c>
      <c r="J275" s="20" t="s">
        <v>2860</v>
      </c>
      <c r="K275" s="20" t="s">
        <v>10021</v>
      </c>
      <c r="L275" s="3">
        <v>30</v>
      </c>
      <c r="M275" s="3" t="s">
        <v>10017</v>
      </c>
      <c r="N275" s="3" t="str">
        <f>HYPERLINK("http://ictvonline.org/taxonomyHistory.asp?taxnode_id=20160106","ICTVonline=20160106")</f>
        <v>ICTVonline=20160106</v>
      </c>
    </row>
    <row r="276" spans="1:14" x14ac:dyDescent="0.15">
      <c r="A276" s="3">
        <v>275</v>
      </c>
      <c r="B276" s="1" t="s">
        <v>1366</v>
      </c>
      <c r="C276" s="1" t="s">
        <v>1367</v>
      </c>
      <c r="D276" s="1" t="s">
        <v>1379</v>
      </c>
      <c r="E276" s="1" t="s">
        <v>926</v>
      </c>
      <c r="F276" s="1" t="s">
        <v>3372</v>
      </c>
      <c r="G276" s="3">
        <v>0</v>
      </c>
      <c r="J276" s="20" t="s">
        <v>2860</v>
      </c>
      <c r="K276" s="20" t="s">
        <v>10014</v>
      </c>
      <c r="L276" s="3">
        <v>30</v>
      </c>
      <c r="M276" s="3" t="s">
        <v>10022</v>
      </c>
      <c r="N276" s="3" t="str">
        <f>HYPERLINK("http://ictvonline.org/taxonomyHistory.asp?taxnode_id=20160108","ICTVonline=20160108")</f>
        <v>ICTVonline=20160108</v>
      </c>
    </row>
    <row r="277" spans="1:14" x14ac:dyDescent="0.15">
      <c r="A277" s="3">
        <v>276</v>
      </c>
      <c r="B277" s="1" t="s">
        <v>1366</v>
      </c>
      <c r="C277" s="1" t="s">
        <v>1367</v>
      </c>
      <c r="D277" s="1" t="s">
        <v>1379</v>
      </c>
      <c r="E277" s="1" t="s">
        <v>926</v>
      </c>
      <c r="F277" s="1" t="s">
        <v>3373</v>
      </c>
      <c r="G277" s="3">
        <v>0</v>
      </c>
      <c r="J277" s="20" t="s">
        <v>2860</v>
      </c>
      <c r="K277" s="20" t="s">
        <v>10014</v>
      </c>
      <c r="L277" s="3">
        <v>30</v>
      </c>
      <c r="M277" s="3" t="s">
        <v>10022</v>
      </c>
      <c r="N277" s="3" t="str">
        <f>HYPERLINK("http://ictvonline.org/taxonomyHistory.asp?taxnode_id=20160109","ICTVonline=20160109")</f>
        <v>ICTVonline=20160109</v>
      </c>
    </row>
    <row r="278" spans="1:14" x14ac:dyDescent="0.15">
      <c r="A278" s="3">
        <v>277</v>
      </c>
      <c r="B278" s="1" t="s">
        <v>1366</v>
      </c>
      <c r="C278" s="1" t="s">
        <v>1367</v>
      </c>
      <c r="D278" s="1" t="s">
        <v>1379</v>
      </c>
      <c r="E278" s="1" t="s">
        <v>926</v>
      </c>
      <c r="F278" s="1" t="s">
        <v>3374</v>
      </c>
      <c r="G278" s="3">
        <v>0</v>
      </c>
      <c r="J278" s="20" t="s">
        <v>2860</v>
      </c>
      <c r="K278" s="20" t="s">
        <v>10014</v>
      </c>
      <c r="L278" s="3">
        <v>30</v>
      </c>
      <c r="M278" s="3" t="s">
        <v>10022</v>
      </c>
      <c r="N278" s="3" t="str">
        <f>HYPERLINK("http://ictvonline.org/taxonomyHistory.asp?taxnode_id=20160110","ICTVonline=20160110")</f>
        <v>ICTVonline=20160110</v>
      </c>
    </row>
    <row r="279" spans="1:14" x14ac:dyDescent="0.15">
      <c r="A279" s="3">
        <v>278</v>
      </c>
      <c r="B279" s="1" t="s">
        <v>1366</v>
      </c>
      <c r="C279" s="1" t="s">
        <v>1367</v>
      </c>
      <c r="D279" s="1" t="s">
        <v>1379</v>
      </c>
      <c r="E279" s="1" t="s">
        <v>926</v>
      </c>
      <c r="F279" s="1" t="s">
        <v>3375</v>
      </c>
      <c r="G279" s="3">
        <v>0</v>
      </c>
      <c r="J279" s="20" t="s">
        <v>2860</v>
      </c>
      <c r="K279" s="20" t="s">
        <v>10014</v>
      </c>
      <c r="L279" s="3">
        <v>30</v>
      </c>
      <c r="M279" s="3" t="s">
        <v>10022</v>
      </c>
      <c r="N279" s="3" t="str">
        <f>HYPERLINK("http://ictvonline.org/taxonomyHistory.asp?taxnode_id=20160111","ICTVonline=20160111")</f>
        <v>ICTVonline=20160111</v>
      </c>
    </row>
    <row r="280" spans="1:14" x14ac:dyDescent="0.15">
      <c r="A280" s="3">
        <v>279</v>
      </c>
      <c r="B280" s="1" t="s">
        <v>1366</v>
      </c>
      <c r="C280" s="1" t="s">
        <v>1367</v>
      </c>
      <c r="D280" s="1" t="s">
        <v>3376</v>
      </c>
      <c r="E280" s="1" t="s">
        <v>3377</v>
      </c>
      <c r="F280" s="1" t="s">
        <v>3378</v>
      </c>
      <c r="G280" s="3">
        <v>1</v>
      </c>
      <c r="H280" s="20" t="s">
        <v>6518</v>
      </c>
      <c r="I280" s="20" t="s">
        <v>3379</v>
      </c>
      <c r="J280" s="20" t="s">
        <v>2860</v>
      </c>
      <c r="K280" s="20" t="s">
        <v>10013</v>
      </c>
      <c r="L280" s="3">
        <v>30</v>
      </c>
      <c r="M280" s="3" t="s">
        <v>10024</v>
      </c>
      <c r="N280" s="3" t="str">
        <f>HYPERLINK("http://ictvonline.org/taxonomyHistory.asp?taxnode_id=20160114","ICTVonline=20160114")</f>
        <v>ICTVonline=20160114</v>
      </c>
    </row>
    <row r="281" spans="1:14" x14ac:dyDescent="0.15">
      <c r="A281" s="3">
        <v>280</v>
      </c>
      <c r="B281" s="1" t="s">
        <v>1366</v>
      </c>
      <c r="C281" s="1" t="s">
        <v>1367</v>
      </c>
      <c r="D281" s="1" t="s">
        <v>3376</v>
      </c>
      <c r="E281" s="1" t="s">
        <v>3377</v>
      </c>
      <c r="F281" s="1" t="s">
        <v>3380</v>
      </c>
      <c r="G281" s="3">
        <v>0</v>
      </c>
      <c r="H281" s="20" t="s">
        <v>6519</v>
      </c>
      <c r="I281" s="20" t="s">
        <v>3381</v>
      </c>
      <c r="J281" s="20" t="s">
        <v>2860</v>
      </c>
      <c r="K281" s="20" t="s">
        <v>10013</v>
      </c>
      <c r="L281" s="3">
        <v>30</v>
      </c>
      <c r="M281" s="3" t="s">
        <v>10024</v>
      </c>
      <c r="N281" s="3" t="str">
        <f>HYPERLINK("http://ictvonline.org/taxonomyHistory.asp?taxnode_id=20160115","ICTVonline=20160115")</f>
        <v>ICTVonline=20160115</v>
      </c>
    </row>
    <row r="282" spans="1:14" x14ac:dyDescent="0.15">
      <c r="A282" s="3">
        <v>281</v>
      </c>
      <c r="B282" s="1" t="s">
        <v>1366</v>
      </c>
      <c r="C282" s="1" t="s">
        <v>1367</v>
      </c>
      <c r="D282" s="1" t="s">
        <v>3376</v>
      </c>
      <c r="E282" s="1" t="s">
        <v>3377</v>
      </c>
      <c r="F282" s="1" t="s">
        <v>3382</v>
      </c>
      <c r="G282" s="3">
        <v>0</v>
      </c>
      <c r="H282" s="20" t="s">
        <v>6520</v>
      </c>
      <c r="I282" s="20" t="s">
        <v>3383</v>
      </c>
      <c r="J282" s="20" t="s">
        <v>2860</v>
      </c>
      <c r="K282" s="20" t="s">
        <v>10013</v>
      </c>
      <c r="L282" s="3">
        <v>30</v>
      </c>
      <c r="M282" s="3" t="s">
        <v>10024</v>
      </c>
      <c r="N282" s="3" t="str">
        <f>HYPERLINK("http://ictvonline.org/taxonomyHistory.asp?taxnode_id=20160116","ICTVonline=20160116")</f>
        <v>ICTVonline=20160116</v>
      </c>
    </row>
    <row r="283" spans="1:14" x14ac:dyDescent="0.15">
      <c r="A283" s="3">
        <v>282</v>
      </c>
      <c r="B283" s="1" t="s">
        <v>1366</v>
      </c>
      <c r="C283" s="1" t="s">
        <v>1367</v>
      </c>
      <c r="D283" s="1" t="s">
        <v>3376</v>
      </c>
      <c r="E283" s="1" t="s">
        <v>3377</v>
      </c>
      <c r="F283" s="1" t="s">
        <v>7819</v>
      </c>
      <c r="G283" s="3">
        <v>0</v>
      </c>
      <c r="H283" s="20" t="s">
        <v>7820</v>
      </c>
      <c r="I283" s="20" t="s">
        <v>7821</v>
      </c>
      <c r="J283" s="20" t="s">
        <v>2860</v>
      </c>
      <c r="K283" s="20" t="s">
        <v>10013</v>
      </c>
      <c r="L283" s="3">
        <v>31</v>
      </c>
      <c r="M283" s="3" t="s">
        <v>7480</v>
      </c>
      <c r="N283" s="3" t="str">
        <f>HYPERLINK("http://ictvonline.org/taxonomyHistory.asp?taxnode_id=20164886","ICTVonline=20164886")</f>
        <v>ICTVonline=20164886</v>
      </c>
    </row>
    <row r="284" spans="1:14" x14ac:dyDescent="0.15">
      <c r="A284" s="3">
        <v>283</v>
      </c>
      <c r="B284" s="1" t="s">
        <v>1366</v>
      </c>
      <c r="C284" s="1" t="s">
        <v>1367</v>
      </c>
      <c r="D284" s="1" t="s">
        <v>3376</v>
      </c>
      <c r="E284" s="1" t="s">
        <v>3377</v>
      </c>
      <c r="F284" s="1" t="s">
        <v>7822</v>
      </c>
      <c r="G284" s="3">
        <v>0</v>
      </c>
      <c r="H284" s="20" t="s">
        <v>7823</v>
      </c>
      <c r="I284" s="20" t="s">
        <v>7824</v>
      </c>
      <c r="J284" s="20" t="s">
        <v>2860</v>
      </c>
      <c r="K284" s="20" t="s">
        <v>10013</v>
      </c>
      <c r="L284" s="3">
        <v>31</v>
      </c>
      <c r="M284" s="3" t="s">
        <v>7480</v>
      </c>
      <c r="N284" s="3" t="str">
        <f>HYPERLINK("http://ictvonline.org/taxonomyHistory.asp?taxnode_id=20164887","ICTVonline=20164887")</f>
        <v>ICTVonline=20164887</v>
      </c>
    </row>
    <row r="285" spans="1:14" x14ac:dyDescent="0.15">
      <c r="A285" s="3">
        <v>284</v>
      </c>
      <c r="B285" s="1" t="s">
        <v>1366</v>
      </c>
      <c r="C285" s="1" t="s">
        <v>1367</v>
      </c>
      <c r="D285" s="1" t="s">
        <v>3376</v>
      </c>
      <c r="E285" s="1" t="s">
        <v>3384</v>
      </c>
      <c r="F285" s="1" t="s">
        <v>3385</v>
      </c>
      <c r="G285" s="3">
        <v>0</v>
      </c>
      <c r="H285" s="20" t="s">
        <v>6521</v>
      </c>
      <c r="I285" s="20" t="s">
        <v>3386</v>
      </c>
      <c r="J285" s="20" t="s">
        <v>2860</v>
      </c>
      <c r="K285" s="20" t="s">
        <v>10013</v>
      </c>
      <c r="L285" s="3">
        <v>30</v>
      </c>
      <c r="M285" s="3" t="s">
        <v>10024</v>
      </c>
      <c r="N285" s="3" t="str">
        <f>HYPERLINK("http://ictvonline.org/taxonomyHistory.asp?taxnode_id=20160118","ICTVonline=20160118")</f>
        <v>ICTVonline=20160118</v>
      </c>
    </row>
    <row r="286" spans="1:14" x14ac:dyDescent="0.15">
      <c r="A286" s="3">
        <v>285</v>
      </c>
      <c r="B286" s="1" t="s">
        <v>1366</v>
      </c>
      <c r="C286" s="1" t="s">
        <v>1367</v>
      </c>
      <c r="D286" s="1" t="s">
        <v>3376</v>
      </c>
      <c r="E286" s="1" t="s">
        <v>3384</v>
      </c>
      <c r="F286" s="1" t="s">
        <v>3387</v>
      </c>
      <c r="G286" s="3">
        <v>0</v>
      </c>
      <c r="H286" s="20" t="s">
        <v>6522</v>
      </c>
      <c r="I286" s="20" t="s">
        <v>3388</v>
      </c>
      <c r="J286" s="20" t="s">
        <v>2860</v>
      </c>
      <c r="K286" s="20" t="s">
        <v>10013</v>
      </c>
      <c r="L286" s="3">
        <v>30</v>
      </c>
      <c r="M286" s="3" t="s">
        <v>10024</v>
      </c>
      <c r="N286" s="3" t="str">
        <f>HYPERLINK("http://ictvonline.org/taxonomyHistory.asp?taxnode_id=20160119","ICTVonline=20160119")</f>
        <v>ICTVonline=20160119</v>
      </c>
    </row>
    <row r="287" spans="1:14" x14ac:dyDescent="0.15">
      <c r="A287" s="3">
        <v>286</v>
      </c>
      <c r="B287" s="1" t="s">
        <v>1366</v>
      </c>
      <c r="C287" s="1" t="s">
        <v>1367</v>
      </c>
      <c r="D287" s="1" t="s">
        <v>3376</v>
      </c>
      <c r="E287" s="1" t="s">
        <v>3384</v>
      </c>
      <c r="F287" s="1" t="s">
        <v>3389</v>
      </c>
      <c r="G287" s="3">
        <v>1</v>
      </c>
      <c r="H287" s="20" t="s">
        <v>6523</v>
      </c>
      <c r="I287" s="20" t="s">
        <v>3390</v>
      </c>
      <c r="J287" s="20" t="s">
        <v>2860</v>
      </c>
      <c r="K287" s="20" t="s">
        <v>10013</v>
      </c>
      <c r="L287" s="3">
        <v>30</v>
      </c>
      <c r="M287" s="3" t="s">
        <v>10024</v>
      </c>
      <c r="N287" s="3" t="str">
        <f>HYPERLINK("http://ictvonline.org/taxonomyHistory.asp?taxnode_id=20160120","ICTVonline=20160120")</f>
        <v>ICTVonline=20160120</v>
      </c>
    </row>
    <row r="288" spans="1:14" x14ac:dyDescent="0.15">
      <c r="A288" s="3">
        <v>287</v>
      </c>
      <c r="B288" s="1" t="s">
        <v>1366</v>
      </c>
      <c r="C288" s="1" t="s">
        <v>1367</v>
      </c>
      <c r="D288" s="1" t="s">
        <v>3376</v>
      </c>
      <c r="E288" s="1" t="s">
        <v>3384</v>
      </c>
      <c r="F288" s="1" t="s">
        <v>3391</v>
      </c>
      <c r="G288" s="3">
        <v>0</v>
      </c>
      <c r="H288" s="20" t="s">
        <v>6524</v>
      </c>
      <c r="I288" s="20" t="s">
        <v>3392</v>
      </c>
      <c r="J288" s="20" t="s">
        <v>2860</v>
      </c>
      <c r="K288" s="20" t="s">
        <v>10013</v>
      </c>
      <c r="L288" s="3">
        <v>30</v>
      </c>
      <c r="M288" s="3" t="s">
        <v>10024</v>
      </c>
      <c r="N288" s="3" t="str">
        <f>HYPERLINK("http://ictvonline.org/taxonomyHistory.asp?taxnode_id=20160121","ICTVonline=20160121")</f>
        <v>ICTVonline=20160121</v>
      </c>
    </row>
    <row r="289" spans="1:14" x14ac:dyDescent="0.15">
      <c r="A289" s="3">
        <v>288</v>
      </c>
      <c r="B289" s="1" t="s">
        <v>1366</v>
      </c>
      <c r="C289" s="1" t="s">
        <v>1367</v>
      </c>
      <c r="D289" s="1" t="s">
        <v>3376</v>
      </c>
      <c r="E289" s="1" t="s">
        <v>3393</v>
      </c>
      <c r="F289" s="1" t="s">
        <v>3394</v>
      </c>
      <c r="G289" s="3">
        <v>0</v>
      </c>
      <c r="H289" s="20" t="s">
        <v>6525</v>
      </c>
      <c r="I289" s="20" t="s">
        <v>3395</v>
      </c>
      <c r="J289" s="20" t="s">
        <v>2860</v>
      </c>
      <c r="K289" s="20" t="s">
        <v>10013</v>
      </c>
      <c r="L289" s="3">
        <v>30</v>
      </c>
      <c r="M289" s="3" t="s">
        <v>10024</v>
      </c>
      <c r="N289" s="3" t="str">
        <f>HYPERLINK("http://ictvonline.org/taxonomyHistory.asp?taxnode_id=20160123","ICTVonline=20160123")</f>
        <v>ICTVonline=20160123</v>
      </c>
    </row>
    <row r="290" spans="1:14" x14ac:dyDescent="0.15">
      <c r="A290" s="3">
        <v>289</v>
      </c>
      <c r="B290" s="1" t="s">
        <v>1366</v>
      </c>
      <c r="C290" s="1" t="s">
        <v>1367</v>
      </c>
      <c r="D290" s="1" t="s">
        <v>3376</v>
      </c>
      <c r="E290" s="1" t="s">
        <v>3393</v>
      </c>
      <c r="F290" s="1" t="s">
        <v>3396</v>
      </c>
      <c r="G290" s="3">
        <v>0</v>
      </c>
      <c r="H290" s="20" t="s">
        <v>6526</v>
      </c>
      <c r="I290" s="20" t="s">
        <v>3397</v>
      </c>
      <c r="J290" s="20" t="s">
        <v>2860</v>
      </c>
      <c r="K290" s="20" t="s">
        <v>10013</v>
      </c>
      <c r="L290" s="3">
        <v>30</v>
      </c>
      <c r="M290" s="3" t="s">
        <v>10024</v>
      </c>
      <c r="N290" s="3" t="str">
        <f>HYPERLINK("http://ictvonline.org/taxonomyHistory.asp?taxnode_id=20160124","ICTVonline=20160124")</f>
        <v>ICTVonline=20160124</v>
      </c>
    </row>
    <row r="291" spans="1:14" x14ac:dyDescent="0.15">
      <c r="A291" s="3">
        <v>290</v>
      </c>
      <c r="B291" s="1" t="s">
        <v>1366</v>
      </c>
      <c r="C291" s="1" t="s">
        <v>1367</v>
      </c>
      <c r="D291" s="1" t="s">
        <v>3376</v>
      </c>
      <c r="E291" s="1" t="s">
        <v>3393</v>
      </c>
      <c r="F291" s="1" t="s">
        <v>3398</v>
      </c>
      <c r="G291" s="3">
        <v>0</v>
      </c>
      <c r="H291" s="20" t="s">
        <v>6527</v>
      </c>
      <c r="I291" s="20" t="s">
        <v>3399</v>
      </c>
      <c r="J291" s="20" t="s">
        <v>2860</v>
      </c>
      <c r="K291" s="20" t="s">
        <v>10013</v>
      </c>
      <c r="L291" s="3">
        <v>30</v>
      </c>
      <c r="M291" s="3" t="s">
        <v>10024</v>
      </c>
      <c r="N291" s="3" t="str">
        <f>HYPERLINK("http://ictvonline.org/taxonomyHistory.asp?taxnode_id=20160125","ICTVonline=20160125")</f>
        <v>ICTVonline=20160125</v>
      </c>
    </row>
    <row r="292" spans="1:14" x14ac:dyDescent="0.15">
      <c r="A292" s="3">
        <v>291</v>
      </c>
      <c r="B292" s="1" t="s">
        <v>1366</v>
      </c>
      <c r="C292" s="1" t="s">
        <v>1367</v>
      </c>
      <c r="D292" s="1" t="s">
        <v>3376</v>
      </c>
      <c r="E292" s="1" t="s">
        <v>3393</v>
      </c>
      <c r="F292" s="1" t="s">
        <v>3400</v>
      </c>
      <c r="G292" s="3">
        <v>1</v>
      </c>
      <c r="H292" s="20" t="s">
        <v>6528</v>
      </c>
      <c r="I292" s="20" t="s">
        <v>3401</v>
      </c>
      <c r="J292" s="20" t="s">
        <v>2860</v>
      </c>
      <c r="K292" s="20" t="s">
        <v>10013</v>
      </c>
      <c r="L292" s="3">
        <v>30</v>
      </c>
      <c r="M292" s="3" t="s">
        <v>10024</v>
      </c>
      <c r="N292" s="3" t="str">
        <f>HYPERLINK("http://ictvonline.org/taxonomyHistory.asp?taxnode_id=20160126","ICTVonline=20160126")</f>
        <v>ICTVonline=20160126</v>
      </c>
    </row>
    <row r="293" spans="1:14" x14ac:dyDescent="0.15">
      <c r="A293" s="3">
        <v>292</v>
      </c>
      <c r="B293" s="1" t="s">
        <v>1366</v>
      </c>
      <c r="C293" s="1" t="s">
        <v>1367</v>
      </c>
      <c r="E293" s="1" t="s">
        <v>7825</v>
      </c>
      <c r="F293" s="1" t="s">
        <v>7826</v>
      </c>
      <c r="G293" s="3">
        <v>1</v>
      </c>
      <c r="H293" s="20" t="s">
        <v>7827</v>
      </c>
      <c r="I293" s="20" t="s">
        <v>7828</v>
      </c>
      <c r="J293" s="20" t="s">
        <v>2860</v>
      </c>
      <c r="K293" s="20" t="s">
        <v>10013</v>
      </c>
      <c r="L293" s="3">
        <v>31</v>
      </c>
      <c r="M293" s="3" t="s">
        <v>7829</v>
      </c>
      <c r="N293" s="3" t="str">
        <f>HYPERLINK("http://ictvonline.org/taxonomyHistory.asp?taxnode_id=20164846","ICTVonline=20164846")</f>
        <v>ICTVonline=20164846</v>
      </c>
    </row>
    <row r="294" spans="1:14" x14ac:dyDescent="0.15">
      <c r="A294" s="3">
        <v>293</v>
      </c>
      <c r="B294" s="1" t="s">
        <v>1366</v>
      </c>
      <c r="C294" s="1" t="s">
        <v>1367</v>
      </c>
      <c r="E294" s="1" t="s">
        <v>7825</v>
      </c>
      <c r="F294" s="1" t="s">
        <v>7830</v>
      </c>
      <c r="G294" s="3">
        <v>0</v>
      </c>
      <c r="H294" s="20" t="s">
        <v>7831</v>
      </c>
      <c r="I294" s="20" t="s">
        <v>7832</v>
      </c>
      <c r="J294" s="20" t="s">
        <v>2860</v>
      </c>
      <c r="K294" s="20" t="s">
        <v>10013</v>
      </c>
      <c r="L294" s="3">
        <v>31</v>
      </c>
      <c r="M294" s="3" t="s">
        <v>7829</v>
      </c>
      <c r="N294" s="3" t="str">
        <f>HYPERLINK("http://ictvonline.org/taxonomyHistory.asp?taxnode_id=20164847","ICTVonline=20164847")</f>
        <v>ICTVonline=20164847</v>
      </c>
    </row>
    <row r="295" spans="1:14" x14ac:dyDescent="0.15">
      <c r="A295" s="3">
        <v>294</v>
      </c>
      <c r="B295" s="1" t="s">
        <v>1366</v>
      </c>
      <c r="C295" s="1" t="s">
        <v>1367</v>
      </c>
      <c r="E295" s="1" t="s">
        <v>3402</v>
      </c>
      <c r="F295" s="1" t="s">
        <v>3403</v>
      </c>
      <c r="G295" s="3">
        <v>1</v>
      </c>
      <c r="H295" s="20" t="s">
        <v>6529</v>
      </c>
      <c r="I295" s="20" t="s">
        <v>3404</v>
      </c>
      <c r="J295" s="20" t="s">
        <v>2860</v>
      </c>
      <c r="K295" s="20" t="s">
        <v>10013</v>
      </c>
      <c r="L295" s="3">
        <v>30</v>
      </c>
      <c r="M295" s="3" t="s">
        <v>10025</v>
      </c>
      <c r="N295" s="3" t="str">
        <f>HYPERLINK("http://ictvonline.org/taxonomyHistory.asp?taxnode_id=20160129","ICTVonline=20160129")</f>
        <v>ICTVonline=20160129</v>
      </c>
    </row>
    <row r="296" spans="1:14" x14ac:dyDescent="0.15">
      <c r="A296" s="3">
        <v>295</v>
      </c>
      <c r="B296" s="1" t="s">
        <v>1366</v>
      </c>
      <c r="C296" s="1" t="s">
        <v>1367</v>
      </c>
      <c r="E296" s="1" t="s">
        <v>3402</v>
      </c>
      <c r="F296" s="1" t="s">
        <v>3405</v>
      </c>
      <c r="G296" s="3">
        <v>0</v>
      </c>
      <c r="H296" s="20" t="s">
        <v>6530</v>
      </c>
      <c r="I296" s="20" t="s">
        <v>3406</v>
      </c>
      <c r="J296" s="20" t="s">
        <v>2860</v>
      </c>
      <c r="K296" s="20" t="s">
        <v>10013</v>
      </c>
      <c r="L296" s="3">
        <v>30</v>
      </c>
      <c r="M296" s="3" t="s">
        <v>10025</v>
      </c>
      <c r="N296" s="3" t="str">
        <f>HYPERLINK("http://ictvonline.org/taxonomyHistory.asp?taxnode_id=20160130","ICTVonline=20160130")</f>
        <v>ICTVonline=20160130</v>
      </c>
    </row>
    <row r="297" spans="1:14" x14ac:dyDescent="0.15">
      <c r="A297" s="3">
        <v>296</v>
      </c>
      <c r="B297" s="1" t="s">
        <v>1366</v>
      </c>
      <c r="C297" s="1" t="s">
        <v>1367</v>
      </c>
      <c r="E297" s="1" t="s">
        <v>3402</v>
      </c>
      <c r="F297" s="1" t="s">
        <v>3407</v>
      </c>
      <c r="G297" s="3">
        <v>0</v>
      </c>
      <c r="H297" s="20" t="s">
        <v>6531</v>
      </c>
      <c r="I297" s="20" t="s">
        <v>3408</v>
      </c>
      <c r="J297" s="20" t="s">
        <v>2860</v>
      </c>
      <c r="K297" s="20" t="s">
        <v>10013</v>
      </c>
      <c r="L297" s="3">
        <v>30</v>
      </c>
      <c r="M297" s="3" t="s">
        <v>10025</v>
      </c>
      <c r="N297" s="3" t="str">
        <f>HYPERLINK("http://ictvonline.org/taxonomyHistory.asp?taxnode_id=20160131","ICTVonline=20160131")</f>
        <v>ICTVonline=20160131</v>
      </c>
    </row>
    <row r="298" spans="1:14" x14ac:dyDescent="0.15">
      <c r="A298" s="3">
        <v>297</v>
      </c>
      <c r="B298" s="1" t="s">
        <v>1366</v>
      </c>
      <c r="C298" s="1" t="s">
        <v>1367</v>
      </c>
      <c r="E298" s="1" t="s">
        <v>7833</v>
      </c>
      <c r="F298" s="1" t="s">
        <v>7834</v>
      </c>
      <c r="G298" s="3">
        <v>0</v>
      </c>
      <c r="H298" s="20" t="s">
        <v>7835</v>
      </c>
      <c r="I298" s="20" t="s">
        <v>7836</v>
      </c>
      <c r="J298" s="20" t="s">
        <v>2860</v>
      </c>
      <c r="K298" s="20" t="s">
        <v>10013</v>
      </c>
      <c r="L298" s="3">
        <v>31</v>
      </c>
      <c r="M298" s="3" t="s">
        <v>7837</v>
      </c>
      <c r="N298" s="3" t="str">
        <f>HYPERLINK("http://ictvonline.org/taxonomyHistory.asp?taxnode_id=20164848","ICTVonline=20164848")</f>
        <v>ICTVonline=20164848</v>
      </c>
    </row>
    <row r="299" spans="1:14" x14ac:dyDescent="0.15">
      <c r="A299" s="3">
        <v>298</v>
      </c>
      <c r="B299" s="1" t="s">
        <v>1366</v>
      </c>
      <c r="C299" s="1" t="s">
        <v>1367</v>
      </c>
      <c r="E299" s="1" t="s">
        <v>7833</v>
      </c>
      <c r="F299" s="1" t="s">
        <v>7838</v>
      </c>
      <c r="G299" s="3">
        <v>1</v>
      </c>
      <c r="H299" s="20" t="s">
        <v>7839</v>
      </c>
      <c r="I299" s="20" t="s">
        <v>7840</v>
      </c>
      <c r="J299" s="20" t="s">
        <v>2860</v>
      </c>
      <c r="K299" s="20" t="s">
        <v>10013</v>
      </c>
      <c r="L299" s="3">
        <v>31</v>
      </c>
      <c r="M299" s="3" t="s">
        <v>7837</v>
      </c>
      <c r="N299" s="3" t="str">
        <f>HYPERLINK("http://ictvonline.org/taxonomyHistory.asp?taxnode_id=20164849","ICTVonline=20164849")</f>
        <v>ICTVonline=20164849</v>
      </c>
    </row>
    <row r="300" spans="1:14" x14ac:dyDescent="0.15">
      <c r="A300" s="3">
        <v>299</v>
      </c>
      <c r="B300" s="1" t="s">
        <v>1366</v>
      </c>
      <c r="C300" s="1" t="s">
        <v>1367</v>
      </c>
      <c r="E300" s="1" t="s">
        <v>7833</v>
      </c>
      <c r="F300" s="1" t="s">
        <v>7841</v>
      </c>
      <c r="G300" s="3">
        <v>0</v>
      </c>
      <c r="H300" s="20" t="s">
        <v>7842</v>
      </c>
      <c r="I300" s="20" t="s">
        <v>7843</v>
      </c>
      <c r="J300" s="20" t="s">
        <v>2860</v>
      </c>
      <c r="K300" s="20" t="s">
        <v>10013</v>
      </c>
      <c r="L300" s="3">
        <v>31</v>
      </c>
      <c r="M300" s="3" t="s">
        <v>7837</v>
      </c>
      <c r="N300" s="3" t="str">
        <f>HYPERLINK("http://ictvonline.org/taxonomyHistory.asp?taxnode_id=20164850","ICTVonline=20164850")</f>
        <v>ICTVonline=20164850</v>
      </c>
    </row>
    <row r="301" spans="1:14" x14ac:dyDescent="0.15">
      <c r="A301" s="3">
        <v>300</v>
      </c>
      <c r="B301" s="1" t="s">
        <v>1366</v>
      </c>
      <c r="C301" s="1" t="s">
        <v>1367</v>
      </c>
      <c r="E301" s="1" t="s">
        <v>7833</v>
      </c>
      <c r="F301" s="1" t="s">
        <v>7844</v>
      </c>
      <c r="G301" s="3">
        <v>0</v>
      </c>
      <c r="H301" s="20" t="s">
        <v>7845</v>
      </c>
      <c r="I301" s="20" t="s">
        <v>7846</v>
      </c>
      <c r="J301" s="20" t="s">
        <v>2860</v>
      </c>
      <c r="K301" s="20" t="s">
        <v>10013</v>
      </c>
      <c r="L301" s="3">
        <v>31</v>
      </c>
      <c r="M301" s="3" t="s">
        <v>7837</v>
      </c>
      <c r="N301" s="3" t="str">
        <f>HYPERLINK("http://ictvonline.org/taxonomyHistory.asp?taxnode_id=20164851","ICTVonline=20164851")</f>
        <v>ICTVonline=20164851</v>
      </c>
    </row>
    <row r="302" spans="1:14" x14ac:dyDescent="0.15">
      <c r="A302" s="3">
        <v>301</v>
      </c>
      <c r="B302" s="1" t="s">
        <v>1366</v>
      </c>
      <c r="C302" s="1" t="s">
        <v>1367</v>
      </c>
      <c r="E302" s="1" t="s">
        <v>7833</v>
      </c>
      <c r="F302" s="1" t="s">
        <v>7847</v>
      </c>
      <c r="G302" s="3">
        <v>0</v>
      </c>
      <c r="H302" s="20" t="s">
        <v>7848</v>
      </c>
      <c r="I302" s="20" t="s">
        <v>7849</v>
      </c>
      <c r="J302" s="20" t="s">
        <v>2860</v>
      </c>
      <c r="K302" s="20" t="s">
        <v>10013</v>
      </c>
      <c r="L302" s="3">
        <v>31</v>
      </c>
      <c r="M302" s="3" t="s">
        <v>7837</v>
      </c>
      <c r="N302" s="3" t="str">
        <f>HYPERLINK("http://ictvonline.org/taxonomyHistory.asp?taxnode_id=20164852","ICTVonline=20164852")</f>
        <v>ICTVonline=20164852</v>
      </c>
    </row>
    <row r="303" spans="1:14" x14ac:dyDescent="0.15">
      <c r="A303" s="3">
        <v>302</v>
      </c>
      <c r="B303" s="1" t="s">
        <v>1366</v>
      </c>
      <c r="C303" s="1" t="s">
        <v>1367</v>
      </c>
      <c r="E303" s="1" t="s">
        <v>3409</v>
      </c>
      <c r="F303" s="1" t="s">
        <v>3410</v>
      </c>
      <c r="G303" s="3">
        <v>0</v>
      </c>
      <c r="H303" s="20" t="s">
        <v>6532</v>
      </c>
      <c r="I303" s="20" t="s">
        <v>3411</v>
      </c>
      <c r="J303" s="20" t="s">
        <v>2860</v>
      </c>
      <c r="K303" s="20" t="s">
        <v>10013</v>
      </c>
      <c r="L303" s="3">
        <v>30</v>
      </c>
      <c r="M303" s="3" t="s">
        <v>10026</v>
      </c>
      <c r="N303" s="3" t="str">
        <f>HYPERLINK("http://ictvonline.org/taxonomyHistory.asp?taxnode_id=20160133","ICTVonline=20160133")</f>
        <v>ICTVonline=20160133</v>
      </c>
    </row>
    <row r="304" spans="1:14" x14ac:dyDescent="0.15">
      <c r="A304" s="3">
        <v>303</v>
      </c>
      <c r="B304" s="1" t="s">
        <v>1366</v>
      </c>
      <c r="C304" s="1" t="s">
        <v>1367</v>
      </c>
      <c r="E304" s="1" t="s">
        <v>3409</v>
      </c>
      <c r="F304" s="1" t="s">
        <v>3412</v>
      </c>
      <c r="G304" s="3">
        <v>0</v>
      </c>
      <c r="H304" s="20" t="s">
        <v>6533</v>
      </c>
      <c r="I304" s="20" t="s">
        <v>3413</v>
      </c>
      <c r="J304" s="20" t="s">
        <v>2860</v>
      </c>
      <c r="K304" s="20" t="s">
        <v>10013</v>
      </c>
      <c r="L304" s="3">
        <v>30</v>
      </c>
      <c r="M304" s="3" t="s">
        <v>10026</v>
      </c>
      <c r="N304" s="3" t="str">
        <f>HYPERLINK("http://ictvonline.org/taxonomyHistory.asp?taxnode_id=20160134","ICTVonline=20160134")</f>
        <v>ICTVonline=20160134</v>
      </c>
    </row>
    <row r="305" spans="1:14" x14ac:dyDescent="0.15">
      <c r="A305" s="3">
        <v>304</v>
      </c>
      <c r="B305" s="1" t="s">
        <v>1366</v>
      </c>
      <c r="C305" s="1" t="s">
        <v>1367</v>
      </c>
      <c r="E305" s="1" t="s">
        <v>3409</v>
      </c>
      <c r="F305" s="1" t="s">
        <v>3414</v>
      </c>
      <c r="G305" s="3">
        <v>0</v>
      </c>
      <c r="H305" s="20" t="s">
        <v>6534</v>
      </c>
      <c r="I305" s="20" t="s">
        <v>3415</v>
      </c>
      <c r="J305" s="20" t="s">
        <v>2860</v>
      </c>
      <c r="K305" s="20" t="s">
        <v>10013</v>
      </c>
      <c r="L305" s="3">
        <v>30</v>
      </c>
      <c r="M305" s="3" t="s">
        <v>10026</v>
      </c>
      <c r="N305" s="3" t="str">
        <f>HYPERLINK("http://ictvonline.org/taxonomyHistory.asp?taxnode_id=20160135","ICTVonline=20160135")</f>
        <v>ICTVonline=20160135</v>
      </c>
    </row>
    <row r="306" spans="1:14" x14ac:dyDescent="0.15">
      <c r="A306" s="3">
        <v>305</v>
      </c>
      <c r="B306" s="1" t="s">
        <v>1366</v>
      </c>
      <c r="C306" s="1" t="s">
        <v>1367</v>
      </c>
      <c r="E306" s="1" t="s">
        <v>3409</v>
      </c>
      <c r="F306" s="1" t="s">
        <v>3416</v>
      </c>
      <c r="G306" s="3">
        <v>1</v>
      </c>
      <c r="H306" s="20" t="s">
        <v>6535</v>
      </c>
      <c r="I306" s="20" t="s">
        <v>3417</v>
      </c>
      <c r="J306" s="20" t="s">
        <v>2860</v>
      </c>
      <c r="K306" s="20" t="s">
        <v>10013</v>
      </c>
      <c r="L306" s="3">
        <v>30</v>
      </c>
      <c r="M306" s="3" t="s">
        <v>10026</v>
      </c>
      <c r="N306" s="3" t="str">
        <f>HYPERLINK("http://ictvonline.org/taxonomyHistory.asp?taxnode_id=20160136","ICTVonline=20160136")</f>
        <v>ICTVonline=20160136</v>
      </c>
    </row>
    <row r="307" spans="1:14" x14ac:dyDescent="0.15">
      <c r="A307" s="3">
        <v>306</v>
      </c>
      <c r="B307" s="1" t="s">
        <v>1366</v>
      </c>
      <c r="C307" s="1" t="s">
        <v>1367</v>
      </c>
      <c r="E307" s="1" t="s">
        <v>7850</v>
      </c>
      <c r="F307" s="1" t="s">
        <v>7851</v>
      </c>
      <c r="G307" s="3">
        <v>1</v>
      </c>
      <c r="H307" s="20" t="s">
        <v>7852</v>
      </c>
      <c r="I307" s="20" t="s">
        <v>7853</v>
      </c>
      <c r="J307" s="20" t="s">
        <v>2860</v>
      </c>
      <c r="K307" s="20" t="s">
        <v>10013</v>
      </c>
      <c r="L307" s="3">
        <v>31</v>
      </c>
      <c r="M307" s="3" t="s">
        <v>7854</v>
      </c>
      <c r="N307" s="3" t="str">
        <f>HYPERLINK("http://ictvonline.org/taxonomyHistory.asp?taxnode_id=20164853","ICTVonline=20164853")</f>
        <v>ICTVonline=20164853</v>
      </c>
    </row>
    <row r="308" spans="1:14" x14ac:dyDescent="0.15">
      <c r="A308" s="3">
        <v>307</v>
      </c>
      <c r="B308" s="1" t="s">
        <v>1366</v>
      </c>
      <c r="C308" s="1" t="s">
        <v>1367</v>
      </c>
      <c r="E308" s="1" t="s">
        <v>7850</v>
      </c>
      <c r="F308" s="1" t="s">
        <v>7855</v>
      </c>
      <c r="G308" s="3">
        <v>0</v>
      </c>
      <c r="H308" s="20" t="s">
        <v>7856</v>
      </c>
      <c r="I308" s="20" t="s">
        <v>7857</v>
      </c>
      <c r="J308" s="20" t="s">
        <v>2860</v>
      </c>
      <c r="K308" s="20" t="s">
        <v>10013</v>
      </c>
      <c r="L308" s="3">
        <v>31</v>
      </c>
      <c r="M308" s="3" t="s">
        <v>7854</v>
      </c>
      <c r="N308" s="3" t="str">
        <f>HYPERLINK("http://ictvonline.org/taxonomyHistory.asp?taxnode_id=20164854","ICTVonline=20164854")</f>
        <v>ICTVonline=20164854</v>
      </c>
    </row>
    <row r="309" spans="1:14" x14ac:dyDescent="0.15">
      <c r="A309" s="3">
        <v>308</v>
      </c>
      <c r="B309" s="1" t="s">
        <v>1366</v>
      </c>
      <c r="C309" s="1" t="s">
        <v>1367</v>
      </c>
      <c r="E309" s="1" t="s">
        <v>3418</v>
      </c>
      <c r="F309" s="1" t="s">
        <v>7858</v>
      </c>
      <c r="G309" s="3">
        <v>0</v>
      </c>
      <c r="H309" s="20" t="s">
        <v>7859</v>
      </c>
      <c r="I309" s="20" t="s">
        <v>7860</v>
      </c>
      <c r="J309" s="20" t="s">
        <v>2860</v>
      </c>
      <c r="K309" s="20" t="s">
        <v>10013</v>
      </c>
      <c r="L309" s="3">
        <v>31</v>
      </c>
      <c r="M309" s="3" t="s">
        <v>7480</v>
      </c>
      <c r="N309" s="3" t="str">
        <f>HYPERLINK("http://ictvonline.org/taxonomyHistory.asp?taxnode_id=20164855","ICTVonline=20164855")</f>
        <v>ICTVonline=20164855</v>
      </c>
    </row>
    <row r="310" spans="1:14" x14ac:dyDescent="0.15">
      <c r="A310" s="3">
        <v>309</v>
      </c>
      <c r="B310" s="1" t="s">
        <v>1366</v>
      </c>
      <c r="C310" s="1" t="s">
        <v>1367</v>
      </c>
      <c r="E310" s="1" t="s">
        <v>3418</v>
      </c>
      <c r="F310" s="1" t="s">
        <v>3419</v>
      </c>
      <c r="G310" s="3">
        <v>1</v>
      </c>
      <c r="H310" s="20" t="s">
        <v>6536</v>
      </c>
      <c r="I310" s="20" t="s">
        <v>3420</v>
      </c>
      <c r="J310" s="20" t="s">
        <v>2860</v>
      </c>
      <c r="K310" s="20" t="s">
        <v>10013</v>
      </c>
      <c r="L310" s="3">
        <v>30</v>
      </c>
      <c r="M310" s="3" t="s">
        <v>10027</v>
      </c>
      <c r="N310" s="3" t="str">
        <f>HYPERLINK("http://ictvonline.org/taxonomyHistory.asp?taxnode_id=20160138","ICTVonline=20160138")</f>
        <v>ICTVonline=20160138</v>
      </c>
    </row>
    <row r="311" spans="1:14" x14ac:dyDescent="0.15">
      <c r="A311" s="3">
        <v>310</v>
      </c>
      <c r="B311" s="1" t="s">
        <v>1366</v>
      </c>
      <c r="C311" s="1" t="s">
        <v>1367</v>
      </c>
      <c r="E311" s="1" t="s">
        <v>3418</v>
      </c>
      <c r="F311" s="1" t="s">
        <v>3421</v>
      </c>
      <c r="G311" s="3">
        <v>0</v>
      </c>
      <c r="H311" s="20" t="s">
        <v>6537</v>
      </c>
      <c r="I311" s="20" t="s">
        <v>3422</v>
      </c>
      <c r="J311" s="20" t="s">
        <v>2860</v>
      </c>
      <c r="K311" s="20" t="s">
        <v>10013</v>
      </c>
      <c r="L311" s="3">
        <v>30</v>
      </c>
      <c r="M311" s="3" t="s">
        <v>10027</v>
      </c>
      <c r="N311" s="3" t="str">
        <f>HYPERLINK("http://ictvonline.org/taxonomyHistory.asp?taxnode_id=20160139","ICTVonline=20160139")</f>
        <v>ICTVonline=20160139</v>
      </c>
    </row>
    <row r="312" spans="1:14" x14ac:dyDescent="0.15">
      <c r="A312" s="3">
        <v>311</v>
      </c>
      <c r="B312" s="1" t="s">
        <v>1366</v>
      </c>
      <c r="C312" s="1" t="s">
        <v>1367</v>
      </c>
      <c r="E312" s="1" t="s">
        <v>3418</v>
      </c>
      <c r="F312" s="1" t="s">
        <v>3423</v>
      </c>
      <c r="G312" s="3">
        <v>0</v>
      </c>
      <c r="H312" s="20" t="s">
        <v>6538</v>
      </c>
      <c r="I312" s="20" t="s">
        <v>3424</v>
      </c>
      <c r="J312" s="20" t="s">
        <v>2860</v>
      </c>
      <c r="K312" s="20" t="s">
        <v>10013</v>
      </c>
      <c r="L312" s="3">
        <v>30</v>
      </c>
      <c r="M312" s="3" t="s">
        <v>10027</v>
      </c>
      <c r="N312" s="3" t="str">
        <f>HYPERLINK("http://ictvonline.org/taxonomyHistory.asp?taxnode_id=20160140","ICTVonline=20160140")</f>
        <v>ICTVonline=20160140</v>
      </c>
    </row>
    <row r="313" spans="1:14" x14ac:dyDescent="0.15">
      <c r="A313" s="3">
        <v>312</v>
      </c>
      <c r="B313" s="1" t="s">
        <v>1366</v>
      </c>
      <c r="C313" s="1" t="s">
        <v>1367</v>
      </c>
      <c r="E313" s="1" t="s">
        <v>3418</v>
      </c>
      <c r="F313" s="1" t="s">
        <v>3425</v>
      </c>
      <c r="G313" s="3">
        <v>0</v>
      </c>
      <c r="H313" s="20" t="s">
        <v>6539</v>
      </c>
      <c r="I313" s="20" t="s">
        <v>3426</v>
      </c>
      <c r="J313" s="20" t="s">
        <v>2860</v>
      </c>
      <c r="K313" s="20" t="s">
        <v>10013</v>
      </c>
      <c r="L313" s="3">
        <v>30</v>
      </c>
      <c r="M313" s="3" t="s">
        <v>10027</v>
      </c>
      <c r="N313" s="3" t="str">
        <f>HYPERLINK("http://ictvonline.org/taxonomyHistory.asp?taxnode_id=20160141","ICTVonline=20160141")</f>
        <v>ICTVonline=20160141</v>
      </c>
    </row>
    <row r="314" spans="1:14" x14ac:dyDescent="0.15">
      <c r="A314" s="3">
        <v>313</v>
      </c>
      <c r="B314" s="1" t="s">
        <v>1366</v>
      </c>
      <c r="C314" s="1" t="s">
        <v>1367</v>
      </c>
      <c r="E314" s="1" t="s">
        <v>3418</v>
      </c>
      <c r="F314" s="1" t="s">
        <v>3427</v>
      </c>
      <c r="G314" s="3">
        <v>0</v>
      </c>
      <c r="H314" s="20" t="s">
        <v>6540</v>
      </c>
      <c r="I314" s="20" t="s">
        <v>3428</v>
      </c>
      <c r="J314" s="20" t="s">
        <v>2860</v>
      </c>
      <c r="K314" s="20" t="s">
        <v>10013</v>
      </c>
      <c r="L314" s="3">
        <v>30</v>
      </c>
      <c r="M314" s="3" t="s">
        <v>10027</v>
      </c>
      <c r="N314" s="3" t="str">
        <f>HYPERLINK("http://ictvonline.org/taxonomyHistory.asp?taxnode_id=20160142","ICTVonline=20160142")</f>
        <v>ICTVonline=20160142</v>
      </c>
    </row>
    <row r="315" spans="1:14" x14ac:dyDescent="0.15">
      <c r="A315" s="3">
        <v>314</v>
      </c>
      <c r="B315" s="1" t="s">
        <v>1366</v>
      </c>
      <c r="C315" s="1" t="s">
        <v>1367</v>
      </c>
      <c r="E315" s="1" t="s">
        <v>3429</v>
      </c>
      <c r="F315" s="1" t="s">
        <v>3430</v>
      </c>
      <c r="G315" s="3">
        <v>1</v>
      </c>
      <c r="H315" s="20" t="s">
        <v>6541</v>
      </c>
      <c r="I315" s="20" t="s">
        <v>3431</v>
      </c>
      <c r="J315" s="20" t="s">
        <v>2860</v>
      </c>
      <c r="K315" s="20" t="s">
        <v>10013</v>
      </c>
      <c r="L315" s="3">
        <v>30</v>
      </c>
      <c r="M315" s="3" t="s">
        <v>10028</v>
      </c>
      <c r="N315" s="3" t="str">
        <f>HYPERLINK("http://ictvonline.org/taxonomyHistory.asp?taxnode_id=20160144","ICTVonline=20160144")</f>
        <v>ICTVonline=20160144</v>
      </c>
    </row>
    <row r="316" spans="1:14" x14ac:dyDescent="0.15">
      <c r="A316" s="3">
        <v>315</v>
      </c>
      <c r="B316" s="1" t="s">
        <v>1366</v>
      </c>
      <c r="C316" s="1" t="s">
        <v>1367</v>
      </c>
      <c r="E316" s="1" t="s">
        <v>3429</v>
      </c>
      <c r="F316" s="1" t="s">
        <v>3432</v>
      </c>
      <c r="G316" s="3">
        <v>0</v>
      </c>
      <c r="H316" s="20" t="s">
        <v>6542</v>
      </c>
      <c r="I316" s="20" t="s">
        <v>3433</v>
      </c>
      <c r="J316" s="20" t="s">
        <v>2860</v>
      </c>
      <c r="K316" s="20" t="s">
        <v>10013</v>
      </c>
      <c r="L316" s="3">
        <v>30</v>
      </c>
      <c r="M316" s="3" t="s">
        <v>10028</v>
      </c>
      <c r="N316" s="3" t="str">
        <f>HYPERLINK("http://ictvonline.org/taxonomyHistory.asp?taxnode_id=20160145","ICTVonline=20160145")</f>
        <v>ICTVonline=20160145</v>
      </c>
    </row>
    <row r="317" spans="1:14" x14ac:dyDescent="0.15">
      <c r="A317" s="3">
        <v>316</v>
      </c>
      <c r="B317" s="1" t="s">
        <v>1366</v>
      </c>
      <c r="C317" s="1" t="s">
        <v>1367</v>
      </c>
      <c r="E317" s="1" t="s">
        <v>3434</v>
      </c>
      <c r="F317" s="1" t="s">
        <v>3435</v>
      </c>
      <c r="G317" s="3">
        <v>1</v>
      </c>
      <c r="H317" s="20" t="s">
        <v>6543</v>
      </c>
      <c r="I317" s="20" t="s">
        <v>3436</v>
      </c>
      <c r="J317" s="20" t="s">
        <v>2860</v>
      </c>
      <c r="K317" s="20" t="s">
        <v>10013</v>
      </c>
      <c r="L317" s="3">
        <v>30</v>
      </c>
      <c r="M317" s="3" t="s">
        <v>10029</v>
      </c>
      <c r="N317" s="3" t="str">
        <f>HYPERLINK("http://ictvonline.org/taxonomyHistory.asp?taxnode_id=20160147","ICTVonline=20160147")</f>
        <v>ICTVonline=20160147</v>
      </c>
    </row>
    <row r="318" spans="1:14" x14ac:dyDescent="0.15">
      <c r="A318" s="3">
        <v>317</v>
      </c>
      <c r="B318" s="1" t="s">
        <v>1366</v>
      </c>
      <c r="C318" s="1" t="s">
        <v>1367</v>
      </c>
      <c r="E318" s="1" t="s">
        <v>3434</v>
      </c>
      <c r="F318" s="1" t="s">
        <v>3437</v>
      </c>
      <c r="G318" s="3">
        <v>0</v>
      </c>
      <c r="H318" s="20" t="s">
        <v>6544</v>
      </c>
      <c r="I318" s="20" t="s">
        <v>3438</v>
      </c>
      <c r="J318" s="20" t="s">
        <v>2860</v>
      </c>
      <c r="K318" s="20" t="s">
        <v>10013</v>
      </c>
      <c r="L318" s="3">
        <v>30</v>
      </c>
      <c r="M318" s="3" t="s">
        <v>10029</v>
      </c>
      <c r="N318" s="3" t="str">
        <f>HYPERLINK("http://ictvonline.org/taxonomyHistory.asp?taxnode_id=20160148","ICTVonline=20160148")</f>
        <v>ICTVonline=20160148</v>
      </c>
    </row>
    <row r="319" spans="1:14" x14ac:dyDescent="0.15">
      <c r="A319" s="3">
        <v>318</v>
      </c>
      <c r="B319" s="1" t="s">
        <v>1366</v>
      </c>
      <c r="C319" s="1" t="s">
        <v>1367</v>
      </c>
      <c r="E319" s="1" t="s">
        <v>3434</v>
      </c>
      <c r="F319" s="1" t="s">
        <v>3439</v>
      </c>
      <c r="G319" s="3">
        <v>0</v>
      </c>
      <c r="H319" s="20" t="s">
        <v>6545</v>
      </c>
      <c r="I319" s="20" t="s">
        <v>3440</v>
      </c>
      <c r="J319" s="20" t="s">
        <v>2860</v>
      </c>
      <c r="K319" s="20" t="s">
        <v>10013</v>
      </c>
      <c r="L319" s="3">
        <v>30</v>
      </c>
      <c r="M319" s="3" t="s">
        <v>10029</v>
      </c>
      <c r="N319" s="3" t="str">
        <f>HYPERLINK("http://ictvonline.org/taxonomyHistory.asp?taxnode_id=20160149","ICTVonline=20160149")</f>
        <v>ICTVonline=20160149</v>
      </c>
    </row>
    <row r="320" spans="1:14" x14ac:dyDescent="0.15">
      <c r="A320" s="3">
        <v>319</v>
      </c>
      <c r="B320" s="1" t="s">
        <v>1366</v>
      </c>
      <c r="C320" s="1" t="s">
        <v>1367</v>
      </c>
      <c r="E320" s="1" t="s">
        <v>3434</v>
      </c>
      <c r="F320" s="1" t="s">
        <v>7861</v>
      </c>
      <c r="G320" s="3">
        <v>0</v>
      </c>
      <c r="H320" s="20" t="s">
        <v>7862</v>
      </c>
      <c r="I320" s="20" t="s">
        <v>7863</v>
      </c>
      <c r="J320" s="20" t="s">
        <v>2860</v>
      </c>
      <c r="K320" s="20" t="s">
        <v>10013</v>
      </c>
      <c r="L320" s="3">
        <v>31</v>
      </c>
      <c r="M320" s="3" t="s">
        <v>7480</v>
      </c>
      <c r="N320" s="3" t="str">
        <f>HYPERLINK("http://ictvonline.org/taxonomyHistory.asp?taxnode_id=20164856","ICTVonline=20164856")</f>
        <v>ICTVonline=20164856</v>
      </c>
    </row>
    <row r="321" spans="1:14" x14ac:dyDescent="0.15">
      <c r="A321" s="3">
        <v>320</v>
      </c>
      <c r="B321" s="1" t="s">
        <v>1366</v>
      </c>
      <c r="C321" s="1" t="s">
        <v>1367</v>
      </c>
      <c r="E321" s="1" t="s">
        <v>3434</v>
      </c>
      <c r="F321" s="1" t="s">
        <v>7864</v>
      </c>
      <c r="G321" s="3">
        <v>0</v>
      </c>
      <c r="H321" s="20" t="s">
        <v>7865</v>
      </c>
      <c r="I321" s="20" t="s">
        <v>7866</v>
      </c>
      <c r="J321" s="20" t="s">
        <v>2860</v>
      </c>
      <c r="K321" s="20" t="s">
        <v>10013</v>
      </c>
      <c r="L321" s="3">
        <v>31</v>
      </c>
      <c r="M321" s="3" t="s">
        <v>7480</v>
      </c>
      <c r="N321" s="3" t="str">
        <f>HYPERLINK("http://ictvonline.org/taxonomyHistory.asp?taxnode_id=20164857","ICTVonline=20164857")</f>
        <v>ICTVonline=20164857</v>
      </c>
    </row>
    <row r="322" spans="1:14" x14ac:dyDescent="0.15">
      <c r="A322" s="3">
        <v>321</v>
      </c>
      <c r="B322" s="1" t="s">
        <v>1366</v>
      </c>
      <c r="C322" s="1" t="s">
        <v>1367</v>
      </c>
      <c r="E322" s="1" t="s">
        <v>3434</v>
      </c>
      <c r="F322" s="1" t="s">
        <v>3441</v>
      </c>
      <c r="G322" s="3">
        <v>0</v>
      </c>
      <c r="H322" s="20" t="s">
        <v>6546</v>
      </c>
      <c r="I322" s="20" t="s">
        <v>3442</v>
      </c>
      <c r="J322" s="20" t="s">
        <v>2860</v>
      </c>
      <c r="K322" s="20" t="s">
        <v>10013</v>
      </c>
      <c r="L322" s="3">
        <v>30</v>
      </c>
      <c r="M322" s="3" t="s">
        <v>10029</v>
      </c>
      <c r="N322" s="3" t="str">
        <f>HYPERLINK("http://ictvonline.org/taxonomyHistory.asp?taxnode_id=20160150","ICTVonline=20160150")</f>
        <v>ICTVonline=20160150</v>
      </c>
    </row>
    <row r="323" spans="1:14" x14ac:dyDescent="0.15">
      <c r="A323" s="3">
        <v>322</v>
      </c>
      <c r="B323" s="1" t="s">
        <v>1366</v>
      </c>
      <c r="C323" s="1" t="s">
        <v>1367</v>
      </c>
      <c r="E323" s="1" t="s">
        <v>3443</v>
      </c>
      <c r="F323" s="1" t="s">
        <v>3444</v>
      </c>
      <c r="G323" s="3">
        <v>0</v>
      </c>
      <c r="J323" s="20" t="s">
        <v>2860</v>
      </c>
      <c r="K323" s="20" t="s">
        <v>10014</v>
      </c>
      <c r="L323" s="3">
        <v>30</v>
      </c>
      <c r="M323" s="3" t="s">
        <v>10017</v>
      </c>
      <c r="N323" s="3" t="str">
        <f>HYPERLINK("http://ictvonline.org/taxonomyHistory.asp?taxnode_id=20160152","ICTVonline=20160152")</f>
        <v>ICTVonline=20160152</v>
      </c>
    </row>
    <row r="324" spans="1:14" x14ac:dyDescent="0.15">
      <c r="A324" s="3">
        <v>323</v>
      </c>
      <c r="B324" s="1" t="s">
        <v>1366</v>
      </c>
      <c r="C324" s="1" t="s">
        <v>1367</v>
      </c>
      <c r="E324" s="1" t="s">
        <v>3443</v>
      </c>
      <c r="F324" s="1" t="s">
        <v>3445</v>
      </c>
      <c r="G324" s="3">
        <v>0</v>
      </c>
      <c r="J324" s="20" t="s">
        <v>2860</v>
      </c>
      <c r="K324" s="20" t="s">
        <v>10014</v>
      </c>
      <c r="L324" s="3">
        <v>30</v>
      </c>
      <c r="M324" s="3" t="s">
        <v>10017</v>
      </c>
      <c r="N324" s="3" t="str">
        <f>HYPERLINK("http://ictvonline.org/taxonomyHistory.asp?taxnode_id=20160153","ICTVonline=20160153")</f>
        <v>ICTVonline=20160153</v>
      </c>
    </row>
    <row r="325" spans="1:14" x14ac:dyDescent="0.15">
      <c r="A325" s="3">
        <v>324</v>
      </c>
      <c r="B325" s="1" t="s">
        <v>1366</v>
      </c>
      <c r="C325" s="1" t="s">
        <v>1367</v>
      </c>
      <c r="E325" s="1" t="s">
        <v>3443</v>
      </c>
      <c r="F325" s="1" t="s">
        <v>3446</v>
      </c>
      <c r="G325" s="3">
        <v>1</v>
      </c>
      <c r="J325" s="20" t="s">
        <v>2860</v>
      </c>
      <c r="K325" s="20" t="s">
        <v>10014</v>
      </c>
      <c r="L325" s="3">
        <v>30</v>
      </c>
      <c r="M325" s="3" t="s">
        <v>10017</v>
      </c>
      <c r="N325" s="3" t="str">
        <f>HYPERLINK("http://ictvonline.org/taxonomyHistory.asp?taxnode_id=20160154","ICTVonline=20160154")</f>
        <v>ICTVonline=20160154</v>
      </c>
    </row>
    <row r="326" spans="1:14" x14ac:dyDescent="0.15">
      <c r="A326" s="3">
        <v>325</v>
      </c>
      <c r="B326" s="1" t="s">
        <v>1366</v>
      </c>
      <c r="C326" s="1" t="s">
        <v>1367</v>
      </c>
      <c r="E326" s="1" t="s">
        <v>3443</v>
      </c>
      <c r="F326" s="1" t="s">
        <v>3447</v>
      </c>
      <c r="G326" s="3">
        <v>0</v>
      </c>
      <c r="J326" s="20" t="s">
        <v>2860</v>
      </c>
      <c r="K326" s="20" t="s">
        <v>10014</v>
      </c>
      <c r="L326" s="3">
        <v>30</v>
      </c>
      <c r="M326" s="3" t="s">
        <v>10017</v>
      </c>
      <c r="N326" s="3" t="str">
        <f>HYPERLINK("http://ictvonline.org/taxonomyHistory.asp?taxnode_id=20160155","ICTVonline=20160155")</f>
        <v>ICTVonline=20160155</v>
      </c>
    </row>
    <row r="327" spans="1:14" x14ac:dyDescent="0.15">
      <c r="A327" s="3">
        <v>326</v>
      </c>
      <c r="B327" s="1" t="s">
        <v>1366</v>
      </c>
      <c r="C327" s="1" t="s">
        <v>1367</v>
      </c>
      <c r="E327" s="1" t="s">
        <v>3443</v>
      </c>
      <c r="F327" s="1" t="s">
        <v>3448</v>
      </c>
      <c r="G327" s="3">
        <v>0</v>
      </c>
      <c r="J327" s="20" t="s">
        <v>2860</v>
      </c>
      <c r="K327" s="20" t="s">
        <v>10014</v>
      </c>
      <c r="L327" s="3">
        <v>30</v>
      </c>
      <c r="M327" s="3" t="s">
        <v>10017</v>
      </c>
      <c r="N327" s="3" t="str">
        <f>HYPERLINK("http://ictvonline.org/taxonomyHistory.asp?taxnode_id=20160156","ICTVonline=20160156")</f>
        <v>ICTVonline=20160156</v>
      </c>
    </row>
    <row r="328" spans="1:14" x14ac:dyDescent="0.15">
      <c r="A328" s="3">
        <v>327</v>
      </c>
      <c r="B328" s="1" t="s">
        <v>1366</v>
      </c>
      <c r="C328" s="1" t="s">
        <v>1367</v>
      </c>
      <c r="E328" s="1" t="s">
        <v>3449</v>
      </c>
      <c r="F328" s="1" t="s">
        <v>3450</v>
      </c>
      <c r="G328" s="3">
        <v>1</v>
      </c>
      <c r="J328" s="20" t="s">
        <v>2860</v>
      </c>
      <c r="K328" s="20" t="s">
        <v>10014</v>
      </c>
      <c r="L328" s="3">
        <v>30</v>
      </c>
      <c r="M328" s="3" t="s">
        <v>10017</v>
      </c>
      <c r="N328" s="3" t="str">
        <f>HYPERLINK("http://ictvonline.org/taxonomyHistory.asp?taxnode_id=20160158","ICTVonline=20160158")</f>
        <v>ICTVonline=20160158</v>
      </c>
    </row>
    <row r="329" spans="1:14" x14ac:dyDescent="0.15">
      <c r="A329" s="3">
        <v>328</v>
      </c>
      <c r="B329" s="1" t="s">
        <v>1366</v>
      </c>
      <c r="C329" s="1" t="s">
        <v>1367</v>
      </c>
      <c r="E329" s="1" t="s">
        <v>3449</v>
      </c>
      <c r="F329" s="1" t="s">
        <v>3451</v>
      </c>
      <c r="G329" s="3">
        <v>0</v>
      </c>
      <c r="J329" s="20" t="s">
        <v>2860</v>
      </c>
      <c r="K329" s="20" t="s">
        <v>10014</v>
      </c>
      <c r="L329" s="3">
        <v>30</v>
      </c>
      <c r="M329" s="3" t="s">
        <v>10017</v>
      </c>
      <c r="N329" s="3" t="str">
        <f>HYPERLINK("http://ictvonline.org/taxonomyHistory.asp?taxnode_id=20160159","ICTVonline=20160159")</f>
        <v>ICTVonline=20160159</v>
      </c>
    </row>
    <row r="330" spans="1:14" x14ac:dyDescent="0.15">
      <c r="A330" s="3">
        <v>329</v>
      </c>
      <c r="B330" s="1" t="s">
        <v>1366</v>
      </c>
      <c r="C330" s="1" t="s">
        <v>1367</v>
      </c>
      <c r="E330" s="1" t="s">
        <v>3452</v>
      </c>
      <c r="F330" s="1" t="s">
        <v>3453</v>
      </c>
      <c r="G330" s="3">
        <v>1</v>
      </c>
      <c r="H330" s="20" t="s">
        <v>6547</v>
      </c>
      <c r="I330" s="20" t="s">
        <v>6548</v>
      </c>
      <c r="J330" s="20" t="s">
        <v>2860</v>
      </c>
      <c r="K330" s="20" t="s">
        <v>10014</v>
      </c>
      <c r="L330" s="3">
        <v>30</v>
      </c>
      <c r="M330" s="3" t="s">
        <v>10022</v>
      </c>
      <c r="N330" s="3" t="str">
        <f>HYPERLINK("http://ictvonline.org/taxonomyHistory.asp?taxnode_id=20160161","ICTVonline=20160161")</f>
        <v>ICTVonline=20160161</v>
      </c>
    </row>
    <row r="331" spans="1:14" x14ac:dyDescent="0.15">
      <c r="A331" s="3">
        <v>330</v>
      </c>
      <c r="B331" s="1" t="s">
        <v>1366</v>
      </c>
      <c r="C331" s="1" t="s">
        <v>1367</v>
      </c>
      <c r="E331" s="1" t="s">
        <v>3454</v>
      </c>
      <c r="F331" s="1" t="s">
        <v>7867</v>
      </c>
      <c r="G331" s="3">
        <v>0</v>
      </c>
      <c r="H331" s="20" t="s">
        <v>7868</v>
      </c>
      <c r="I331" s="20" t="s">
        <v>7869</v>
      </c>
      <c r="J331" s="20" t="s">
        <v>2860</v>
      </c>
      <c r="K331" s="20" t="s">
        <v>10013</v>
      </c>
      <c r="L331" s="3">
        <v>31</v>
      </c>
      <c r="M331" s="3" t="s">
        <v>7870</v>
      </c>
      <c r="N331" s="3" t="str">
        <f>HYPERLINK("http://ictvonline.org/taxonomyHistory.asp?taxnode_id=20164858","ICTVonline=20164858")</f>
        <v>ICTVonline=20164858</v>
      </c>
    </row>
    <row r="332" spans="1:14" x14ac:dyDescent="0.15">
      <c r="A332" s="3">
        <v>331</v>
      </c>
      <c r="B332" s="1" t="s">
        <v>1366</v>
      </c>
      <c r="C332" s="1" t="s">
        <v>1367</v>
      </c>
      <c r="E332" s="1" t="s">
        <v>3454</v>
      </c>
      <c r="F332" s="1" t="s">
        <v>7871</v>
      </c>
      <c r="G332" s="3">
        <v>0</v>
      </c>
      <c r="H332" s="20" t="s">
        <v>7872</v>
      </c>
      <c r="I332" s="20" t="s">
        <v>7873</v>
      </c>
      <c r="J332" s="20" t="s">
        <v>2860</v>
      </c>
      <c r="K332" s="20" t="s">
        <v>10013</v>
      </c>
      <c r="L332" s="3">
        <v>31</v>
      </c>
      <c r="M332" s="3" t="s">
        <v>7870</v>
      </c>
      <c r="N332" s="3" t="str">
        <f>HYPERLINK("http://ictvonline.org/taxonomyHistory.asp?taxnode_id=20164859","ICTVonline=20164859")</f>
        <v>ICTVonline=20164859</v>
      </c>
    </row>
    <row r="333" spans="1:14" x14ac:dyDescent="0.15">
      <c r="A333" s="3">
        <v>332</v>
      </c>
      <c r="B333" s="1" t="s">
        <v>1366</v>
      </c>
      <c r="C333" s="1" t="s">
        <v>1367</v>
      </c>
      <c r="E333" s="1" t="s">
        <v>3454</v>
      </c>
      <c r="F333" s="1" t="s">
        <v>7874</v>
      </c>
      <c r="G333" s="3">
        <v>0</v>
      </c>
      <c r="H333" s="20" t="s">
        <v>7875</v>
      </c>
      <c r="I333" s="20" t="s">
        <v>7876</v>
      </c>
      <c r="J333" s="20" t="s">
        <v>2860</v>
      </c>
      <c r="K333" s="20" t="s">
        <v>10013</v>
      </c>
      <c r="L333" s="3">
        <v>31</v>
      </c>
      <c r="M333" s="3" t="s">
        <v>7870</v>
      </c>
      <c r="N333" s="3" t="str">
        <f>HYPERLINK("http://ictvonline.org/taxonomyHistory.asp?taxnode_id=20164860","ICTVonline=20164860")</f>
        <v>ICTVonline=20164860</v>
      </c>
    </row>
    <row r="334" spans="1:14" x14ac:dyDescent="0.15">
      <c r="A334" s="3">
        <v>333</v>
      </c>
      <c r="B334" s="1" t="s">
        <v>1366</v>
      </c>
      <c r="C334" s="1" t="s">
        <v>1367</v>
      </c>
      <c r="E334" s="1" t="s">
        <v>3454</v>
      </c>
      <c r="F334" s="1" t="s">
        <v>7877</v>
      </c>
      <c r="G334" s="3">
        <v>0</v>
      </c>
      <c r="H334" s="20" t="s">
        <v>7878</v>
      </c>
      <c r="I334" s="20" t="s">
        <v>7879</v>
      </c>
      <c r="J334" s="20" t="s">
        <v>2860</v>
      </c>
      <c r="K334" s="20" t="s">
        <v>10013</v>
      </c>
      <c r="L334" s="3">
        <v>31</v>
      </c>
      <c r="M334" s="3" t="s">
        <v>7870</v>
      </c>
      <c r="N334" s="3" t="str">
        <f>HYPERLINK("http://ictvonline.org/taxonomyHistory.asp?taxnode_id=20164861","ICTVonline=20164861")</f>
        <v>ICTVonline=20164861</v>
      </c>
    </row>
    <row r="335" spans="1:14" x14ac:dyDescent="0.15">
      <c r="A335" s="3">
        <v>334</v>
      </c>
      <c r="B335" s="1" t="s">
        <v>1366</v>
      </c>
      <c r="C335" s="1" t="s">
        <v>1367</v>
      </c>
      <c r="E335" s="1" t="s">
        <v>3454</v>
      </c>
      <c r="F335" s="1" t="s">
        <v>3455</v>
      </c>
      <c r="G335" s="3">
        <v>1</v>
      </c>
      <c r="J335" s="20" t="s">
        <v>2860</v>
      </c>
      <c r="K335" s="20" t="s">
        <v>10014</v>
      </c>
      <c r="L335" s="3">
        <v>30</v>
      </c>
      <c r="M335" s="3" t="s">
        <v>10017</v>
      </c>
      <c r="N335" s="3" t="str">
        <f>HYPERLINK("http://ictvonline.org/taxonomyHistory.asp?taxnode_id=20160163","ICTVonline=20160163")</f>
        <v>ICTVonline=20160163</v>
      </c>
    </row>
    <row r="336" spans="1:14" x14ac:dyDescent="0.15">
      <c r="A336" s="3">
        <v>335</v>
      </c>
      <c r="B336" s="1" t="s">
        <v>1366</v>
      </c>
      <c r="C336" s="1" t="s">
        <v>1367</v>
      </c>
      <c r="E336" s="1" t="s">
        <v>3454</v>
      </c>
      <c r="F336" s="1" t="s">
        <v>7880</v>
      </c>
      <c r="G336" s="3">
        <v>0</v>
      </c>
      <c r="H336" s="20" t="s">
        <v>7881</v>
      </c>
      <c r="I336" s="20" t="s">
        <v>7882</v>
      </c>
      <c r="J336" s="20" t="s">
        <v>2860</v>
      </c>
      <c r="K336" s="20" t="s">
        <v>10013</v>
      </c>
      <c r="L336" s="3">
        <v>31</v>
      </c>
      <c r="M336" s="3" t="s">
        <v>7870</v>
      </c>
      <c r="N336" s="3" t="str">
        <f>HYPERLINK("http://ictvonline.org/taxonomyHistory.asp?taxnode_id=20164862","ICTVonline=20164862")</f>
        <v>ICTVonline=20164862</v>
      </c>
    </row>
    <row r="337" spans="1:14" x14ac:dyDescent="0.15">
      <c r="A337" s="3">
        <v>336</v>
      </c>
      <c r="B337" s="1" t="s">
        <v>1366</v>
      </c>
      <c r="C337" s="1" t="s">
        <v>1367</v>
      </c>
      <c r="E337" s="1" t="s">
        <v>3454</v>
      </c>
      <c r="F337" s="1" t="s">
        <v>7883</v>
      </c>
      <c r="G337" s="3">
        <v>0</v>
      </c>
      <c r="H337" s="20" t="s">
        <v>7884</v>
      </c>
      <c r="I337" s="20" t="s">
        <v>7885</v>
      </c>
      <c r="J337" s="20" t="s">
        <v>2860</v>
      </c>
      <c r="K337" s="20" t="s">
        <v>10013</v>
      </c>
      <c r="L337" s="3">
        <v>31</v>
      </c>
      <c r="M337" s="3" t="s">
        <v>7870</v>
      </c>
      <c r="N337" s="3" t="str">
        <f>HYPERLINK("http://ictvonline.org/taxonomyHistory.asp?taxnode_id=20164863","ICTVonline=20164863")</f>
        <v>ICTVonline=20164863</v>
      </c>
    </row>
    <row r="338" spans="1:14" x14ac:dyDescent="0.15">
      <c r="A338" s="3">
        <v>337</v>
      </c>
      <c r="B338" s="1" t="s">
        <v>1366</v>
      </c>
      <c r="C338" s="1" t="s">
        <v>1367</v>
      </c>
      <c r="E338" s="1" t="s">
        <v>3456</v>
      </c>
      <c r="F338" s="1" t="s">
        <v>3457</v>
      </c>
      <c r="G338" s="3">
        <v>0</v>
      </c>
      <c r="J338" s="20" t="s">
        <v>2860</v>
      </c>
      <c r="K338" s="20" t="s">
        <v>10014</v>
      </c>
      <c r="L338" s="3">
        <v>30</v>
      </c>
      <c r="M338" s="3" t="s">
        <v>10017</v>
      </c>
      <c r="N338" s="3" t="str">
        <f>HYPERLINK("http://ictvonline.org/taxonomyHistory.asp?taxnode_id=20160165","ICTVonline=20160165")</f>
        <v>ICTVonline=20160165</v>
      </c>
    </row>
    <row r="339" spans="1:14" x14ac:dyDescent="0.15">
      <c r="A339" s="3">
        <v>338</v>
      </c>
      <c r="B339" s="1" t="s">
        <v>1366</v>
      </c>
      <c r="C339" s="1" t="s">
        <v>1367</v>
      </c>
      <c r="E339" s="1" t="s">
        <v>3456</v>
      </c>
      <c r="F339" s="1" t="s">
        <v>3458</v>
      </c>
      <c r="G339" s="3">
        <v>0</v>
      </c>
      <c r="J339" s="20" t="s">
        <v>2860</v>
      </c>
      <c r="K339" s="20" t="s">
        <v>10014</v>
      </c>
      <c r="L339" s="3">
        <v>30</v>
      </c>
      <c r="M339" s="3" t="s">
        <v>10017</v>
      </c>
      <c r="N339" s="3" t="str">
        <f>HYPERLINK("http://ictvonline.org/taxonomyHistory.asp?taxnode_id=20160166","ICTVonline=20160166")</f>
        <v>ICTVonline=20160166</v>
      </c>
    </row>
    <row r="340" spans="1:14" x14ac:dyDescent="0.15">
      <c r="A340" s="3">
        <v>339</v>
      </c>
      <c r="B340" s="1" t="s">
        <v>1366</v>
      </c>
      <c r="C340" s="1" t="s">
        <v>1367</v>
      </c>
      <c r="E340" s="1" t="s">
        <v>3456</v>
      </c>
      <c r="F340" s="1" t="s">
        <v>3459</v>
      </c>
      <c r="G340" s="3">
        <v>1</v>
      </c>
      <c r="J340" s="20" t="s">
        <v>2860</v>
      </c>
      <c r="K340" s="20" t="s">
        <v>10014</v>
      </c>
      <c r="L340" s="3">
        <v>30</v>
      </c>
      <c r="M340" s="3" t="s">
        <v>10017</v>
      </c>
      <c r="N340" s="3" t="str">
        <f>HYPERLINK("http://ictvonline.org/taxonomyHistory.asp?taxnode_id=20160167","ICTVonline=20160167")</f>
        <v>ICTVonline=20160167</v>
      </c>
    </row>
    <row r="341" spans="1:14" x14ac:dyDescent="0.15">
      <c r="A341" s="3">
        <v>340</v>
      </c>
      <c r="B341" s="1" t="s">
        <v>1366</v>
      </c>
      <c r="C341" s="1" t="s">
        <v>1367</v>
      </c>
      <c r="E341" s="1" t="s">
        <v>3460</v>
      </c>
      <c r="F341" s="1" t="s">
        <v>3461</v>
      </c>
      <c r="G341" s="3">
        <v>1</v>
      </c>
      <c r="H341" s="20" t="s">
        <v>6549</v>
      </c>
      <c r="I341" s="20" t="s">
        <v>3462</v>
      </c>
      <c r="J341" s="20" t="s">
        <v>2860</v>
      </c>
      <c r="K341" s="20" t="s">
        <v>10013</v>
      </c>
      <c r="L341" s="3">
        <v>30</v>
      </c>
      <c r="M341" s="3" t="s">
        <v>10030</v>
      </c>
      <c r="N341" s="3" t="str">
        <f>HYPERLINK("http://ictvonline.org/taxonomyHistory.asp?taxnode_id=20160169","ICTVonline=20160169")</f>
        <v>ICTVonline=20160169</v>
      </c>
    </row>
    <row r="342" spans="1:14" x14ac:dyDescent="0.15">
      <c r="A342" s="3">
        <v>341</v>
      </c>
      <c r="B342" s="1" t="s">
        <v>1366</v>
      </c>
      <c r="C342" s="1" t="s">
        <v>1367</v>
      </c>
      <c r="E342" s="1" t="s">
        <v>3460</v>
      </c>
      <c r="F342" s="1" t="s">
        <v>3463</v>
      </c>
      <c r="G342" s="3">
        <v>0</v>
      </c>
      <c r="H342" s="20" t="s">
        <v>6550</v>
      </c>
      <c r="I342" s="20" t="s">
        <v>3464</v>
      </c>
      <c r="J342" s="20" t="s">
        <v>2860</v>
      </c>
      <c r="K342" s="20" t="s">
        <v>10013</v>
      </c>
      <c r="L342" s="3">
        <v>30</v>
      </c>
      <c r="M342" s="3" t="s">
        <v>10030</v>
      </c>
      <c r="N342" s="3" t="str">
        <f>HYPERLINK("http://ictvonline.org/taxonomyHistory.asp?taxnode_id=20160170","ICTVonline=20160170")</f>
        <v>ICTVonline=20160170</v>
      </c>
    </row>
    <row r="343" spans="1:14" x14ac:dyDescent="0.15">
      <c r="A343" s="3">
        <v>342</v>
      </c>
      <c r="B343" s="1" t="s">
        <v>1366</v>
      </c>
      <c r="C343" s="1" t="s">
        <v>1367</v>
      </c>
      <c r="E343" s="1" t="s">
        <v>3460</v>
      </c>
      <c r="F343" s="1" t="s">
        <v>3465</v>
      </c>
      <c r="G343" s="3">
        <v>0</v>
      </c>
      <c r="H343" s="20" t="s">
        <v>6551</v>
      </c>
      <c r="I343" s="20" t="s">
        <v>3466</v>
      </c>
      <c r="J343" s="20" t="s">
        <v>2860</v>
      </c>
      <c r="K343" s="20" t="s">
        <v>10013</v>
      </c>
      <c r="L343" s="3">
        <v>30</v>
      </c>
      <c r="M343" s="3" t="s">
        <v>10030</v>
      </c>
      <c r="N343" s="3" t="str">
        <f>HYPERLINK("http://ictvonline.org/taxonomyHistory.asp?taxnode_id=20160171","ICTVonline=20160171")</f>
        <v>ICTVonline=20160171</v>
      </c>
    </row>
    <row r="344" spans="1:14" x14ac:dyDescent="0.15">
      <c r="A344" s="3">
        <v>343</v>
      </c>
      <c r="B344" s="1" t="s">
        <v>1366</v>
      </c>
      <c r="C344" s="1" t="s">
        <v>1367</v>
      </c>
      <c r="E344" s="1" t="s">
        <v>3467</v>
      </c>
      <c r="F344" s="1" t="s">
        <v>3468</v>
      </c>
      <c r="G344" s="3">
        <v>1</v>
      </c>
      <c r="H344" s="20" t="s">
        <v>6552</v>
      </c>
      <c r="I344" s="20" t="s">
        <v>3469</v>
      </c>
      <c r="J344" s="20" t="s">
        <v>2860</v>
      </c>
      <c r="K344" s="20" t="s">
        <v>10013</v>
      </c>
      <c r="L344" s="3">
        <v>30</v>
      </c>
      <c r="M344" s="3" t="s">
        <v>10031</v>
      </c>
      <c r="N344" s="3" t="str">
        <f>HYPERLINK("http://ictvonline.org/taxonomyHistory.asp?taxnode_id=20160173","ICTVonline=20160173")</f>
        <v>ICTVonline=20160173</v>
      </c>
    </row>
    <row r="345" spans="1:14" x14ac:dyDescent="0.15">
      <c r="A345" s="3">
        <v>344</v>
      </c>
      <c r="B345" s="1" t="s">
        <v>1366</v>
      </c>
      <c r="C345" s="1" t="s">
        <v>1367</v>
      </c>
      <c r="E345" s="1" t="s">
        <v>3467</v>
      </c>
      <c r="F345" s="1" t="s">
        <v>3470</v>
      </c>
      <c r="G345" s="3">
        <v>0</v>
      </c>
      <c r="H345" s="20" t="s">
        <v>6553</v>
      </c>
      <c r="I345" s="20" t="s">
        <v>3471</v>
      </c>
      <c r="J345" s="20" t="s">
        <v>2860</v>
      </c>
      <c r="K345" s="20" t="s">
        <v>10013</v>
      </c>
      <c r="L345" s="3">
        <v>30</v>
      </c>
      <c r="M345" s="3" t="s">
        <v>10031</v>
      </c>
      <c r="N345" s="3" t="str">
        <f>HYPERLINK("http://ictvonline.org/taxonomyHistory.asp?taxnode_id=20160174","ICTVonline=20160174")</f>
        <v>ICTVonline=20160174</v>
      </c>
    </row>
    <row r="346" spans="1:14" x14ac:dyDescent="0.15">
      <c r="A346" s="3">
        <v>345</v>
      </c>
      <c r="B346" s="1" t="s">
        <v>1366</v>
      </c>
      <c r="C346" s="1" t="s">
        <v>1367</v>
      </c>
      <c r="E346" s="1" t="s">
        <v>7464</v>
      </c>
      <c r="F346" s="1" t="s">
        <v>3546</v>
      </c>
      <c r="G346" s="3">
        <v>1</v>
      </c>
      <c r="H346" s="20" t="s">
        <v>7465</v>
      </c>
      <c r="I346" s="20" t="s">
        <v>7466</v>
      </c>
      <c r="J346" s="20" t="s">
        <v>2860</v>
      </c>
      <c r="K346" s="20" t="s">
        <v>10016</v>
      </c>
      <c r="L346" s="3">
        <v>31</v>
      </c>
      <c r="M346" s="3" t="s">
        <v>7467</v>
      </c>
      <c r="N346" s="3" t="str">
        <f>HYPERLINK("http://ictvonline.org/taxonomyHistory.asp?taxnode_id=20160225","ICTVonline=20160225")</f>
        <v>ICTVonline=20160225</v>
      </c>
    </row>
    <row r="347" spans="1:14" x14ac:dyDescent="0.15">
      <c r="A347" s="3">
        <v>346</v>
      </c>
      <c r="B347" s="1" t="s">
        <v>1366</v>
      </c>
      <c r="C347" s="1" t="s">
        <v>1367</v>
      </c>
      <c r="E347" s="1" t="s">
        <v>3490</v>
      </c>
      <c r="F347" s="1" t="s">
        <v>3491</v>
      </c>
      <c r="G347" s="3">
        <v>1</v>
      </c>
      <c r="J347" s="20" t="s">
        <v>2860</v>
      </c>
      <c r="K347" s="20" t="s">
        <v>10014</v>
      </c>
      <c r="L347" s="3">
        <v>30</v>
      </c>
      <c r="M347" s="3" t="s">
        <v>10017</v>
      </c>
      <c r="N347" s="3" t="str">
        <f>HYPERLINK("http://ictvonline.org/taxonomyHistory.asp?taxnode_id=20160187","ICTVonline=20160187")</f>
        <v>ICTVonline=20160187</v>
      </c>
    </row>
    <row r="348" spans="1:14" x14ac:dyDescent="0.15">
      <c r="A348" s="3">
        <v>347</v>
      </c>
      <c r="B348" s="1" t="s">
        <v>1366</v>
      </c>
      <c r="C348" s="1" t="s">
        <v>1367</v>
      </c>
      <c r="E348" s="1" t="s">
        <v>3490</v>
      </c>
      <c r="F348" s="1" t="s">
        <v>3492</v>
      </c>
      <c r="G348" s="3">
        <v>0</v>
      </c>
      <c r="J348" s="20" t="s">
        <v>2860</v>
      </c>
      <c r="K348" s="20" t="s">
        <v>10014</v>
      </c>
      <c r="L348" s="3">
        <v>30</v>
      </c>
      <c r="M348" s="3" t="s">
        <v>10017</v>
      </c>
      <c r="N348" s="3" t="str">
        <f>HYPERLINK("http://ictvonline.org/taxonomyHistory.asp?taxnode_id=20160188","ICTVonline=20160188")</f>
        <v>ICTVonline=20160188</v>
      </c>
    </row>
    <row r="349" spans="1:14" x14ac:dyDescent="0.15">
      <c r="A349" s="3">
        <v>348</v>
      </c>
      <c r="B349" s="1" t="s">
        <v>1366</v>
      </c>
      <c r="C349" s="1" t="s">
        <v>1367</v>
      </c>
      <c r="E349" s="1" t="s">
        <v>7886</v>
      </c>
      <c r="F349" s="1" t="s">
        <v>7887</v>
      </c>
      <c r="G349" s="3">
        <v>1</v>
      </c>
      <c r="H349" s="20" t="s">
        <v>7888</v>
      </c>
      <c r="I349" s="20" t="s">
        <v>7889</v>
      </c>
      <c r="J349" s="20" t="s">
        <v>2860</v>
      </c>
      <c r="K349" s="20" t="s">
        <v>10013</v>
      </c>
      <c r="L349" s="3">
        <v>31</v>
      </c>
      <c r="M349" s="3" t="s">
        <v>7890</v>
      </c>
      <c r="N349" s="3" t="str">
        <f>HYPERLINK("http://ictvonline.org/taxonomyHistory.asp?taxnode_id=20164864","ICTVonline=20164864")</f>
        <v>ICTVonline=20164864</v>
      </c>
    </row>
    <row r="350" spans="1:14" x14ac:dyDescent="0.15">
      <c r="A350" s="3">
        <v>349</v>
      </c>
      <c r="B350" s="1" t="s">
        <v>1366</v>
      </c>
      <c r="C350" s="1" t="s">
        <v>1367</v>
      </c>
      <c r="E350" s="1" t="s">
        <v>7886</v>
      </c>
      <c r="F350" s="1" t="s">
        <v>7891</v>
      </c>
      <c r="G350" s="3">
        <v>0</v>
      </c>
      <c r="H350" s="20" t="s">
        <v>7892</v>
      </c>
      <c r="I350" s="20" t="s">
        <v>7893</v>
      </c>
      <c r="J350" s="20" t="s">
        <v>2860</v>
      </c>
      <c r="K350" s="20" t="s">
        <v>10013</v>
      </c>
      <c r="L350" s="3">
        <v>31</v>
      </c>
      <c r="M350" s="3" t="s">
        <v>7890</v>
      </c>
      <c r="N350" s="3" t="str">
        <f>HYPERLINK("http://ictvonline.org/taxonomyHistory.asp?taxnode_id=20164865","ICTVonline=20164865")</f>
        <v>ICTVonline=20164865</v>
      </c>
    </row>
    <row r="351" spans="1:14" x14ac:dyDescent="0.15">
      <c r="A351" s="3">
        <v>350</v>
      </c>
      <c r="B351" s="1" t="s">
        <v>1366</v>
      </c>
      <c r="C351" s="1" t="s">
        <v>1367</v>
      </c>
      <c r="E351" s="1" t="s">
        <v>3493</v>
      </c>
      <c r="F351" s="1" t="s">
        <v>3494</v>
      </c>
      <c r="G351" s="3">
        <v>0</v>
      </c>
      <c r="H351" s="20" t="s">
        <v>6561</v>
      </c>
      <c r="I351" s="20" t="s">
        <v>3495</v>
      </c>
      <c r="J351" s="20" t="s">
        <v>2860</v>
      </c>
      <c r="K351" s="20" t="s">
        <v>10013</v>
      </c>
      <c r="L351" s="3">
        <v>30</v>
      </c>
      <c r="M351" s="3" t="s">
        <v>10032</v>
      </c>
      <c r="N351" s="3" t="str">
        <f>HYPERLINK("http://ictvonline.org/taxonomyHistory.asp?taxnode_id=20160190","ICTVonline=20160190")</f>
        <v>ICTVonline=20160190</v>
      </c>
    </row>
    <row r="352" spans="1:14" x14ac:dyDescent="0.15">
      <c r="A352" s="3">
        <v>351</v>
      </c>
      <c r="B352" s="1" t="s">
        <v>1366</v>
      </c>
      <c r="C352" s="1" t="s">
        <v>1367</v>
      </c>
      <c r="E352" s="1" t="s">
        <v>3493</v>
      </c>
      <c r="F352" s="1" t="s">
        <v>3496</v>
      </c>
      <c r="G352" s="3">
        <v>1</v>
      </c>
      <c r="H352" s="20" t="s">
        <v>6562</v>
      </c>
      <c r="I352" s="20" t="s">
        <v>3497</v>
      </c>
      <c r="J352" s="20" t="s">
        <v>2860</v>
      </c>
      <c r="K352" s="20" t="s">
        <v>10013</v>
      </c>
      <c r="L352" s="3">
        <v>30</v>
      </c>
      <c r="M352" s="3" t="s">
        <v>10032</v>
      </c>
      <c r="N352" s="3" t="str">
        <f>HYPERLINK("http://ictvonline.org/taxonomyHistory.asp?taxnode_id=20160191","ICTVonline=20160191")</f>
        <v>ICTVonline=20160191</v>
      </c>
    </row>
    <row r="353" spans="1:14" x14ac:dyDescent="0.15">
      <c r="A353" s="3">
        <v>352</v>
      </c>
      <c r="B353" s="1" t="s">
        <v>1366</v>
      </c>
      <c r="C353" s="1" t="s">
        <v>1367</v>
      </c>
      <c r="E353" s="1" t="s">
        <v>3493</v>
      </c>
      <c r="F353" s="1" t="s">
        <v>3498</v>
      </c>
      <c r="G353" s="3">
        <v>0</v>
      </c>
      <c r="H353" s="20" t="s">
        <v>6563</v>
      </c>
      <c r="I353" s="20" t="s">
        <v>3499</v>
      </c>
      <c r="J353" s="20" t="s">
        <v>2860</v>
      </c>
      <c r="K353" s="20" t="s">
        <v>10013</v>
      </c>
      <c r="L353" s="3">
        <v>30</v>
      </c>
      <c r="M353" s="3" t="s">
        <v>10032</v>
      </c>
      <c r="N353" s="3" t="str">
        <f>HYPERLINK("http://ictvonline.org/taxonomyHistory.asp?taxnode_id=20160192","ICTVonline=20160192")</f>
        <v>ICTVonline=20160192</v>
      </c>
    </row>
    <row r="354" spans="1:14" x14ac:dyDescent="0.15">
      <c r="A354" s="3">
        <v>353</v>
      </c>
      <c r="B354" s="1" t="s">
        <v>1366</v>
      </c>
      <c r="C354" s="1" t="s">
        <v>1367</v>
      </c>
      <c r="E354" s="1" t="s">
        <v>7894</v>
      </c>
      <c r="F354" s="1" t="s">
        <v>7895</v>
      </c>
      <c r="G354" s="3">
        <v>0</v>
      </c>
      <c r="H354" s="20" t="s">
        <v>7896</v>
      </c>
      <c r="I354" s="20" t="s">
        <v>7897</v>
      </c>
      <c r="J354" s="20" t="s">
        <v>2860</v>
      </c>
      <c r="K354" s="20" t="s">
        <v>10013</v>
      </c>
      <c r="L354" s="3">
        <v>31</v>
      </c>
      <c r="M354" s="3" t="s">
        <v>7898</v>
      </c>
      <c r="N354" s="3" t="str">
        <f>HYPERLINK("http://ictvonline.org/taxonomyHistory.asp?taxnode_id=20164867","ICTVonline=20164867")</f>
        <v>ICTVonline=20164867</v>
      </c>
    </row>
    <row r="355" spans="1:14" x14ac:dyDescent="0.15">
      <c r="A355" s="3">
        <v>354</v>
      </c>
      <c r="B355" s="1" t="s">
        <v>1366</v>
      </c>
      <c r="C355" s="1" t="s">
        <v>1367</v>
      </c>
      <c r="E355" s="1" t="s">
        <v>7894</v>
      </c>
      <c r="F355" s="1" t="s">
        <v>7899</v>
      </c>
      <c r="G355" s="3">
        <v>1</v>
      </c>
      <c r="H355" s="20" t="s">
        <v>7900</v>
      </c>
      <c r="I355" s="20" t="s">
        <v>7901</v>
      </c>
      <c r="J355" s="20" t="s">
        <v>2860</v>
      </c>
      <c r="K355" s="20" t="s">
        <v>10013</v>
      </c>
      <c r="L355" s="3">
        <v>31</v>
      </c>
      <c r="M355" s="3" t="s">
        <v>7898</v>
      </c>
      <c r="N355" s="3" t="str">
        <f>HYPERLINK("http://ictvonline.org/taxonomyHistory.asp?taxnode_id=20164866","ICTVonline=20164866")</f>
        <v>ICTVonline=20164866</v>
      </c>
    </row>
    <row r="356" spans="1:14" x14ac:dyDescent="0.15">
      <c r="A356" s="3">
        <v>355</v>
      </c>
      <c r="B356" s="1" t="s">
        <v>1366</v>
      </c>
      <c r="C356" s="1" t="s">
        <v>1367</v>
      </c>
      <c r="E356" s="1" t="s">
        <v>7894</v>
      </c>
      <c r="F356" s="1" t="s">
        <v>7902</v>
      </c>
      <c r="G356" s="3">
        <v>0</v>
      </c>
      <c r="H356" s="20" t="s">
        <v>7903</v>
      </c>
      <c r="I356" s="20" t="s">
        <v>7904</v>
      </c>
      <c r="J356" s="20" t="s">
        <v>2860</v>
      </c>
      <c r="K356" s="20" t="s">
        <v>10013</v>
      </c>
      <c r="L356" s="3">
        <v>31</v>
      </c>
      <c r="M356" s="3" t="s">
        <v>7898</v>
      </c>
      <c r="N356" s="3" t="str">
        <f>HYPERLINK("http://ictvonline.org/taxonomyHistory.asp?taxnode_id=20164868","ICTVonline=20164868")</f>
        <v>ICTVonline=20164868</v>
      </c>
    </row>
    <row r="357" spans="1:14" x14ac:dyDescent="0.15">
      <c r="A357" s="3">
        <v>356</v>
      </c>
      <c r="B357" s="1" t="s">
        <v>1366</v>
      </c>
      <c r="C357" s="1" t="s">
        <v>1367</v>
      </c>
      <c r="E357" s="1" t="s">
        <v>7905</v>
      </c>
      <c r="F357" s="1" t="s">
        <v>7906</v>
      </c>
      <c r="G357" s="3">
        <v>0</v>
      </c>
      <c r="H357" s="20" t="s">
        <v>7907</v>
      </c>
      <c r="I357" s="20" t="s">
        <v>7908</v>
      </c>
      <c r="J357" s="20" t="s">
        <v>2860</v>
      </c>
      <c r="K357" s="20" t="s">
        <v>10013</v>
      </c>
      <c r="L357" s="3">
        <v>31</v>
      </c>
      <c r="M357" s="3" t="s">
        <v>7909</v>
      </c>
      <c r="N357" s="3" t="str">
        <f>HYPERLINK("http://ictvonline.org/taxonomyHistory.asp?taxnode_id=20164869","ICTVonline=20164869")</f>
        <v>ICTVonline=20164869</v>
      </c>
    </row>
    <row r="358" spans="1:14" x14ac:dyDescent="0.15">
      <c r="A358" s="3">
        <v>357</v>
      </c>
      <c r="B358" s="1" t="s">
        <v>1366</v>
      </c>
      <c r="C358" s="1" t="s">
        <v>1367</v>
      </c>
      <c r="E358" s="1" t="s">
        <v>7905</v>
      </c>
      <c r="F358" s="1" t="s">
        <v>7910</v>
      </c>
      <c r="G358" s="3">
        <v>0</v>
      </c>
      <c r="H358" s="20" t="s">
        <v>7911</v>
      </c>
      <c r="I358" s="20" t="s">
        <v>7912</v>
      </c>
      <c r="J358" s="20" t="s">
        <v>2860</v>
      </c>
      <c r="K358" s="20" t="s">
        <v>10013</v>
      </c>
      <c r="L358" s="3">
        <v>31</v>
      </c>
      <c r="M358" s="3" t="s">
        <v>7909</v>
      </c>
      <c r="N358" s="3" t="str">
        <f>HYPERLINK("http://ictvonline.org/taxonomyHistory.asp?taxnode_id=20164870","ICTVonline=20164870")</f>
        <v>ICTVonline=20164870</v>
      </c>
    </row>
    <row r="359" spans="1:14" x14ac:dyDescent="0.15">
      <c r="A359" s="3">
        <v>358</v>
      </c>
      <c r="B359" s="1" t="s">
        <v>1366</v>
      </c>
      <c r="C359" s="1" t="s">
        <v>1367</v>
      </c>
      <c r="E359" s="1" t="s">
        <v>7905</v>
      </c>
      <c r="F359" s="1" t="s">
        <v>7913</v>
      </c>
      <c r="G359" s="3">
        <v>1</v>
      </c>
      <c r="H359" s="20" t="s">
        <v>7914</v>
      </c>
      <c r="I359" s="20" t="s">
        <v>7915</v>
      </c>
      <c r="J359" s="20" t="s">
        <v>2860</v>
      </c>
      <c r="K359" s="20" t="s">
        <v>10013</v>
      </c>
      <c r="L359" s="3">
        <v>31</v>
      </c>
      <c r="M359" s="3" t="s">
        <v>7909</v>
      </c>
      <c r="N359" s="3" t="str">
        <f>HYPERLINK("http://ictvonline.org/taxonomyHistory.asp?taxnode_id=20164871","ICTVonline=20164871")</f>
        <v>ICTVonline=20164871</v>
      </c>
    </row>
    <row r="360" spans="1:14" x14ac:dyDescent="0.15">
      <c r="A360" s="3">
        <v>359</v>
      </c>
      <c r="B360" s="1" t="s">
        <v>1366</v>
      </c>
      <c r="C360" s="1" t="s">
        <v>1367</v>
      </c>
      <c r="E360" s="1" t="s">
        <v>7905</v>
      </c>
      <c r="F360" s="1" t="s">
        <v>7916</v>
      </c>
      <c r="G360" s="3">
        <v>0</v>
      </c>
      <c r="H360" s="20" t="s">
        <v>7917</v>
      </c>
      <c r="I360" s="20" t="s">
        <v>7918</v>
      </c>
      <c r="J360" s="20" t="s">
        <v>2860</v>
      </c>
      <c r="K360" s="20" t="s">
        <v>10013</v>
      </c>
      <c r="L360" s="3">
        <v>31</v>
      </c>
      <c r="M360" s="3" t="s">
        <v>7909</v>
      </c>
      <c r="N360" s="3" t="str">
        <f>HYPERLINK("http://ictvonline.org/taxonomyHistory.asp?taxnode_id=20164872","ICTVonline=20164872")</f>
        <v>ICTVonline=20164872</v>
      </c>
    </row>
    <row r="361" spans="1:14" x14ac:dyDescent="0.15">
      <c r="A361" s="3">
        <v>360</v>
      </c>
      <c r="B361" s="1" t="s">
        <v>1366</v>
      </c>
      <c r="C361" s="1" t="s">
        <v>1367</v>
      </c>
      <c r="E361" s="1" t="s">
        <v>7919</v>
      </c>
      <c r="F361" s="1" t="s">
        <v>7920</v>
      </c>
      <c r="G361" s="3">
        <v>1</v>
      </c>
      <c r="H361" s="20" t="s">
        <v>7921</v>
      </c>
      <c r="I361" s="20" t="s">
        <v>7922</v>
      </c>
      <c r="J361" s="20" t="s">
        <v>2860</v>
      </c>
      <c r="K361" s="20" t="s">
        <v>10013</v>
      </c>
      <c r="L361" s="3">
        <v>31</v>
      </c>
      <c r="M361" s="3" t="s">
        <v>7923</v>
      </c>
      <c r="N361" s="3" t="str">
        <f>HYPERLINK("http://ictvonline.org/taxonomyHistory.asp?taxnode_id=20164873","ICTVonline=20164873")</f>
        <v>ICTVonline=20164873</v>
      </c>
    </row>
    <row r="362" spans="1:14" x14ac:dyDescent="0.15">
      <c r="A362" s="3">
        <v>361</v>
      </c>
      <c r="B362" s="1" t="s">
        <v>1366</v>
      </c>
      <c r="C362" s="1" t="s">
        <v>1367</v>
      </c>
      <c r="E362" s="1" t="s">
        <v>7919</v>
      </c>
      <c r="F362" s="1" t="s">
        <v>7924</v>
      </c>
      <c r="G362" s="3">
        <v>0</v>
      </c>
      <c r="H362" s="20" t="s">
        <v>7925</v>
      </c>
      <c r="I362" s="20" t="s">
        <v>7926</v>
      </c>
      <c r="J362" s="20" t="s">
        <v>2860</v>
      </c>
      <c r="K362" s="20" t="s">
        <v>10013</v>
      </c>
      <c r="L362" s="3">
        <v>31</v>
      </c>
      <c r="M362" s="3" t="s">
        <v>7923</v>
      </c>
      <c r="N362" s="3" t="str">
        <f>HYPERLINK("http://ictvonline.org/taxonomyHistory.asp?taxnode_id=20164874","ICTVonline=20164874")</f>
        <v>ICTVonline=20164874</v>
      </c>
    </row>
    <row r="363" spans="1:14" x14ac:dyDescent="0.15">
      <c r="A363" s="3">
        <v>362</v>
      </c>
      <c r="B363" s="1" t="s">
        <v>1366</v>
      </c>
      <c r="C363" s="1" t="s">
        <v>1367</v>
      </c>
      <c r="E363" s="1" t="s">
        <v>3500</v>
      </c>
      <c r="F363" s="1" t="s">
        <v>3501</v>
      </c>
      <c r="G363" s="3">
        <v>1</v>
      </c>
      <c r="J363" s="20" t="s">
        <v>2860</v>
      </c>
      <c r="K363" s="20" t="s">
        <v>10014</v>
      </c>
      <c r="L363" s="3">
        <v>30</v>
      </c>
      <c r="M363" s="3" t="s">
        <v>10017</v>
      </c>
      <c r="N363" s="3" t="str">
        <f>HYPERLINK("http://ictvonline.org/taxonomyHistory.asp?taxnode_id=20160194","ICTVonline=20160194")</f>
        <v>ICTVonline=20160194</v>
      </c>
    </row>
    <row r="364" spans="1:14" x14ac:dyDescent="0.15">
      <c r="A364" s="3">
        <v>363</v>
      </c>
      <c r="B364" s="1" t="s">
        <v>1366</v>
      </c>
      <c r="C364" s="1" t="s">
        <v>1367</v>
      </c>
      <c r="E364" s="1" t="s">
        <v>3500</v>
      </c>
      <c r="F364" s="1" t="s">
        <v>7927</v>
      </c>
      <c r="G364" s="3">
        <v>0</v>
      </c>
      <c r="H364" s="20" t="s">
        <v>7928</v>
      </c>
      <c r="I364" s="20" t="s">
        <v>7929</v>
      </c>
      <c r="J364" s="20" t="s">
        <v>2860</v>
      </c>
      <c r="K364" s="20" t="s">
        <v>10013</v>
      </c>
      <c r="L364" s="3">
        <v>31</v>
      </c>
      <c r="M364" s="3" t="s">
        <v>7480</v>
      </c>
      <c r="N364" s="3" t="str">
        <f>HYPERLINK("http://ictvonline.org/taxonomyHistory.asp?taxnode_id=20164875","ICTVonline=20164875")</f>
        <v>ICTVonline=20164875</v>
      </c>
    </row>
    <row r="365" spans="1:14" x14ac:dyDescent="0.15">
      <c r="A365" s="3">
        <v>364</v>
      </c>
      <c r="B365" s="1" t="s">
        <v>1366</v>
      </c>
      <c r="C365" s="1" t="s">
        <v>1367</v>
      </c>
      <c r="E365" s="1" t="s">
        <v>3502</v>
      </c>
      <c r="F365" s="1" t="s">
        <v>3503</v>
      </c>
      <c r="G365" s="3">
        <v>1</v>
      </c>
      <c r="J365" s="20" t="s">
        <v>2860</v>
      </c>
      <c r="K365" s="20" t="s">
        <v>10014</v>
      </c>
      <c r="L365" s="3">
        <v>30</v>
      </c>
      <c r="M365" s="3" t="s">
        <v>10017</v>
      </c>
      <c r="N365" s="3" t="str">
        <f>HYPERLINK("http://ictvonline.org/taxonomyHistory.asp?taxnode_id=20160196","ICTVonline=20160196")</f>
        <v>ICTVonline=20160196</v>
      </c>
    </row>
    <row r="366" spans="1:14" x14ac:dyDescent="0.15">
      <c r="A366" s="3">
        <v>365</v>
      </c>
      <c r="B366" s="1" t="s">
        <v>1366</v>
      </c>
      <c r="C366" s="1" t="s">
        <v>1367</v>
      </c>
      <c r="E366" s="1" t="s">
        <v>3504</v>
      </c>
      <c r="F366" s="1" t="s">
        <v>3505</v>
      </c>
      <c r="G366" s="3">
        <v>0</v>
      </c>
      <c r="H366" s="20" t="s">
        <v>6564</v>
      </c>
      <c r="I366" s="20" t="s">
        <v>3506</v>
      </c>
      <c r="J366" s="20" t="s">
        <v>2860</v>
      </c>
      <c r="K366" s="20" t="s">
        <v>10013</v>
      </c>
      <c r="L366" s="3">
        <v>30</v>
      </c>
      <c r="M366" s="3" t="s">
        <v>10033</v>
      </c>
      <c r="N366" s="3" t="str">
        <f>HYPERLINK("http://ictvonline.org/taxonomyHistory.asp?taxnode_id=20160198","ICTVonline=20160198")</f>
        <v>ICTVonline=20160198</v>
      </c>
    </row>
    <row r="367" spans="1:14" x14ac:dyDescent="0.15">
      <c r="A367" s="3">
        <v>366</v>
      </c>
      <c r="B367" s="1" t="s">
        <v>1366</v>
      </c>
      <c r="C367" s="1" t="s">
        <v>1367</v>
      </c>
      <c r="E367" s="1" t="s">
        <v>3504</v>
      </c>
      <c r="F367" s="1" t="s">
        <v>3507</v>
      </c>
      <c r="G367" s="3">
        <v>1</v>
      </c>
      <c r="H367" s="20" t="s">
        <v>6565</v>
      </c>
      <c r="I367" s="20" t="s">
        <v>3508</v>
      </c>
      <c r="J367" s="20" t="s">
        <v>2860</v>
      </c>
      <c r="K367" s="20" t="s">
        <v>10013</v>
      </c>
      <c r="L367" s="3">
        <v>30</v>
      </c>
      <c r="M367" s="3" t="s">
        <v>10033</v>
      </c>
      <c r="N367" s="3" t="str">
        <f>HYPERLINK("http://ictvonline.org/taxonomyHistory.asp?taxnode_id=20160199","ICTVonline=20160199")</f>
        <v>ICTVonline=20160199</v>
      </c>
    </row>
    <row r="368" spans="1:14" x14ac:dyDescent="0.15">
      <c r="A368" s="3">
        <v>367</v>
      </c>
      <c r="B368" s="1" t="s">
        <v>1366</v>
      </c>
      <c r="C368" s="1" t="s">
        <v>1367</v>
      </c>
      <c r="E368" s="1" t="s">
        <v>3504</v>
      </c>
      <c r="F368" s="1" t="s">
        <v>3509</v>
      </c>
      <c r="G368" s="3">
        <v>0</v>
      </c>
      <c r="H368" s="20" t="s">
        <v>6566</v>
      </c>
      <c r="I368" s="20" t="s">
        <v>3510</v>
      </c>
      <c r="J368" s="20" t="s">
        <v>2860</v>
      </c>
      <c r="K368" s="20" t="s">
        <v>10013</v>
      </c>
      <c r="L368" s="3">
        <v>30</v>
      </c>
      <c r="M368" s="3" t="s">
        <v>10033</v>
      </c>
      <c r="N368" s="3" t="str">
        <f>HYPERLINK("http://ictvonline.org/taxonomyHistory.asp?taxnode_id=20160200","ICTVonline=20160200")</f>
        <v>ICTVonline=20160200</v>
      </c>
    </row>
    <row r="369" spans="1:14" x14ac:dyDescent="0.15">
      <c r="A369" s="3">
        <v>368</v>
      </c>
      <c r="B369" s="1" t="s">
        <v>1366</v>
      </c>
      <c r="C369" s="1" t="s">
        <v>1367</v>
      </c>
      <c r="E369" s="1" t="s">
        <v>3511</v>
      </c>
      <c r="F369" s="1" t="s">
        <v>3512</v>
      </c>
      <c r="G369" s="3">
        <v>0</v>
      </c>
      <c r="J369" s="20" t="s">
        <v>2860</v>
      </c>
      <c r="K369" s="20" t="s">
        <v>10014</v>
      </c>
      <c r="L369" s="3">
        <v>30</v>
      </c>
      <c r="M369" s="3" t="s">
        <v>10017</v>
      </c>
      <c r="N369" s="3" t="str">
        <f>HYPERLINK("http://ictvonline.org/taxonomyHistory.asp?taxnode_id=20160202","ICTVonline=20160202")</f>
        <v>ICTVonline=20160202</v>
      </c>
    </row>
    <row r="370" spans="1:14" x14ac:dyDescent="0.15">
      <c r="A370" s="3">
        <v>369</v>
      </c>
      <c r="B370" s="1" t="s">
        <v>1366</v>
      </c>
      <c r="C370" s="1" t="s">
        <v>1367</v>
      </c>
      <c r="E370" s="1" t="s">
        <v>3511</v>
      </c>
      <c r="F370" s="1" t="s">
        <v>3513</v>
      </c>
      <c r="G370" s="3">
        <v>1</v>
      </c>
      <c r="J370" s="20" t="s">
        <v>2860</v>
      </c>
      <c r="K370" s="20" t="s">
        <v>10014</v>
      </c>
      <c r="L370" s="3">
        <v>30</v>
      </c>
      <c r="M370" s="3" t="s">
        <v>10017</v>
      </c>
      <c r="N370" s="3" t="str">
        <f>HYPERLINK("http://ictvonline.org/taxonomyHistory.asp?taxnode_id=20160203","ICTVonline=20160203")</f>
        <v>ICTVonline=20160203</v>
      </c>
    </row>
    <row r="371" spans="1:14" x14ac:dyDescent="0.15">
      <c r="A371" s="3">
        <v>370</v>
      </c>
      <c r="B371" s="1" t="s">
        <v>1366</v>
      </c>
      <c r="C371" s="1" t="s">
        <v>1367</v>
      </c>
      <c r="E371" s="1" t="s">
        <v>3514</v>
      </c>
      <c r="F371" s="1" t="s">
        <v>3515</v>
      </c>
      <c r="G371" s="3">
        <v>0</v>
      </c>
      <c r="H371" s="20" t="s">
        <v>6567</v>
      </c>
      <c r="I371" s="20" t="s">
        <v>3516</v>
      </c>
      <c r="J371" s="20" t="s">
        <v>2860</v>
      </c>
      <c r="K371" s="20" t="s">
        <v>10013</v>
      </c>
      <c r="L371" s="3">
        <v>30</v>
      </c>
      <c r="M371" s="3" t="s">
        <v>10034</v>
      </c>
      <c r="N371" s="3" t="str">
        <f>HYPERLINK("http://ictvonline.org/taxonomyHistory.asp?taxnode_id=20160205","ICTVonline=20160205")</f>
        <v>ICTVonline=20160205</v>
      </c>
    </row>
    <row r="372" spans="1:14" x14ac:dyDescent="0.15">
      <c r="A372" s="3">
        <v>371</v>
      </c>
      <c r="B372" s="1" t="s">
        <v>1366</v>
      </c>
      <c r="C372" s="1" t="s">
        <v>1367</v>
      </c>
      <c r="E372" s="1" t="s">
        <v>3514</v>
      </c>
      <c r="F372" s="1" t="s">
        <v>3517</v>
      </c>
      <c r="G372" s="3">
        <v>0</v>
      </c>
      <c r="H372" s="20" t="s">
        <v>6568</v>
      </c>
      <c r="I372" s="20" t="s">
        <v>3518</v>
      </c>
      <c r="J372" s="20" t="s">
        <v>2860</v>
      </c>
      <c r="K372" s="20" t="s">
        <v>10013</v>
      </c>
      <c r="L372" s="3">
        <v>30</v>
      </c>
      <c r="M372" s="3" t="s">
        <v>10034</v>
      </c>
      <c r="N372" s="3" t="str">
        <f>HYPERLINK("http://ictvonline.org/taxonomyHistory.asp?taxnode_id=20160206","ICTVonline=20160206")</f>
        <v>ICTVonline=20160206</v>
      </c>
    </row>
    <row r="373" spans="1:14" x14ac:dyDescent="0.15">
      <c r="A373" s="3">
        <v>372</v>
      </c>
      <c r="B373" s="1" t="s">
        <v>1366</v>
      </c>
      <c r="C373" s="1" t="s">
        <v>1367</v>
      </c>
      <c r="E373" s="1" t="s">
        <v>3514</v>
      </c>
      <c r="F373" s="1" t="s">
        <v>3519</v>
      </c>
      <c r="G373" s="3">
        <v>0</v>
      </c>
      <c r="H373" s="20" t="s">
        <v>6569</v>
      </c>
      <c r="I373" s="20" t="s">
        <v>3520</v>
      </c>
      <c r="J373" s="20" t="s">
        <v>2860</v>
      </c>
      <c r="K373" s="20" t="s">
        <v>10013</v>
      </c>
      <c r="L373" s="3">
        <v>30</v>
      </c>
      <c r="M373" s="3" t="s">
        <v>10034</v>
      </c>
      <c r="N373" s="3" t="str">
        <f>HYPERLINK("http://ictvonline.org/taxonomyHistory.asp?taxnode_id=20160207","ICTVonline=20160207")</f>
        <v>ICTVonline=20160207</v>
      </c>
    </row>
    <row r="374" spans="1:14" x14ac:dyDescent="0.15">
      <c r="A374" s="3">
        <v>373</v>
      </c>
      <c r="B374" s="1" t="s">
        <v>1366</v>
      </c>
      <c r="C374" s="1" t="s">
        <v>1367</v>
      </c>
      <c r="E374" s="1" t="s">
        <v>3514</v>
      </c>
      <c r="F374" s="1" t="s">
        <v>3521</v>
      </c>
      <c r="G374" s="3">
        <v>1</v>
      </c>
      <c r="H374" s="20" t="s">
        <v>6570</v>
      </c>
      <c r="I374" s="20" t="s">
        <v>3522</v>
      </c>
      <c r="J374" s="20" t="s">
        <v>2860</v>
      </c>
      <c r="K374" s="20" t="s">
        <v>10013</v>
      </c>
      <c r="L374" s="3">
        <v>30</v>
      </c>
      <c r="M374" s="3" t="s">
        <v>10034</v>
      </c>
      <c r="N374" s="3" t="str">
        <f>HYPERLINK("http://ictvonline.org/taxonomyHistory.asp?taxnode_id=20160208","ICTVonline=20160208")</f>
        <v>ICTVonline=20160208</v>
      </c>
    </row>
    <row r="375" spans="1:14" x14ac:dyDescent="0.15">
      <c r="A375" s="3">
        <v>374</v>
      </c>
      <c r="B375" s="1" t="s">
        <v>1366</v>
      </c>
      <c r="C375" s="1" t="s">
        <v>1367</v>
      </c>
      <c r="E375" s="1" t="s">
        <v>3514</v>
      </c>
      <c r="F375" s="1" t="s">
        <v>3523</v>
      </c>
      <c r="G375" s="3">
        <v>0</v>
      </c>
      <c r="H375" s="20" t="s">
        <v>6571</v>
      </c>
      <c r="I375" s="20" t="s">
        <v>3524</v>
      </c>
      <c r="J375" s="20" t="s">
        <v>2860</v>
      </c>
      <c r="K375" s="20" t="s">
        <v>10013</v>
      </c>
      <c r="L375" s="3">
        <v>30</v>
      </c>
      <c r="M375" s="3" t="s">
        <v>10034</v>
      </c>
      <c r="N375" s="3" t="str">
        <f>HYPERLINK("http://ictvonline.org/taxonomyHistory.asp?taxnode_id=20160209","ICTVonline=20160209")</f>
        <v>ICTVonline=20160209</v>
      </c>
    </row>
    <row r="376" spans="1:14" x14ac:dyDescent="0.15">
      <c r="A376" s="3">
        <v>375</v>
      </c>
      <c r="B376" s="1" t="s">
        <v>1366</v>
      </c>
      <c r="C376" s="1" t="s">
        <v>1367</v>
      </c>
      <c r="E376" s="1" t="s">
        <v>3514</v>
      </c>
      <c r="F376" s="1" t="s">
        <v>3525</v>
      </c>
      <c r="G376" s="3">
        <v>0</v>
      </c>
      <c r="H376" s="20" t="s">
        <v>6572</v>
      </c>
      <c r="I376" s="20" t="s">
        <v>3526</v>
      </c>
      <c r="J376" s="20" t="s">
        <v>2860</v>
      </c>
      <c r="K376" s="20" t="s">
        <v>10013</v>
      </c>
      <c r="L376" s="3">
        <v>30</v>
      </c>
      <c r="M376" s="3" t="s">
        <v>10034</v>
      </c>
      <c r="N376" s="3" t="str">
        <f>HYPERLINK("http://ictvonline.org/taxonomyHistory.asp?taxnode_id=20160210","ICTVonline=20160210")</f>
        <v>ICTVonline=20160210</v>
      </c>
    </row>
    <row r="377" spans="1:14" x14ac:dyDescent="0.15">
      <c r="A377" s="3">
        <v>376</v>
      </c>
      <c r="B377" s="1" t="s">
        <v>1366</v>
      </c>
      <c r="C377" s="1" t="s">
        <v>1367</v>
      </c>
      <c r="E377" s="1" t="s">
        <v>3527</v>
      </c>
      <c r="F377" s="1" t="s">
        <v>3528</v>
      </c>
      <c r="G377" s="3">
        <v>0</v>
      </c>
      <c r="J377" s="20" t="s">
        <v>2860</v>
      </c>
      <c r="K377" s="20" t="s">
        <v>10014</v>
      </c>
      <c r="L377" s="3">
        <v>30</v>
      </c>
      <c r="M377" s="3" t="s">
        <v>10017</v>
      </c>
      <c r="N377" s="3" t="str">
        <f>HYPERLINK("http://ictvonline.org/taxonomyHistory.asp?taxnode_id=20160212","ICTVonline=20160212")</f>
        <v>ICTVonline=20160212</v>
      </c>
    </row>
    <row r="378" spans="1:14" x14ac:dyDescent="0.15">
      <c r="A378" s="3">
        <v>377</v>
      </c>
      <c r="B378" s="1" t="s">
        <v>1366</v>
      </c>
      <c r="C378" s="1" t="s">
        <v>1367</v>
      </c>
      <c r="E378" s="1" t="s">
        <v>3527</v>
      </c>
      <c r="F378" s="1" t="s">
        <v>3529</v>
      </c>
      <c r="G378" s="3">
        <v>0</v>
      </c>
      <c r="J378" s="20" t="s">
        <v>2860</v>
      </c>
      <c r="K378" s="20" t="s">
        <v>10014</v>
      </c>
      <c r="L378" s="3">
        <v>30</v>
      </c>
      <c r="M378" s="3" t="s">
        <v>10017</v>
      </c>
      <c r="N378" s="3" t="str">
        <f>HYPERLINK("http://ictvonline.org/taxonomyHistory.asp?taxnode_id=20160213","ICTVonline=20160213")</f>
        <v>ICTVonline=20160213</v>
      </c>
    </row>
    <row r="379" spans="1:14" x14ac:dyDescent="0.15">
      <c r="A379" s="3">
        <v>378</v>
      </c>
      <c r="B379" s="1" t="s">
        <v>1366</v>
      </c>
      <c r="C379" s="1" t="s">
        <v>1367</v>
      </c>
      <c r="E379" s="1" t="s">
        <v>3527</v>
      </c>
      <c r="F379" s="1" t="s">
        <v>3530</v>
      </c>
      <c r="G379" s="3">
        <v>0</v>
      </c>
      <c r="H379" s="20" t="s">
        <v>6573</v>
      </c>
      <c r="I379" s="20" t="s">
        <v>3531</v>
      </c>
      <c r="J379" s="20" t="s">
        <v>2860</v>
      </c>
      <c r="K379" s="20" t="s">
        <v>10013</v>
      </c>
      <c r="L379" s="3">
        <v>30</v>
      </c>
      <c r="M379" s="3" t="s">
        <v>10035</v>
      </c>
      <c r="N379" s="3" t="str">
        <f>HYPERLINK("http://ictvonline.org/taxonomyHistory.asp?taxnode_id=20160214","ICTVonline=20160214")</f>
        <v>ICTVonline=20160214</v>
      </c>
    </row>
    <row r="380" spans="1:14" x14ac:dyDescent="0.15">
      <c r="A380" s="3">
        <v>379</v>
      </c>
      <c r="B380" s="1" t="s">
        <v>1366</v>
      </c>
      <c r="C380" s="1" t="s">
        <v>1367</v>
      </c>
      <c r="E380" s="1" t="s">
        <v>3527</v>
      </c>
      <c r="F380" s="1" t="s">
        <v>3532</v>
      </c>
      <c r="G380" s="3">
        <v>0</v>
      </c>
      <c r="H380" s="20" t="s">
        <v>6574</v>
      </c>
      <c r="I380" s="20" t="s">
        <v>3533</v>
      </c>
      <c r="J380" s="20" t="s">
        <v>2860</v>
      </c>
      <c r="K380" s="20" t="s">
        <v>10013</v>
      </c>
      <c r="L380" s="3">
        <v>30</v>
      </c>
      <c r="M380" s="3" t="s">
        <v>10035</v>
      </c>
      <c r="N380" s="3" t="str">
        <f>HYPERLINK("http://ictvonline.org/taxonomyHistory.asp?taxnode_id=20160215","ICTVonline=20160215")</f>
        <v>ICTVonline=20160215</v>
      </c>
    </row>
    <row r="381" spans="1:14" x14ac:dyDescent="0.15">
      <c r="A381" s="3">
        <v>380</v>
      </c>
      <c r="B381" s="1" t="s">
        <v>1366</v>
      </c>
      <c r="C381" s="1" t="s">
        <v>1367</v>
      </c>
      <c r="E381" s="1" t="s">
        <v>3527</v>
      </c>
      <c r="F381" s="1" t="s">
        <v>3534</v>
      </c>
      <c r="G381" s="3">
        <v>0</v>
      </c>
      <c r="H381" s="20" t="s">
        <v>6575</v>
      </c>
      <c r="I381" s="20" t="s">
        <v>3535</v>
      </c>
      <c r="J381" s="20" t="s">
        <v>2860</v>
      </c>
      <c r="K381" s="20" t="s">
        <v>10013</v>
      </c>
      <c r="L381" s="3">
        <v>30</v>
      </c>
      <c r="M381" s="3" t="s">
        <v>10035</v>
      </c>
      <c r="N381" s="3" t="str">
        <f>HYPERLINK("http://ictvonline.org/taxonomyHistory.asp?taxnode_id=20160216","ICTVonline=20160216")</f>
        <v>ICTVonline=20160216</v>
      </c>
    </row>
    <row r="382" spans="1:14" x14ac:dyDescent="0.15">
      <c r="A382" s="3">
        <v>381</v>
      </c>
      <c r="B382" s="1" t="s">
        <v>1366</v>
      </c>
      <c r="C382" s="1" t="s">
        <v>1367</v>
      </c>
      <c r="E382" s="1" t="s">
        <v>3527</v>
      </c>
      <c r="F382" s="1" t="s">
        <v>3536</v>
      </c>
      <c r="G382" s="3">
        <v>0</v>
      </c>
      <c r="J382" s="20" t="s">
        <v>2860</v>
      </c>
      <c r="K382" s="20" t="s">
        <v>10014</v>
      </c>
      <c r="L382" s="3">
        <v>30</v>
      </c>
      <c r="M382" s="3" t="s">
        <v>10017</v>
      </c>
      <c r="N382" s="3" t="str">
        <f>HYPERLINK("http://ictvonline.org/taxonomyHistory.asp?taxnode_id=20160217","ICTVonline=20160217")</f>
        <v>ICTVonline=20160217</v>
      </c>
    </row>
    <row r="383" spans="1:14" x14ac:dyDescent="0.15">
      <c r="A383" s="3">
        <v>382</v>
      </c>
      <c r="B383" s="1" t="s">
        <v>1366</v>
      </c>
      <c r="C383" s="1" t="s">
        <v>1367</v>
      </c>
      <c r="E383" s="1" t="s">
        <v>3527</v>
      </c>
      <c r="F383" s="1" t="s">
        <v>3537</v>
      </c>
      <c r="G383" s="3">
        <v>0</v>
      </c>
      <c r="H383" s="20" t="s">
        <v>6576</v>
      </c>
      <c r="I383" s="20" t="s">
        <v>3538</v>
      </c>
      <c r="J383" s="20" t="s">
        <v>2860</v>
      </c>
      <c r="K383" s="20" t="s">
        <v>10013</v>
      </c>
      <c r="L383" s="3">
        <v>30</v>
      </c>
      <c r="M383" s="3" t="s">
        <v>10035</v>
      </c>
      <c r="N383" s="3" t="str">
        <f>HYPERLINK("http://ictvonline.org/taxonomyHistory.asp?taxnode_id=20160218","ICTVonline=20160218")</f>
        <v>ICTVonline=20160218</v>
      </c>
    </row>
    <row r="384" spans="1:14" x14ac:dyDescent="0.15">
      <c r="A384" s="3">
        <v>383</v>
      </c>
      <c r="B384" s="1" t="s">
        <v>1366</v>
      </c>
      <c r="C384" s="1" t="s">
        <v>1367</v>
      </c>
      <c r="E384" s="1" t="s">
        <v>3527</v>
      </c>
      <c r="F384" s="1" t="s">
        <v>3539</v>
      </c>
      <c r="G384" s="3">
        <v>0</v>
      </c>
      <c r="H384" s="20" t="s">
        <v>6577</v>
      </c>
      <c r="I384" s="20" t="s">
        <v>3540</v>
      </c>
      <c r="J384" s="20" t="s">
        <v>2860</v>
      </c>
      <c r="K384" s="20" t="s">
        <v>10013</v>
      </c>
      <c r="L384" s="3">
        <v>30</v>
      </c>
      <c r="M384" s="3" t="s">
        <v>10035</v>
      </c>
      <c r="N384" s="3" t="str">
        <f>HYPERLINK("http://ictvonline.org/taxonomyHistory.asp?taxnode_id=20160219","ICTVonline=20160219")</f>
        <v>ICTVonline=20160219</v>
      </c>
    </row>
    <row r="385" spans="1:14" x14ac:dyDescent="0.15">
      <c r="A385" s="3">
        <v>384</v>
      </c>
      <c r="B385" s="1" t="s">
        <v>1366</v>
      </c>
      <c r="C385" s="1" t="s">
        <v>1367</v>
      </c>
      <c r="E385" s="1" t="s">
        <v>3527</v>
      </c>
      <c r="F385" s="1" t="s">
        <v>3541</v>
      </c>
      <c r="G385" s="3">
        <v>0</v>
      </c>
      <c r="J385" s="20" t="s">
        <v>2860</v>
      </c>
      <c r="K385" s="20" t="s">
        <v>10014</v>
      </c>
      <c r="L385" s="3">
        <v>30</v>
      </c>
      <c r="M385" s="3" t="s">
        <v>10017</v>
      </c>
      <c r="N385" s="3" t="str">
        <f>HYPERLINK("http://ictvonline.org/taxonomyHistory.asp?taxnode_id=20160220","ICTVonline=20160220")</f>
        <v>ICTVonline=20160220</v>
      </c>
    </row>
    <row r="386" spans="1:14" x14ac:dyDescent="0.15">
      <c r="A386" s="3">
        <v>385</v>
      </c>
      <c r="B386" s="1" t="s">
        <v>1366</v>
      </c>
      <c r="C386" s="1" t="s">
        <v>1367</v>
      </c>
      <c r="E386" s="1" t="s">
        <v>3527</v>
      </c>
      <c r="F386" s="1" t="s">
        <v>3542</v>
      </c>
      <c r="G386" s="3">
        <v>0</v>
      </c>
      <c r="J386" s="20" t="s">
        <v>2860</v>
      </c>
      <c r="K386" s="20" t="s">
        <v>10014</v>
      </c>
      <c r="L386" s="3">
        <v>30</v>
      </c>
      <c r="M386" s="3" t="s">
        <v>10017</v>
      </c>
      <c r="N386" s="3" t="str">
        <f>HYPERLINK("http://ictvonline.org/taxonomyHistory.asp?taxnode_id=20160221","ICTVonline=20160221")</f>
        <v>ICTVonline=20160221</v>
      </c>
    </row>
    <row r="387" spans="1:14" x14ac:dyDescent="0.15">
      <c r="A387" s="3">
        <v>386</v>
      </c>
      <c r="B387" s="1" t="s">
        <v>1366</v>
      </c>
      <c r="C387" s="1" t="s">
        <v>1367</v>
      </c>
      <c r="E387" s="1" t="s">
        <v>3527</v>
      </c>
      <c r="F387" s="1" t="s">
        <v>3543</v>
      </c>
      <c r="G387" s="3">
        <v>1</v>
      </c>
      <c r="J387" s="20" t="s">
        <v>2860</v>
      </c>
      <c r="K387" s="20" t="s">
        <v>10014</v>
      </c>
      <c r="L387" s="3">
        <v>30</v>
      </c>
      <c r="M387" s="3" t="s">
        <v>10017</v>
      </c>
      <c r="N387" s="3" t="str">
        <f>HYPERLINK("http://ictvonline.org/taxonomyHistory.asp?taxnode_id=20160222","ICTVonline=20160222")</f>
        <v>ICTVonline=20160222</v>
      </c>
    </row>
    <row r="388" spans="1:14" x14ac:dyDescent="0.15">
      <c r="A388" s="3">
        <v>387</v>
      </c>
      <c r="B388" s="1" t="s">
        <v>1366</v>
      </c>
      <c r="C388" s="1" t="s">
        <v>1367</v>
      </c>
      <c r="E388" s="1" t="s">
        <v>3527</v>
      </c>
      <c r="F388" s="1" t="s">
        <v>3544</v>
      </c>
      <c r="G388" s="3">
        <v>0</v>
      </c>
      <c r="J388" s="20" t="s">
        <v>2860</v>
      </c>
      <c r="K388" s="20" t="s">
        <v>10014</v>
      </c>
      <c r="L388" s="3">
        <v>30</v>
      </c>
      <c r="M388" s="3" t="s">
        <v>10017</v>
      </c>
      <c r="N388" s="3" t="str">
        <f>HYPERLINK("http://ictvonline.org/taxonomyHistory.asp?taxnode_id=20160223","ICTVonline=20160223")</f>
        <v>ICTVonline=20160223</v>
      </c>
    </row>
    <row r="389" spans="1:14" x14ac:dyDescent="0.15">
      <c r="A389" s="3">
        <v>388</v>
      </c>
      <c r="B389" s="1" t="s">
        <v>1366</v>
      </c>
      <c r="C389" s="1" t="s">
        <v>1367</v>
      </c>
      <c r="E389" s="1" t="s">
        <v>3545</v>
      </c>
      <c r="F389" s="1" t="s">
        <v>7930</v>
      </c>
      <c r="G389" s="3">
        <v>0</v>
      </c>
      <c r="H389" s="20" t="s">
        <v>7931</v>
      </c>
      <c r="I389" s="20" t="s">
        <v>7932</v>
      </c>
      <c r="J389" s="20" t="s">
        <v>2860</v>
      </c>
      <c r="K389" s="20" t="s">
        <v>10013</v>
      </c>
      <c r="L389" s="3">
        <v>31</v>
      </c>
      <c r="M389" s="3" t="s">
        <v>7467</v>
      </c>
      <c r="N389" s="3" t="str">
        <f>HYPERLINK("http://ictvonline.org/taxonomyHistory.asp?taxnode_id=20164876","ICTVonline=20164876")</f>
        <v>ICTVonline=20164876</v>
      </c>
    </row>
    <row r="390" spans="1:14" x14ac:dyDescent="0.15">
      <c r="A390" s="3">
        <v>389</v>
      </c>
      <c r="B390" s="1" t="s">
        <v>1366</v>
      </c>
      <c r="C390" s="1" t="s">
        <v>1367</v>
      </c>
      <c r="E390" s="1" t="s">
        <v>3545</v>
      </c>
      <c r="F390" s="1" t="s">
        <v>3547</v>
      </c>
      <c r="G390" s="3">
        <v>1</v>
      </c>
      <c r="J390" s="20" t="s">
        <v>2860</v>
      </c>
      <c r="K390" s="20" t="s">
        <v>10014</v>
      </c>
      <c r="L390" s="3">
        <v>30</v>
      </c>
      <c r="M390" s="3" t="s">
        <v>10017</v>
      </c>
      <c r="N390" s="3" t="str">
        <f>HYPERLINK("http://ictvonline.org/taxonomyHistory.asp?taxnode_id=20160227","ICTVonline=20160227")</f>
        <v>ICTVonline=20160227</v>
      </c>
    </row>
    <row r="391" spans="1:14" x14ac:dyDescent="0.15">
      <c r="A391" s="3">
        <v>390</v>
      </c>
      <c r="B391" s="1" t="s">
        <v>1366</v>
      </c>
      <c r="C391" s="1" t="s">
        <v>1367</v>
      </c>
      <c r="E391" s="1" t="s">
        <v>3548</v>
      </c>
      <c r="F391" s="1" t="s">
        <v>3549</v>
      </c>
      <c r="G391" s="3">
        <v>1</v>
      </c>
      <c r="H391" s="20" t="s">
        <v>6578</v>
      </c>
      <c r="I391" s="20" t="s">
        <v>3550</v>
      </c>
      <c r="J391" s="20" t="s">
        <v>2860</v>
      </c>
      <c r="K391" s="20" t="s">
        <v>10013</v>
      </c>
      <c r="L391" s="3">
        <v>30</v>
      </c>
      <c r="M391" s="3" t="s">
        <v>10036</v>
      </c>
      <c r="N391" s="3" t="str">
        <f>HYPERLINK("http://ictvonline.org/taxonomyHistory.asp?taxnode_id=20160229","ICTVonline=20160229")</f>
        <v>ICTVonline=20160229</v>
      </c>
    </row>
    <row r="392" spans="1:14" x14ac:dyDescent="0.15">
      <c r="A392" s="3">
        <v>391</v>
      </c>
      <c r="B392" s="1" t="s">
        <v>1366</v>
      </c>
      <c r="C392" s="1" t="s">
        <v>1367</v>
      </c>
      <c r="E392" s="1" t="s">
        <v>7933</v>
      </c>
      <c r="F392" s="1" t="s">
        <v>7934</v>
      </c>
      <c r="G392" s="3">
        <v>0</v>
      </c>
      <c r="H392" s="20" t="s">
        <v>7935</v>
      </c>
      <c r="I392" s="20" t="s">
        <v>7936</v>
      </c>
      <c r="J392" s="20" t="s">
        <v>2860</v>
      </c>
      <c r="K392" s="20" t="s">
        <v>10013</v>
      </c>
      <c r="L392" s="3">
        <v>31</v>
      </c>
      <c r="M392" s="3" t="s">
        <v>7937</v>
      </c>
      <c r="N392" s="3" t="str">
        <f>HYPERLINK("http://ictvonline.org/taxonomyHistory.asp?taxnode_id=20164877","ICTVonline=20164877")</f>
        <v>ICTVonline=20164877</v>
      </c>
    </row>
    <row r="393" spans="1:14" x14ac:dyDescent="0.15">
      <c r="A393" s="3">
        <v>392</v>
      </c>
      <c r="B393" s="1" t="s">
        <v>1366</v>
      </c>
      <c r="C393" s="1" t="s">
        <v>1367</v>
      </c>
      <c r="E393" s="1" t="s">
        <v>7933</v>
      </c>
      <c r="F393" s="1" t="s">
        <v>7938</v>
      </c>
      <c r="G393" s="3">
        <v>1</v>
      </c>
      <c r="H393" s="20" t="s">
        <v>7939</v>
      </c>
      <c r="I393" s="20" t="s">
        <v>7940</v>
      </c>
      <c r="J393" s="20" t="s">
        <v>2860</v>
      </c>
      <c r="K393" s="20" t="s">
        <v>10013</v>
      </c>
      <c r="L393" s="3">
        <v>31</v>
      </c>
      <c r="M393" s="3" t="s">
        <v>7937</v>
      </c>
      <c r="N393" s="3" t="str">
        <f>HYPERLINK("http://ictvonline.org/taxonomyHistory.asp?taxnode_id=20164878","ICTVonline=20164878")</f>
        <v>ICTVonline=20164878</v>
      </c>
    </row>
    <row r="394" spans="1:14" x14ac:dyDescent="0.15">
      <c r="A394" s="3">
        <v>393</v>
      </c>
      <c r="B394" s="1" t="s">
        <v>1366</v>
      </c>
      <c r="C394" s="1" t="s">
        <v>1367</v>
      </c>
      <c r="E394" s="1" t="s">
        <v>7941</v>
      </c>
      <c r="F394" s="1" t="s">
        <v>7942</v>
      </c>
      <c r="G394" s="3">
        <v>1</v>
      </c>
      <c r="H394" s="20" t="s">
        <v>7943</v>
      </c>
      <c r="I394" s="20" t="s">
        <v>7944</v>
      </c>
      <c r="J394" s="20" t="s">
        <v>2860</v>
      </c>
      <c r="K394" s="20" t="s">
        <v>10013</v>
      </c>
      <c r="L394" s="3">
        <v>31</v>
      </c>
      <c r="M394" s="3" t="s">
        <v>7945</v>
      </c>
      <c r="N394" s="3" t="str">
        <f>HYPERLINK("http://ictvonline.org/taxonomyHistory.asp?taxnode_id=20164879","ICTVonline=20164879")</f>
        <v>ICTVonline=20164879</v>
      </c>
    </row>
    <row r="395" spans="1:14" x14ac:dyDescent="0.15">
      <c r="A395" s="3">
        <v>394</v>
      </c>
      <c r="B395" s="1" t="s">
        <v>1366</v>
      </c>
      <c r="C395" s="1" t="s">
        <v>1367</v>
      </c>
      <c r="E395" s="1" t="s">
        <v>3551</v>
      </c>
      <c r="F395" s="1" t="s">
        <v>3552</v>
      </c>
      <c r="G395" s="3">
        <v>1</v>
      </c>
      <c r="H395" s="20" t="s">
        <v>6579</v>
      </c>
      <c r="I395" s="20" t="s">
        <v>1380</v>
      </c>
      <c r="J395" s="20" t="s">
        <v>2860</v>
      </c>
      <c r="K395" s="20" t="s">
        <v>10014</v>
      </c>
      <c r="L395" s="3">
        <v>30</v>
      </c>
      <c r="M395" s="3" t="s">
        <v>10022</v>
      </c>
      <c r="N395" s="3" t="str">
        <f>HYPERLINK("http://ictvonline.org/taxonomyHistory.asp?taxnode_id=20160231","ICTVonline=20160231")</f>
        <v>ICTVonline=20160231</v>
      </c>
    </row>
    <row r="396" spans="1:14" x14ac:dyDescent="0.15">
      <c r="A396" s="3">
        <v>395</v>
      </c>
      <c r="B396" s="1" t="s">
        <v>1366</v>
      </c>
      <c r="C396" s="1" t="s">
        <v>1367</v>
      </c>
      <c r="E396" s="1" t="s">
        <v>3551</v>
      </c>
      <c r="F396" s="1" t="s">
        <v>3553</v>
      </c>
      <c r="G396" s="3">
        <v>0</v>
      </c>
      <c r="J396" s="20" t="s">
        <v>2860</v>
      </c>
      <c r="K396" s="20" t="s">
        <v>10014</v>
      </c>
      <c r="L396" s="3">
        <v>30</v>
      </c>
      <c r="M396" s="3" t="s">
        <v>10022</v>
      </c>
      <c r="N396" s="3" t="str">
        <f>HYPERLINK("http://ictvonline.org/taxonomyHistory.asp?taxnode_id=20160232","ICTVonline=20160232")</f>
        <v>ICTVonline=20160232</v>
      </c>
    </row>
    <row r="397" spans="1:14" x14ac:dyDescent="0.15">
      <c r="A397" s="3">
        <v>396</v>
      </c>
      <c r="B397" s="1" t="s">
        <v>1366</v>
      </c>
      <c r="C397" s="1" t="s">
        <v>1367</v>
      </c>
      <c r="E397" s="1" t="s">
        <v>3551</v>
      </c>
      <c r="F397" s="1" t="s">
        <v>3554</v>
      </c>
      <c r="G397" s="3">
        <v>0</v>
      </c>
      <c r="H397" s="20" t="s">
        <v>6580</v>
      </c>
      <c r="I397" s="20" t="s">
        <v>3555</v>
      </c>
      <c r="J397" s="20" t="s">
        <v>2860</v>
      </c>
      <c r="K397" s="20" t="s">
        <v>10013</v>
      </c>
      <c r="L397" s="3">
        <v>30</v>
      </c>
      <c r="M397" s="3" t="s">
        <v>10037</v>
      </c>
      <c r="N397" s="3" t="str">
        <f>HYPERLINK("http://ictvonline.org/taxonomyHistory.asp?taxnode_id=20160233","ICTVonline=20160233")</f>
        <v>ICTVonline=20160233</v>
      </c>
    </row>
    <row r="398" spans="1:14" x14ac:dyDescent="0.15">
      <c r="A398" s="3">
        <v>397</v>
      </c>
      <c r="B398" s="1" t="s">
        <v>1366</v>
      </c>
      <c r="C398" s="1" t="s">
        <v>1367</v>
      </c>
      <c r="E398" s="1" t="s">
        <v>3551</v>
      </c>
      <c r="F398" s="1" t="s">
        <v>3556</v>
      </c>
      <c r="G398" s="3">
        <v>0</v>
      </c>
      <c r="H398" s="20" t="s">
        <v>6581</v>
      </c>
      <c r="I398" s="20" t="s">
        <v>3557</v>
      </c>
      <c r="J398" s="20" t="s">
        <v>2860</v>
      </c>
      <c r="K398" s="20" t="s">
        <v>10013</v>
      </c>
      <c r="L398" s="3">
        <v>30</v>
      </c>
      <c r="M398" s="3" t="s">
        <v>10037</v>
      </c>
      <c r="N398" s="3" t="str">
        <f>HYPERLINK("http://ictvonline.org/taxonomyHistory.asp?taxnode_id=20160234","ICTVonline=20160234")</f>
        <v>ICTVonline=20160234</v>
      </c>
    </row>
    <row r="399" spans="1:14" x14ac:dyDescent="0.15">
      <c r="A399" s="3">
        <v>398</v>
      </c>
      <c r="B399" s="1" t="s">
        <v>1366</v>
      </c>
      <c r="C399" s="1" t="s">
        <v>1367</v>
      </c>
      <c r="E399" s="1" t="s">
        <v>3551</v>
      </c>
      <c r="F399" s="1" t="s">
        <v>3558</v>
      </c>
      <c r="G399" s="3">
        <v>0</v>
      </c>
      <c r="H399" s="20" t="s">
        <v>6582</v>
      </c>
      <c r="I399" s="20" t="s">
        <v>3559</v>
      </c>
      <c r="J399" s="20" t="s">
        <v>2860</v>
      </c>
      <c r="K399" s="20" t="s">
        <v>10013</v>
      </c>
      <c r="L399" s="3">
        <v>30</v>
      </c>
      <c r="M399" s="3" t="s">
        <v>10037</v>
      </c>
      <c r="N399" s="3" t="str">
        <f>HYPERLINK("http://ictvonline.org/taxonomyHistory.asp?taxnode_id=20160235","ICTVonline=20160235")</f>
        <v>ICTVonline=20160235</v>
      </c>
    </row>
    <row r="400" spans="1:14" x14ac:dyDescent="0.15">
      <c r="A400" s="3">
        <v>399</v>
      </c>
      <c r="B400" s="1" t="s">
        <v>1366</v>
      </c>
      <c r="C400" s="1" t="s">
        <v>1367</v>
      </c>
      <c r="E400" s="1" t="s">
        <v>3551</v>
      </c>
      <c r="F400" s="1" t="s">
        <v>3560</v>
      </c>
      <c r="G400" s="3">
        <v>0</v>
      </c>
      <c r="H400" s="20" t="s">
        <v>6583</v>
      </c>
      <c r="I400" s="20" t="s">
        <v>3561</v>
      </c>
      <c r="J400" s="20" t="s">
        <v>2860</v>
      </c>
      <c r="K400" s="20" t="s">
        <v>10013</v>
      </c>
      <c r="L400" s="3">
        <v>30</v>
      </c>
      <c r="M400" s="3" t="s">
        <v>10037</v>
      </c>
      <c r="N400" s="3" t="str">
        <f>HYPERLINK("http://ictvonline.org/taxonomyHistory.asp?taxnode_id=20160236","ICTVonline=20160236")</f>
        <v>ICTVonline=20160236</v>
      </c>
    </row>
    <row r="401" spans="1:14" x14ac:dyDescent="0.15">
      <c r="A401" s="3">
        <v>400</v>
      </c>
      <c r="B401" s="1" t="s">
        <v>1366</v>
      </c>
      <c r="C401" s="1" t="s">
        <v>1367</v>
      </c>
      <c r="E401" s="1" t="s">
        <v>7946</v>
      </c>
      <c r="F401" s="1" t="s">
        <v>7947</v>
      </c>
      <c r="G401" s="3">
        <v>0</v>
      </c>
      <c r="H401" s="20" t="s">
        <v>7948</v>
      </c>
      <c r="I401" s="20" t="s">
        <v>7949</v>
      </c>
      <c r="J401" s="20" t="s">
        <v>2860</v>
      </c>
      <c r="K401" s="20" t="s">
        <v>10013</v>
      </c>
      <c r="L401" s="3">
        <v>31</v>
      </c>
      <c r="M401" s="3" t="s">
        <v>7950</v>
      </c>
      <c r="N401" s="3" t="str">
        <f>HYPERLINK("http://ictvonline.org/taxonomyHistory.asp?taxnode_id=20164880","ICTVonline=20164880")</f>
        <v>ICTVonline=20164880</v>
      </c>
    </row>
    <row r="402" spans="1:14" x14ac:dyDescent="0.15">
      <c r="A402" s="3">
        <v>401</v>
      </c>
      <c r="B402" s="1" t="s">
        <v>1366</v>
      </c>
      <c r="C402" s="1" t="s">
        <v>1367</v>
      </c>
      <c r="E402" s="1" t="s">
        <v>7946</v>
      </c>
      <c r="F402" s="1" t="s">
        <v>7951</v>
      </c>
      <c r="G402" s="3">
        <v>1</v>
      </c>
      <c r="H402" s="20" t="s">
        <v>7952</v>
      </c>
      <c r="I402" s="20" t="s">
        <v>7953</v>
      </c>
      <c r="J402" s="20" t="s">
        <v>2860</v>
      </c>
      <c r="K402" s="20" t="s">
        <v>10013</v>
      </c>
      <c r="L402" s="3">
        <v>31</v>
      </c>
      <c r="M402" s="3" t="s">
        <v>7950</v>
      </c>
      <c r="N402" s="3" t="str">
        <f>HYPERLINK("http://ictvonline.org/taxonomyHistory.asp?taxnode_id=20164881","ICTVonline=20164881")</f>
        <v>ICTVonline=20164881</v>
      </c>
    </row>
    <row r="403" spans="1:14" x14ac:dyDescent="0.15">
      <c r="A403" s="3">
        <v>402</v>
      </c>
      <c r="B403" s="1" t="s">
        <v>1366</v>
      </c>
      <c r="C403" s="1" t="s">
        <v>1367</v>
      </c>
      <c r="E403" s="1" t="s">
        <v>7954</v>
      </c>
      <c r="F403" s="1" t="s">
        <v>7955</v>
      </c>
      <c r="G403" s="3">
        <v>1</v>
      </c>
      <c r="H403" s="20" t="s">
        <v>7956</v>
      </c>
      <c r="I403" s="20" t="s">
        <v>7957</v>
      </c>
      <c r="J403" s="20" t="s">
        <v>2860</v>
      </c>
      <c r="K403" s="20" t="s">
        <v>10013</v>
      </c>
      <c r="L403" s="3">
        <v>31</v>
      </c>
      <c r="M403" s="3" t="s">
        <v>7958</v>
      </c>
      <c r="N403" s="3" t="str">
        <f>HYPERLINK("http://ictvonline.org/taxonomyHistory.asp?taxnode_id=20164882","ICTVonline=20164882")</f>
        <v>ICTVonline=20164882</v>
      </c>
    </row>
    <row r="404" spans="1:14" x14ac:dyDescent="0.15">
      <c r="A404" s="3">
        <v>403</v>
      </c>
      <c r="B404" s="1" t="s">
        <v>1366</v>
      </c>
      <c r="C404" s="1" t="s">
        <v>1367</v>
      </c>
      <c r="E404" s="1" t="s">
        <v>3562</v>
      </c>
      <c r="F404" s="1" t="s">
        <v>3563</v>
      </c>
      <c r="G404" s="3">
        <v>0</v>
      </c>
      <c r="H404" s="20" t="s">
        <v>6584</v>
      </c>
      <c r="I404" s="20" t="s">
        <v>3564</v>
      </c>
      <c r="J404" s="20" t="s">
        <v>2860</v>
      </c>
      <c r="K404" s="20" t="s">
        <v>10013</v>
      </c>
      <c r="L404" s="3">
        <v>30</v>
      </c>
      <c r="M404" s="3" t="s">
        <v>10038</v>
      </c>
      <c r="N404" s="3" t="str">
        <f>HYPERLINK("http://ictvonline.org/taxonomyHistory.asp?taxnode_id=20160238","ICTVonline=20160238")</f>
        <v>ICTVonline=20160238</v>
      </c>
    </row>
    <row r="405" spans="1:14" x14ac:dyDescent="0.15">
      <c r="A405" s="3">
        <v>404</v>
      </c>
      <c r="B405" s="1" t="s">
        <v>1366</v>
      </c>
      <c r="C405" s="1" t="s">
        <v>1367</v>
      </c>
      <c r="E405" s="1" t="s">
        <v>3562</v>
      </c>
      <c r="F405" s="1" t="s">
        <v>3565</v>
      </c>
      <c r="G405" s="3">
        <v>1</v>
      </c>
      <c r="H405" s="20" t="s">
        <v>6585</v>
      </c>
      <c r="I405" s="20" t="s">
        <v>3566</v>
      </c>
      <c r="J405" s="20" t="s">
        <v>2860</v>
      </c>
      <c r="K405" s="20" t="s">
        <v>10013</v>
      </c>
      <c r="L405" s="3">
        <v>30</v>
      </c>
      <c r="M405" s="3" t="s">
        <v>10038</v>
      </c>
      <c r="N405" s="3" t="str">
        <f>HYPERLINK("http://ictvonline.org/taxonomyHistory.asp?taxnode_id=20160239","ICTVonline=20160239")</f>
        <v>ICTVonline=20160239</v>
      </c>
    </row>
    <row r="406" spans="1:14" x14ac:dyDescent="0.15">
      <c r="A406" s="3">
        <v>405</v>
      </c>
      <c r="B406" s="1" t="s">
        <v>1366</v>
      </c>
      <c r="C406" s="1" t="s">
        <v>1367</v>
      </c>
      <c r="E406" s="1" t="s">
        <v>926</v>
      </c>
      <c r="F406" s="1" t="s">
        <v>3567</v>
      </c>
      <c r="G406" s="3">
        <v>0</v>
      </c>
      <c r="J406" s="20" t="s">
        <v>2860</v>
      </c>
      <c r="K406" s="20" t="s">
        <v>10021</v>
      </c>
      <c r="L406" s="3">
        <v>30</v>
      </c>
      <c r="M406" s="3" t="s">
        <v>10017</v>
      </c>
      <c r="N406" s="3" t="str">
        <f>HYPERLINK("http://ictvonline.org/taxonomyHistory.asp?taxnode_id=20160241","ICTVonline=20160241")</f>
        <v>ICTVonline=20160241</v>
      </c>
    </row>
    <row r="407" spans="1:14" x14ac:dyDescent="0.15">
      <c r="A407" s="3">
        <v>406</v>
      </c>
      <c r="B407" s="1" t="s">
        <v>1366</v>
      </c>
      <c r="C407" s="1" t="s">
        <v>1367</v>
      </c>
      <c r="E407" s="1" t="s">
        <v>926</v>
      </c>
      <c r="F407" s="1" t="s">
        <v>3568</v>
      </c>
      <c r="G407" s="3">
        <v>0</v>
      </c>
      <c r="J407" s="20" t="s">
        <v>2860</v>
      </c>
      <c r="K407" s="20" t="s">
        <v>10021</v>
      </c>
      <c r="L407" s="3">
        <v>30</v>
      </c>
      <c r="M407" s="3" t="s">
        <v>10017</v>
      </c>
      <c r="N407" s="3" t="str">
        <f>HYPERLINK("http://ictvonline.org/taxonomyHistory.asp?taxnode_id=20160242","ICTVonline=20160242")</f>
        <v>ICTVonline=20160242</v>
      </c>
    </row>
    <row r="408" spans="1:14" x14ac:dyDescent="0.15">
      <c r="A408" s="3">
        <v>407</v>
      </c>
      <c r="B408" s="1" t="s">
        <v>1366</v>
      </c>
      <c r="C408" s="1" t="s">
        <v>1367</v>
      </c>
      <c r="E408" s="1" t="s">
        <v>926</v>
      </c>
      <c r="F408" s="1" t="s">
        <v>3569</v>
      </c>
      <c r="G408" s="3">
        <v>0</v>
      </c>
      <c r="J408" s="20" t="s">
        <v>2860</v>
      </c>
      <c r="K408" s="20" t="s">
        <v>10021</v>
      </c>
      <c r="L408" s="3">
        <v>30</v>
      </c>
      <c r="M408" s="3" t="s">
        <v>10017</v>
      </c>
      <c r="N408" s="3" t="str">
        <f>HYPERLINK("http://ictvonline.org/taxonomyHistory.asp?taxnode_id=20160243","ICTVonline=20160243")</f>
        <v>ICTVonline=20160243</v>
      </c>
    </row>
    <row r="409" spans="1:14" x14ac:dyDescent="0.15">
      <c r="A409" s="3">
        <v>408</v>
      </c>
      <c r="B409" s="1" t="s">
        <v>1366</v>
      </c>
      <c r="C409" s="1" t="s">
        <v>1367</v>
      </c>
      <c r="E409" s="1" t="s">
        <v>3570</v>
      </c>
      <c r="F409" s="1" t="s">
        <v>3571</v>
      </c>
      <c r="G409" s="3">
        <v>0</v>
      </c>
      <c r="H409" s="20" t="s">
        <v>6586</v>
      </c>
      <c r="I409" s="20" t="s">
        <v>3572</v>
      </c>
      <c r="J409" s="20" t="s">
        <v>2860</v>
      </c>
      <c r="K409" s="20" t="s">
        <v>10013</v>
      </c>
      <c r="L409" s="3">
        <v>30</v>
      </c>
      <c r="M409" s="3" t="s">
        <v>10039</v>
      </c>
      <c r="N409" s="3" t="str">
        <f>HYPERLINK("http://ictvonline.org/taxonomyHistory.asp?taxnode_id=20160245","ICTVonline=20160245")</f>
        <v>ICTVonline=20160245</v>
      </c>
    </row>
    <row r="410" spans="1:14" x14ac:dyDescent="0.15">
      <c r="A410" s="3">
        <v>409</v>
      </c>
      <c r="B410" s="1" t="s">
        <v>1366</v>
      </c>
      <c r="C410" s="1" t="s">
        <v>1367</v>
      </c>
      <c r="E410" s="1" t="s">
        <v>3570</v>
      </c>
      <c r="F410" s="1" t="s">
        <v>3573</v>
      </c>
      <c r="G410" s="3">
        <v>1</v>
      </c>
      <c r="H410" s="20" t="s">
        <v>6587</v>
      </c>
      <c r="I410" s="20" t="s">
        <v>3574</v>
      </c>
      <c r="J410" s="20" t="s">
        <v>2860</v>
      </c>
      <c r="K410" s="20" t="s">
        <v>10013</v>
      </c>
      <c r="L410" s="3">
        <v>30</v>
      </c>
      <c r="M410" s="3" t="s">
        <v>10039</v>
      </c>
      <c r="N410" s="3" t="str">
        <f>HYPERLINK("http://ictvonline.org/taxonomyHistory.asp?taxnode_id=20160246","ICTVonline=20160246")</f>
        <v>ICTVonline=20160246</v>
      </c>
    </row>
    <row r="411" spans="1:14" x14ac:dyDescent="0.15">
      <c r="A411" s="3">
        <v>410</v>
      </c>
      <c r="B411" s="1" t="s">
        <v>1366</v>
      </c>
      <c r="C411" s="1" t="s">
        <v>1367</v>
      </c>
      <c r="E411" s="1" t="s">
        <v>3570</v>
      </c>
      <c r="F411" s="1" t="s">
        <v>3575</v>
      </c>
      <c r="G411" s="3">
        <v>0</v>
      </c>
      <c r="H411" s="20" t="s">
        <v>6588</v>
      </c>
      <c r="I411" s="20" t="s">
        <v>3576</v>
      </c>
      <c r="J411" s="20" t="s">
        <v>2860</v>
      </c>
      <c r="K411" s="20" t="s">
        <v>10013</v>
      </c>
      <c r="L411" s="3">
        <v>30</v>
      </c>
      <c r="M411" s="3" t="s">
        <v>10039</v>
      </c>
      <c r="N411" s="3" t="str">
        <f>HYPERLINK("http://ictvonline.org/taxonomyHistory.asp?taxnode_id=20160247","ICTVonline=20160247")</f>
        <v>ICTVonline=20160247</v>
      </c>
    </row>
    <row r="412" spans="1:14" x14ac:dyDescent="0.15">
      <c r="A412" s="3">
        <v>411</v>
      </c>
      <c r="B412" s="1" t="s">
        <v>1366</v>
      </c>
      <c r="C412" s="1" t="s">
        <v>1367</v>
      </c>
      <c r="E412" s="1" t="s">
        <v>3577</v>
      </c>
      <c r="F412" s="1" t="s">
        <v>3578</v>
      </c>
      <c r="G412" s="3">
        <v>0</v>
      </c>
      <c r="J412" s="20" t="s">
        <v>2860</v>
      </c>
      <c r="K412" s="20" t="s">
        <v>10014</v>
      </c>
      <c r="L412" s="3">
        <v>30</v>
      </c>
      <c r="M412" s="3" t="s">
        <v>10017</v>
      </c>
      <c r="N412" s="3" t="str">
        <f>HYPERLINK("http://ictvonline.org/taxonomyHistory.asp?taxnode_id=20160249","ICTVonline=20160249")</f>
        <v>ICTVonline=20160249</v>
      </c>
    </row>
    <row r="413" spans="1:14" x14ac:dyDescent="0.15">
      <c r="A413" s="3">
        <v>412</v>
      </c>
      <c r="B413" s="1" t="s">
        <v>1366</v>
      </c>
      <c r="C413" s="1" t="s">
        <v>1367</v>
      </c>
      <c r="E413" s="1" t="s">
        <v>3577</v>
      </c>
      <c r="F413" s="1" t="s">
        <v>3579</v>
      </c>
      <c r="G413" s="3">
        <v>0</v>
      </c>
      <c r="J413" s="20" t="s">
        <v>2860</v>
      </c>
      <c r="K413" s="20" t="s">
        <v>10014</v>
      </c>
      <c r="L413" s="3">
        <v>30</v>
      </c>
      <c r="M413" s="3" t="s">
        <v>10017</v>
      </c>
      <c r="N413" s="3" t="str">
        <f>HYPERLINK("http://ictvonline.org/taxonomyHistory.asp?taxnode_id=20160250","ICTVonline=20160250")</f>
        <v>ICTVonline=20160250</v>
      </c>
    </row>
    <row r="414" spans="1:14" x14ac:dyDescent="0.15">
      <c r="A414" s="3">
        <v>413</v>
      </c>
      <c r="B414" s="1" t="s">
        <v>1366</v>
      </c>
      <c r="C414" s="1" t="s">
        <v>1367</v>
      </c>
      <c r="E414" s="1" t="s">
        <v>3577</v>
      </c>
      <c r="F414" s="1" t="s">
        <v>3580</v>
      </c>
      <c r="G414" s="3">
        <v>0</v>
      </c>
      <c r="H414" s="20" t="s">
        <v>6589</v>
      </c>
      <c r="I414" s="20" t="s">
        <v>3581</v>
      </c>
      <c r="J414" s="20" t="s">
        <v>2860</v>
      </c>
      <c r="K414" s="20" t="s">
        <v>10013</v>
      </c>
      <c r="L414" s="3">
        <v>30</v>
      </c>
      <c r="M414" s="3" t="s">
        <v>10040</v>
      </c>
      <c r="N414" s="3" t="str">
        <f>HYPERLINK("http://ictvonline.org/taxonomyHistory.asp?taxnode_id=20160251","ICTVonline=20160251")</f>
        <v>ICTVonline=20160251</v>
      </c>
    </row>
    <row r="415" spans="1:14" x14ac:dyDescent="0.15">
      <c r="A415" s="3">
        <v>414</v>
      </c>
      <c r="B415" s="1" t="s">
        <v>1366</v>
      </c>
      <c r="C415" s="1" t="s">
        <v>1367</v>
      </c>
      <c r="E415" s="1" t="s">
        <v>3577</v>
      </c>
      <c r="F415" s="1" t="s">
        <v>3582</v>
      </c>
      <c r="G415" s="3">
        <v>0</v>
      </c>
      <c r="J415" s="20" t="s">
        <v>2860</v>
      </c>
      <c r="K415" s="20" t="s">
        <v>10014</v>
      </c>
      <c r="L415" s="3">
        <v>30</v>
      </c>
      <c r="M415" s="3" t="s">
        <v>10017</v>
      </c>
      <c r="N415" s="3" t="str">
        <f>HYPERLINK("http://ictvonline.org/taxonomyHistory.asp?taxnode_id=20160252","ICTVonline=20160252")</f>
        <v>ICTVonline=20160252</v>
      </c>
    </row>
    <row r="416" spans="1:14" x14ac:dyDescent="0.15">
      <c r="A416" s="3">
        <v>415</v>
      </c>
      <c r="B416" s="1" t="s">
        <v>1366</v>
      </c>
      <c r="C416" s="1" t="s">
        <v>1367</v>
      </c>
      <c r="E416" s="1" t="s">
        <v>3577</v>
      </c>
      <c r="F416" s="1" t="s">
        <v>3583</v>
      </c>
      <c r="G416" s="3">
        <v>0</v>
      </c>
      <c r="H416" s="20" t="s">
        <v>6590</v>
      </c>
      <c r="I416" s="20" t="s">
        <v>3584</v>
      </c>
      <c r="J416" s="20" t="s">
        <v>2860</v>
      </c>
      <c r="K416" s="20" t="s">
        <v>10013</v>
      </c>
      <c r="L416" s="3">
        <v>30</v>
      </c>
      <c r="M416" s="3" t="s">
        <v>10040</v>
      </c>
      <c r="N416" s="3" t="str">
        <f>HYPERLINK("http://ictvonline.org/taxonomyHistory.asp?taxnode_id=20160253","ICTVonline=20160253")</f>
        <v>ICTVonline=20160253</v>
      </c>
    </row>
    <row r="417" spans="1:14" x14ac:dyDescent="0.15">
      <c r="A417" s="3">
        <v>416</v>
      </c>
      <c r="B417" s="1" t="s">
        <v>1366</v>
      </c>
      <c r="C417" s="1" t="s">
        <v>1367</v>
      </c>
      <c r="E417" s="1" t="s">
        <v>3577</v>
      </c>
      <c r="F417" s="1" t="s">
        <v>3585</v>
      </c>
      <c r="G417" s="3">
        <v>0</v>
      </c>
      <c r="H417" s="20" t="s">
        <v>6591</v>
      </c>
      <c r="I417" s="20" t="s">
        <v>3586</v>
      </c>
      <c r="J417" s="20" t="s">
        <v>2860</v>
      </c>
      <c r="K417" s="20" t="s">
        <v>10013</v>
      </c>
      <c r="L417" s="3">
        <v>30</v>
      </c>
      <c r="M417" s="3" t="s">
        <v>10040</v>
      </c>
      <c r="N417" s="3" t="str">
        <f>HYPERLINK("http://ictvonline.org/taxonomyHistory.asp?taxnode_id=20160254","ICTVonline=20160254")</f>
        <v>ICTVonline=20160254</v>
      </c>
    </row>
    <row r="418" spans="1:14" x14ac:dyDescent="0.15">
      <c r="A418" s="3">
        <v>417</v>
      </c>
      <c r="B418" s="1" t="s">
        <v>1366</v>
      </c>
      <c r="C418" s="1" t="s">
        <v>1367</v>
      </c>
      <c r="E418" s="1" t="s">
        <v>3577</v>
      </c>
      <c r="F418" s="1" t="s">
        <v>3587</v>
      </c>
      <c r="G418" s="3">
        <v>0</v>
      </c>
      <c r="H418" s="20" t="s">
        <v>6592</v>
      </c>
      <c r="I418" s="20" t="s">
        <v>3588</v>
      </c>
      <c r="J418" s="20" t="s">
        <v>2860</v>
      </c>
      <c r="K418" s="20" t="s">
        <v>10013</v>
      </c>
      <c r="L418" s="3">
        <v>30</v>
      </c>
      <c r="M418" s="3" t="s">
        <v>10040</v>
      </c>
      <c r="N418" s="3" t="str">
        <f>HYPERLINK("http://ictvonline.org/taxonomyHistory.asp?taxnode_id=20160255","ICTVonline=20160255")</f>
        <v>ICTVonline=20160255</v>
      </c>
    </row>
    <row r="419" spans="1:14" x14ac:dyDescent="0.15">
      <c r="A419" s="3">
        <v>418</v>
      </c>
      <c r="B419" s="1" t="s">
        <v>1366</v>
      </c>
      <c r="C419" s="1" t="s">
        <v>1367</v>
      </c>
      <c r="E419" s="1" t="s">
        <v>3577</v>
      </c>
      <c r="F419" s="1" t="s">
        <v>3589</v>
      </c>
      <c r="G419" s="3">
        <v>0</v>
      </c>
      <c r="J419" s="20" t="s">
        <v>2860</v>
      </c>
      <c r="K419" s="20" t="s">
        <v>10014</v>
      </c>
      <c r="L419" s="3">
        <v>30</v>
      </c>
      <c r="M419" s="3" t="s">
        <v>10017</v>
      </c>
      <c r="N419" s="3" t="str">
        <f>HYPERLINK("http://ictvonline.org/taxonomyHistory.asp?taxnode_id=20160256","ICTVonline=20160256")</f>
        <v>ICTVonline=20160256</v>
      </c>
    </row>
    <row r="420" spans="1:14" x14ac:dyDescent="0.15">
      <c r="A420" s="3">
        <v>419</v>
      </c>
      <c r="B420" s="1" t="s">
        <v>1366</v>
      </c>
      <c r="C420" s="1" t="s">
        <v>1367</v>
      </c>
      <c r="E420" s="1" t="s">
        <v>3577</v>
      </c>
      <c r="F420" s="1" t="s">
        <v>3590</v>
      </c>
      <c r="G420" s="3">
        <v>0</v>
      </c>
      <c r="J420" s="20" t="s">
        <v>2860</v>
      </c>
      <c r="K420" s="20" t="s">
        <v>10014</v>
      </c>
      <c r="L420" s="3">
        <v>30</v>
      </c>
      <c r="M420" s="3" t="s">
        <v>10017</v>
      </c>
      <c r="N420" s="3" t="str">
        <f>HYPERLINK("http://ictvonline.org/taxonomyHistory.asp?taxnode_id=20160257","ICTVonline=20160257")</f>
        <v>ICTVonline=20160257</v>
      </c>
    </row>
    <row r="421" spans="1:14" x14ac:dyDescent="0.15">
      <c r="A421" s="3">
        <v>420</v>
      </c>
      <c r="B421" s="1" t="s">
        <v>1366</v>
      </c>
      <c r="C421" s="1" t="s">
        <v>1367</v>
      </c>
      <c r="E421" s="1" t="s">
        <v>3577</v>
      </c>
      <c r="F421" s="1" t="s">
        <v>3591</v>
      </c>
      <c r="G421" s="3">
        <v>0</v>
      </c>
      <c r="H421" s="20" t="s">
        <v>6593</v>
      </c>
      <c r="I421" s="20" t="s">
        <v>3592</v>
      </c>
      <c r="J421" s="20" t="s">
        <v>2860</v>
      </c>
      <c r="K421" s="20" t="s">
        <v>10013</v>
      </c>
      <c r="L421" s="3">
        <v>30</v>
      </c>
      <c r="M421" s="3" t="s">
        <v>10040</v>
      </c>
      <c r="N421" s="3" t="str">
        <f>HYPERLINK("http://ictvonline.org/taxonomyHistory.asp?taxnode_id=20160258","ICTVonline=20160258")</f>
        <v>ICTVonline=20160258</v>
      </c>
    </row>
    <row r="422" spans="1:14" x14ac:dyDescent="0.15">
      <c r="A422" s="3">
        <v>421</v>
      </c>
      <c r="B422" s="1" t="s">
        <v>1366</v>
      </c>
      <c r="C422" s="1" t="s">
        <v>1367</v>
      </c>
      <c r="E422" s="1" t="s">
        <v>3577</v>
      </c>
      <c r="F422" s="1" t="s">
        <v>3593</v>
      </c>
      <c r="G422" s="3">
        <v>0</v>
      </c>
      <c r="H422" s="20" t="s">
        <v>6594</v>
      </c>
      <c r="I422" s="20" t="s">
        <v>3594</v>
      </c>
      <c r="J422" s="20" t="s">
        <v>2860</v>
      </c>
      <c r="K422" s="20" t="s">
        <v>10013</v>
      </c>
      <c r="L422" s="3">
        <v>30</v>
      </c>
      <c r="M422" s="3" t="s">
        <v>10040</v>
      </c>
      <c r="N422" s="3" t="str">
        <f>HYPERLINK("http://ictvonline.org/taxonomyHistory.asp?taxnode_id=20160259","ICTVonline=20160259")</f>
        <v>ICTVonline=20160259</v>
      </c>
    </row>
    <row r="423" spans="1:14" x14ac:dyDescent="0.15">
      <c r="A423" s="3">
        <v>422</v>
      </c>
      <c r="B423" s="1" t="s">
        <v>1366</v>
      </c>
      <c r="C423" s="1" t="s">
        <v>1367</v>
      </c>
      <c r="E423" s="1" t="s">
        <v>3577</v>
      </c>
      <c r="F423" s="1" t="s">
        <v>3595</v>
      </c>
      <c r="G423" s="3">
        <v>0</v>
      </c>
      <c r="H423" s="20" t="s">
        <v>6595</v>
      </c>
      <c r="I423" s="20" t="s">
        <v>3596</v>
      </c>
      <c r="J423" s="20" t="s">
        <v>2860</v>
      </c>
      <c r="K423" s="20" t="s">
        <v>10013</v>
      </c>
      <c r="L423" s="3">
        <v>30</v>
      </c>
      <c r="M423" s="3" t="s">
        <v>10040</v>
      </c>
      <c r="N423" s="3" t="str">
        <f>HYPERLINK("http://ictvonline.org/taxonomyHistory.asp?taxnode_id=20160260","ICTVonline=20160260")</f>
        <v>ICTVonline=20160260</v>
      </c>
    </row>
    <row r="424" spans="1:14" x14ac:dyDescent="0.15">
      <c r="A424" s="3">
        <v>423</v>
      </c>
      <c r="B424" s="1" t="s">
        <v>1366</v>
      </c>
      <c r="C424" s="1" t="s">
        <v>1367</v>
      </c>
      <c r="E424" s="1" t="s">
        <v>3577</v>
      </c>
      <c r="F424" s="1" t="s">
        <v>3597</v>
      </c>
      <c r="G424" s="3">
        <v>1</v>
      </c>
      <c r="J424" s="20" t="s">
        <v>2860</v>
      </c>
      <c r="K424" s="20" t="s">
        <v>10014</v>
      </c>
      <c r="L424" s="3">
        <v>30</v>
      </c>
      <c r="M424" s="3" t="s">
        <v>10017</v>
      </c>
      <c r="N424" s="3" t="str">
        <f>HYPERLINK("http://ictvonline.org/taxonomyHistory.asp?taxnode_id=20160261","ICTVonline=20160261")</f>
        <v>ICTVonline=20160261</v>
      </c>
    </row>
    <row r="425" spans="1:14" x14ac:dyDescent="0.15">
      <c r="A425" s="3">
        <v>424</v>
      </c>
      <c r="B425" s="1" t="s">
        <v>1366</v>
      </c>
      <c r="C425" s="1" t="s">
        <v>1367</v>
      </c>
      <c r="E425" s="1" t="s">
        <v>3577</v>
      </c>
      <c r="F425" s="1" t="s">
        <v>3598</v>
      </c>
      <c r="G425" s="3">
        <v>0</v>
      </c>
      <c r="J425" s="20" t="s">
        <v>2860</v>
      </c>
      <c r="K425" s="20" t="s">
        <v>10014</v>
      </c>
      <c r="L425" s="3">
        <v>30</v>
      </c>
      <c r="M425" s="3" t="s">
        <v>10017</v>
      </c>
      <c r="N425" s="3" t="str">
        <f>HYPERLINK("http://ictvonline.org/taxonomyHistory.asp?taxnode_id=20160262","ICTVonline=20160262")</f>
        <v>ICTVonline=20160262</v>
      </c>
    </row>
    <row r="426" spans="1:14" x14ac:dyDescent="0.15">
      <c r="A426" s="3">
        <v>425</v>
      </c>
      <c r="B426" s="1" t="s">
        <v>1366</v>
      </c>
      <c r="C426" s="1" t="s">
        <v>1367</v>
      </c>
      <c r="E426" s="1" t="s">
        <v>3599</v>
      </c>
      <c r="F426" s="1" t="s">
        <v>7959</v>
      </c>
      <c r="G426" s="3">
        <v>0</v>
      </c>
      <c r="H426" s="20" t="s">
        <v>7960</v>
      </c>
      <c r="I426" s="20" t="s">
        <v>7961</v>
      </c>
      <c r="J426" s="20" t="s">
        <v>2860</v>
      </c>
      <c r="K426" s="20" t="s">
        <v>10013</v>
      </c>
      <c r="L426" s="3">
        <v>31</v>
      </c>
      <c r="M426" s="3" t="s">
        <v>7962</v>
      </c>
      <c r="N426" s="3" t="str">
        <f>HYPERLINK("http://ictvonline.org/taxonomyHistory.asp?taxnode_id=20164883","ICTVonline=20164883")</f>
        <v>ICTVonline=20164883</v>
      </c>
    </row>
    <row r="427" spans="1:14" x14ac:dyDescent="0.15">
      <c r="A427" s="3">
        <v>426</v>
      </c>
      <c r="B427" s="1" t="s">
        <v>1366</v>
      </c>
      <c r="C427" s="1" t="s">
        <v>1367</v>
      </c>
      <c r="E427" s="1" t="s">
        <v>3599</v>
      </c>
      <c r="F427" s="1" t="s">
        <v>7963</v>
      </c>
      <c r="G427" s="3">
        <v>0</v>
      </c>
      <c r="H427" s="20" t="s">
        <v>7964</v>
      </c>
      <c r="I427" s="20" t="s">
        <v>7965</v>
      </c>
      <c r="J427" s="20" t="s">
        <v>2860</v>
      </c>
      <c r="K427" s="20" t="s">
        <v>10013</v>
      </c>
      <c r="L427" s="3">
        <v>31</v>
      </c>
      <c r="M427" s="3" t="s">
        <v>7962</v>
      </c>
      <c r="N427" s="3" t="str">
        <f>HYPERLINK("http://ictvonline.org/taxonomyHistory.asp?taxnode_id=20164884","ICTVonline=20164884")</f>
        <v>ICTVonline=20164884</v>
      </c>
    </row>
    <row r="428" spans="1:14" x14ac:dyDescent="0.15">
      <c r="A428" s="3">
        <v>427</v>
      </c>
      <c r="B428" s="1" t="s">
        <v>1366</v>
      </c>
      <c r="C428" s="1" t="s">
        <v>1367</v>
      </c>
      <c r="E428" s="1" t="s">
        <v>3599</v>
      </c>
      <c r="F428" s="1" t="s">
        <v>7966</v>
      </c>
      <c r="G428" s="3">
        <v>0</v>
      </c>
      <c r="H428" s="20" t="s">
        <v>7967</v>
      </c>
      <c r="I428" s="20" t="s">
        <v>7968</v>
      </c>
      <c r="J428" s="20" t="s">
        <v>2860</v>
      </c>
      <c r="K428" s="20" t="s">
        <v>10013</v>
      </c>
      <c r="L428" s="3">
        <v>31</v>
      </c>
      <c r="M428" s="3" t="s">
        <v>7962</v>
      </c>
      <c r="N428" s="3" t="str">
        <f>HYPERLINK("http://ictvonline.org/taxonomyHistory.asp?taxnode_id=20164885","ICTVonline=20164885")</f>
        <v>ICTVonline=20164885</v>
      </c>
    </row>
    <row r="429" spans="1:14" x14ac:dyDescent="0.15">
      <c r="A429" s="3">
        <v>428</v>
      </c>
      <c r="B429" s="1" t="s">
        <v>1366</v>
      </c>
      <c r="C429" s="1" t="s">
        <v>1367</v>
      </c>
      <c r="E429" s="1" t="s">
        <v>3599</v>
      </c>
      <c r="F429" s="1" t="s">
        <v>3600</v>
      </c>
      <c r="G429" s="3">
        <v>1</v>
      </c>
      <c r="H429" s="20" t="s">
        <v>6596</v>
      </c>
      <c r="I429" s="20" t="s">
        <v>6597</v>
      </c>
      <c r="J429" s="20" t="s">
        <v>2860</v>
      </c>
      <c r="K429" s="20" t="s">
        <v>10013</v>
      </c>
      <c r="L429" s="3">
        <v>30</v>
      </c>
      <c r="M429" s="3" t="s">
        <v>10041</v>
      </c>
      <c r="N429" s="3" t="str">
        <f>HYPERLINK("http://ictvonline.org/taxonomyHistory.asp?taxnode_id=20160264","ICTVonline=20160264")</f>
        <v>ICTVonline=20160264</v>
      </c>
    </row>
    <row r="430" spans="1:14" x14ac:dyDescent="0.15">
      <c r="A430" s="3">
        <v>429</v>
      </c>
      <c r="B430" s="1" t="s">
        <v>1366</v>
      </c>
      <c r="C430" s="1" t="s">
        <v>919</v>
      </c>
      <c r="D430" s="1" t="s">
        <v>1394</v>
      </c>
      <c r="E430" s="1" t="s">
        <v>7969</v>
      </c>
      <c r="F430" s="1" t="s">
        <v>7970</v>
      </c>
      <c r="G430" s="3">
        <v>0</v>
      </c>
      <c r="H430" s="20" t="s">
        <v>7971</v>
      </c>
      <c r="I430" s="20" t="s">
        <v>7972</v>
      </c>
      <c r="J430" s="20" t="s">
        <v>2860</v>
      </c>
      <c r="K430" s="20" t="s">
        <v>10013</v>
      </c>
      <c r="L430" s="3">
        <v>31</v>
      </c>
      <c r="M430" s="3" t="s">
        <v>7973</v>
      </c>
      <c r="N430" s="3" t="str">
        <f>HYPERLINK("http://ictvonline.org/taxonomyHistory.asp?taxnode_id=20164888","ICTVonline=20164888")</f>
        <v>ICTVonline=20164888</v>
      </c>
    </row>
    <row r="431" spans="1:14" x14ac:dyDescent="0.15">
      <c r="A431" s="3">
        <v>430</v>
      </c>
      <c r="B431" s="1" t="s">
        <v>1366</v>
      </c>
      <c r="C431" s="1" t="s">
        <v>919</v>
      </c>
      <c r="D431" s="1" t="s">
        <v>1394</v>
      </c>
      <c r="E431" s="1" t="s">
        <v>7969</v>
      </c>
      <c r="F431" s="1" t="s">
        <v>7974</v>
      </c>
      <c r="G431" s="3">
        <v>0</v>
      </c>
      <c r="H431" s="20" t="s">
        <v>7975</v>
      </c>
      <c r="I431" s="20" t="s">
        <v>7976</v>
      </c>
      <c r="J431" s="20" t="s">
        <v>2860</v>
      </c>
      <c r="K431" s="20" t="s">
        <v>10013</v>
      </c>
      <c r="L431" s="3">
        <v>31</v>
      </c>
      <c r="M431" s="3" t="s">
        <v>7973</v>
      </c>
      <c r="N431" s="3" t="str">
        <f>HYPERLINK("http://ictvonline.org/taxonomyHistory.asp?taxnode_id=20164889","ICTVonline=20164889")</f>
        <v>ICTVonline=20164889</v>
      </c>
    </row>
    <row r="432" spans="1:14" x14ac:dyDescent="0.15">
      <c r="A432" s="3">
        <v>431</v>
      </c>
      <c r="B432" s="1" t="s">
        <v>1366</v>
      </c>
      <c r="C432" s="1" t="s">
        <v>919</v>
      </c>
      <c r="D432" s="1" t="s">
        <v>1394</v>
      </c>
      <c r="E432" s="1" t="s">
        <v>7969</v>
      </c>
      <c r="F432" s="1" t="s">
        <v>7977</v>
      </c>
      <c r="G432" s="3">
        <v>1</v>
      </c>
      <c r="H432" s="20" t="s">
        <v>7978</v>
      </c>
      <c r="I432" s="20" t="s">
        <v>7979</v>
      </c>
      <c r="J432" s="20" t="s">
        <v>2860</v>
      </c>
      <c r="K432" s="20" t="s">
        <v>10013</v>
      </c>
      <c r="L432" s="3">
        <v>31</v>
      </c>
      <c r="M432" s="3" t="s">
        <v>7973</v>
      </c>
      <c r="N432" s="3" t="str">
        <f>HYPERLINK("http://ictvonline.org/taxonomyHistory.asp?taxnode_id=20164890","ICTVonline=20164890")</f>
        <v>ICTVonline=20164890</v>
      </c>
    </row>
    <row r="433" spans="1:14" x14ac:dyDescent="0.15">
      <c r="A433" s="3">
        <v>432</v>
      </c>
      <c r="B433" s="1" t="s">
        <v>1366</v>
      </c>
      <c r="C433" s="1" t="s">
        <v>919</v>
      </c>
      <c r="D433" s="1" t="s">
        <v>1394</v>
      </c>
      <c r="E433" s="1" t="s">
        <v>7969</v>
      </c>
      <c r="F433" s="1" t="s">
        <v>7980</v>
      </c>
      <c r="G433" s="3">
        <v>0</v>
      </c>
      <c r="H433" s="20" t="s">
        <v>7981</v>
      </c>
      <c r="I433" s="20" t="s">
        <v>7982</v>
      </c>
      <c r="J433" s="20" t="s">
        <v>2860</v>
      </c>
      <c r="K433" s="20" t="s">
        <v>10013</v>
      </c>
      <c r="L433" s="3">
        <v>31</v>
      </c>
      <c r="M433" s="3" t="s">
        <v>7973</v>
      </c>
      <c r="N433" s="3" t="str">
        <f>HYPERLINK("http://ictvonline.org/taxonomyHistory.asp?taxnode_id=20164891","ICTVonline=20164891")</f>
        <v>ICTVonline=20164891</v>
      </c>
    </row>
    <row r="434" spans="1:14" x14ac:dyDescent="0.15">
      <c r="A434" s="3">
        <v>433</v>
      </c>
      <c r="B434" s="1" t="s">
        <v>1366</v>
      </c>
      <c r="C434" s="1" t="s">
        <v>919</v>
      </c>
      <c r="D434" s="1" t="s">
        <v>1394</v>
      </c>
      <c r="E434" s="1" t="s">
        <v>7969</v>
      </c>
      <c r="F434" s="1" t="s">
        <v>7983</v>
      </c>
      <c r="G434" s="3">
        <v>0</v>
      </c>
      <c r="H434" s="20" t="s">
        <v>7984</v>
      </c>
      <c r="I434" s="20" t="s">
        <v>7985</v>
      </c>
      <c r="J434" s="20" t="s">
        <v>2860</v>
      </c>
      <c r="K434" s="20" t="s">
        <v>10013</v>
      </c>
      <c r="L434" s="3">
        <v>31</v>
      </c>
      <c r="M434" s="3" t="s">
        <v>7973</v>
      </c>
      <c r="N434" s="3" t="str">
        <f>HYPERLINK("http://ictvonline.org/taxonomyHistory.asp?taxnode_id=20164892","ICTVonline=20164892")</f>
        <v>ICTVonline=20164892</v>
      </c>
    </row>
    <row r="435" spans="1:14" x14ac:dyDescent="0.15">
      <c r="A435" s="3">
        <v>434</v>
      </c>
      <c r="B435" s="1" t="s">
        <v>1366</v>
      </c>
      <c r="C435" s="1" t="s">
        <v>919</v>
      </c>
      <c r="D435" s="1" t="s">
        <v>1394</v>
      </c>
      <c r="E435" s="1" t="s">
        <v>7969</v>
      </c>
      <c r="F435" s="1" t="s">
        <v>7986</v>
      </c>
      <c r="G435" s="3">
        <v>0</v>
      </c>
      <c r="H435" s="20" t="s">
        <v>7987</v>
      </c>
      <c r="I435" s="20" t="s">
        <v>7988</v>
      </c>
      <c r="J435" s="20" t="s">
        <v>2860</v>
      </c>
      <c r="K435" s="20" t="s">
        <v>10013</v>
      </c>
      <c r="L435" s="3">
        <v>31</v>
      </c>
      <c r="M435" s="3" t="s">
        <v>7973</v>
      </c>
      <c r="N435" s="3" t="str">
        <f>HYPERLINK("http://ictvonline.org/taxonomyHistory.asp?taxnode_id=20164893","ICTVonline=20164893")</f>
        <v>ICTVonline=20164893</v>
      </c>
    </row>
    <row r="436" spans="1:14" x14ac:dyDescent="0.15">
      <c r="A436" s="3">
        <v>435</v>
      </c>
      <c r="B436" s="1" t="s">
        <v>1366</v>
      </c>
      <c r="C436" s="1" t="s">
        <v>919</v>
      </c>
      <c r="D436" s="1" t="s">
        <v>1394</v>
      </c>
      <c r="E436" s="1" t="s">
        <v>7969</v>
      </c>
      <c r="F436" s="1" t="s">
        <v>7989</v>
      </c>
      <c r="G436" s="3">
        <v>0</v>
      </c>
      <c r="H436" s="20" t="s">
        <v>7990</v>
      </c>
      <c r="I436" s="20" t="s">
        <v>7991</v>
      </c>
      <c r="J436" s="20" t="s">
        <v>2860</v>
      </c>
      <c r="K436" s="20" t="s">
        <v>10013</v>
      </c>
      <c r="L436" s="3">
        <v>31</v>
      </c>
      <c r="M436" s="3" t="s">
        <v>7973</v>
      </c>
      <c r="N436" s="3" t="str">
        <f>HYPERLINK("http://ictvonline.org/taxonomyHistory.asp?taxnode_id=20164894","ICTVonline=20164894")</f>
        <v>ICTVonline=20164894</v>
      </c>
    </row>
    <row r="437" spans="1:14" x14ac:dyDescent="0.15">
      <c r="A437" s="3">
        <v>436</v>
      </c>
      <c r="B437" s="1" t="s">
        <v>1366</v>
      </c>
      <c r="C437" s="1" t="s">
        <v>919</v>
      </c>
      <c r="D437" s="1" t="s">
        <v>1394</v>
      </c>
      <c r="E437" s="1" t="s">
        <v>7992</v>
      </c>
      <c r="F437" s="1" t="s">
        <v>7993</v>
      </c>
      <c r="G437" s="3">
        <v>0</v>
      </c>
      <c r="H437" s="20" t="s">
        <v>7994</v>
      </c>
      <c r="I437" s="20" t="s">
        <v>7995</v>
      </c>
      <c r="J437" s="20" t="s">
        <v>2860</v>
      </c>
      <c r="K437" s="20" t="s">
        <v>10013</v>
      </c>
      <c r="L437" s="3">
        <v>31</v>
      </c>
      <c r="M437" s="3" t="s">
        <v>7996</v>
      </c>
      <c r="N437" s="3" t="str">
        <f>HYPERLINK("http://ictvonline.org/taxonomyHistory.asp?taxnode_id=20164895","ICTVonline=20164895")</f>
        <v>ICTVonline=20164895</v>
      </c>
    </row>
    <row r="438" spans="1:14" x14ac:dyDescent="0.15">
      <c r="A438" s="3">
        <v>437</v>
      </c>
      <c r="B438" s="1" t="s">
        <v>1366</v>
      </c>
      <c r="C438" s="1" t="s">
        <v>919</v>
      </c>
      <c r="D438" s="1" t="s">
        <v>1394</v>
      </c>
      <c r="E438" s="1" t="s">
        <v>7992</v>
      </c>
      <c r="F438" s="1" t="s">
        <v>7997</v>
      </c>
      <c r="G438" s="3">
        <v>0</v>
      </c>
      <c r="H438" s="20" t="s">
        <v>7998</v>
      </c>
      <c r="I438" s="20" t="s">
        <v>7999</v>
      </c>
      <c r="J438" s="20" t="s">
        <v>2860</v>
      </c>
      <c r="K438" s="20" t="s">
        <v>10013</v>
      </c>
      <c r="L438" s="3">
        <v>31</v>
      </c>
      <c r="M438" s="3" t="s">
        <v>7996</v>
      </c>
      <c r="N438" s="3" t="str">
        <f>HYPERLINK("http://ictvonline.org/taxonomyHistory.asp?taxnode_id=20164897","ICTVonline=20164897")</f>
        <v>ICTVonline=20164897</v>
      </c>
    </row>
    <row r="439" spans="1:14" x14ac:dyDescent="0.15">
      <c r="A439" s="3">
        <v>438</v>
      </c>
      <c r="B439" s="1" t="s">
        <v>1366</v>
      </c>
      <c r="C439" s="1" t="s">
        <v>919</v>
      </c>
      <c r="D439" s="1" t="s">
        <v>1394</v>
      </c>
      <c r="E439" s="1" t="s">
        <v>7992</v>
      </c>
      <c r="F439" s="1" t="s">
        <v>8000</v>
      </c>
      <c r="G439" s="3">
        <v>0</v>
      </c>
      <c r="H439" s="20" t="s">
        <v>8001</v>
      </c>
      <c r="I439" s="20" t="s">
        <v>8002</v>
      </c>
      <c r="J439" s="20" t="s">
        <v>2860</v>
      </c>
      <c r="K439" s="20" t="s">
        <v>10013</v>
      </c>
      <c r="L439" s="3">
        <v>31</v>
      </c>
      <c r="M439" s="3" t="s">
        <v>7996</v>
      </c>
      <c r="N439" s="3" t="str">
        <f>HYPERLINK("http://ictvonline.org/taxonomyHistory.asp?taxnode_id=20164896","ICTVonline=20164896")</f>
        <v>ICTVonline=20164896</v>
      </c>
    </row>
    <row r="440" spans="1:14" x14ac:dyDescent="0.15">
      <c r="A440" s="3">
        <v>439</v>
      </c>
      <c r="B440" s="1" t="s">
        <v>1366</v>
      </c>
      <c r="C440" s="1" t="s">
        <v>919</v>
      </c>
      <c r="D440" s="1" t="s">
        <v>1394</v>
      </c>
      <c r="E440" s="1" t="s">
        <v>7992</v>
      </c>
      <c r="F440" s="1" t="s">
        <v>8003</v>
      </c>
      <c r="G440" s="3">
        <v>0</v>
      </c>
      <c r="H440" s="20" t="s">
        <v>8004</v>
      </c>
      <c r="I440" s="20" t="s">
        <v>8005</v>
      </c>
      <c r="J440" s="20" t="s">
        <v>2860</v>
      </c>
      <c r="K440" s="20" t="s">
        <v>10013</v>
      </c>
      <c r="L440" s="3">
        <v>31</v>
      </c>
      <c r="M440" s="3" t="s">
        <v>7996</v>
      </c>
      <c r="N440" s="3" t="str">
        <f>HYPERLINK("http://ictvonline.org/taxonomyHistory.asp?taxnode_id=20164898","ICTVonline=20164898")</f>
        <v>ICTVonline=20164898</v>
      </c>
    </row>
    <row r="441" spans="1:14" x14ac:dyDescent="0.15">
      <c r="A441" s="3">
        <v>440</v>
      </c>
      <c r="B441" s="1" t="s">
        <v>1366</v>
      </c>
      <c r="C441" s="1" t="s">
        <v>919</v>
      </c>
      <c r="D441" s="1" t="s">
        <v>1394</v>
      </c>
      <c r="E441" s="1" t="s">
        <v>7992</v>
      </c>
      <c r="F441" s="1" t="s">
        <v>8006</v>
      </c>
      <c r="G441" s="3">
        <v>1</v>
      </c>
      <c r="H441" s="20" t="s">
        <v>8007</v>
      </c>
      <c r="I441" s="20" t="s">
        <v>8008</v>
      </c>
      <c r="J441" s="20" t="s">
        <v>2860</v>
      </c>
      <c r="K441" s="20" t="s">
        <v>10013</v>
      </c>
      <c r="L441" s="3">
        <v>31</v>
      </c>
      <c r="M441" s="3" t="s">
        <v>7996</v>
      </c>
      <c r="N441" s="3" t="str">
        <f>HYPERLINK("http://ictvonline.org/taxonomyHistory.asp?taxnode_id=20164899","ICTVonline=20164899")</f>
        <v>ICTVonline=20164899</v>
      </c>
    </row>
    <row r="442" spans="1:14" x14ac:dyDescent="0.15">
      <c r="A442" s="3">
        <v>441</v>
      </c>
      <c r="B442" s="1" t="s">
        <v>1366</v>
      </c>
      <c r="C442" s="1" t="s">
        <v>919</v>
      </c>
      <c r="D442" s="1" t="s">
        <v>1394</v>
      </c>
      <c r="E442" s="1" t="s">
        <v>7992</v>
      </c>
      <c r="F442" s="1" t="s">
        <v>8009</v>
      </c>
      <c r="G442" s="3">
        <v>0</v>
      </c>
      <c r="H442" s="20" t="s">
        <v>8010</v>
      </c>
      <c r="I442" s="20" t="s">
        <v>8011</v>
      </c>
      <c r="J442" s="20" t="s">
        <v>2860</v>
      </c>
      <c r="K442" s="20" t="s">
        <v>10013</v>
      </c>
      <c r="L442" s="3">
        <v>31</v>
      </c>
      <c r="M442" s="3" t="s">
        <v>7996</v>
      </c>
      <c r="N442" s="3" t="str">
        <f>HYPERLINK("http://ictvonline.org/taxonomyHistory.asp?taxnode_id=20164900","ICTVonline=20164900")</f>
        <v>ICTVonline=20164900</v>
      </c>
    </row>
    <row r="443" spans="1:14" x14ac:dyDescent="0.15">
      <c r="A443" s="3">
        <v>442</v>
      </c>
      <c r="B443" s="1" t="s">
        <v>1366</v>
      </c>
      <c r="C443" s="1" t="s">
        <v>919</v>
      </c>
      <c r="D443" s="1" t="s">
        <v>1394</v>
      </c>
      <c r="E443" s="1" t="s">
        <v>3601</v>
      </c>
      <c r="F443" s="1" t="s">
        <v>3602</v>
      </c>
      <c r="G443" s="3">
        <v>0</v>
      </c>
      <c r="H443" s="20" t="s">
        <v>6598</v>
      </c>
      <c r="I443" s="20" t="s">
        <v>3603</v>
      </c>
      <c r="J443" s="20" t="s">
        <v>2860</v>
      </c>
      <c r="K443" s="20" t="s">
        <v>10013</v>
      </c>
      <c r="L443" s="3">
        <v>30</v>
      </c>
      <c r="M443" s="3" t="s">
        <v>10042</v>
      </c>
      <c r="N443" s="3" t="str">
        <f>HYPERLINK("http://ictvonline.org/taxonomyHistory.asp?taxnode_id=20160268","ICTVonline=20160268")</f>
        <v>ICTVonline=20160268</v>
      </c>
    </row>
    <row r="444" spans="1:14" x14ac:dyDescent="0.15">
      <c r="A444" s="3">
        <v>443</v>
      </c>
      <c r="B444" s="1" t="s">
        <v>1366</v>
      </c>
      <c r="C444" s="1" t="s">
        <v>919</v>
      </c>
      <c r="D444" s="1" t="s">
        <v>1394</v>
      </c>
      <c r="E444" s="1" t="s">
        <v>3601</v>
      </c>
      <c r="F444" s="1" t="s">
        <v>3604</v>
      </c>
      <c r="G444" s="3">
        <v>0</v>
      </c>
      <c r="H444" s="20" t="s">
        <v>6599</v>
      </c>
      <c r="I444" s="20" t="s">
        <v>3605</v>
      </c>
      <c r="J444" s="20" t="s">
        <v>2860</v>
      </c>
      <c r="K444" s="20" t="s">
        <v>10013</v>
      </c>
      <c r="L444" s="3">
        <v>30</v>
      </c>
      <c r="M444" s="3" t="s">
        <v>10042</v>
      </c>
      <c r="N444" s="3" t="str">
        <f>HYPERLINK("http://ictvonline.org/taxonomyHistory.asp?taxnode_id=20160269","ICTVonline=20160269")</f>
        <v>ICTVonline=20160269</v>
      </c>
    </row>
    <row r="445" spans="1:14" x14ac:dyDescent="0.15">
      <c r="A445" s="3">
        <v>444</v>
      </c>
      <c r="B445" s="1" t="s">
        <v>1366</v>
      </c>
      <c r="C445" s="1" t="s">
        <v>919</v>
      </c>
      <c r="D445" s="1" t="s">
        <v>1394</v>
      </c>
      <c r="E445" s="1" t="s">
        <v>3601</v>
      </c>
      <c r="F445" s="1" t="s">
        <v>8012</v>
      </c>
      <c r="G445" s="3">
        <v>0</v>
      </c>
      <c r="H445" s="20" t="s">
        <v>8013</v>
      </c>
      <c r="I445" s="20" t="s">
        <v>8014</v>
      </c>
      <c r="J445" s="20" t="s">
        <v>2860</v>
      </c>
      <c r="K445" s="20" t="s">
        <v>10013</v>
      </c>
      <c r="L445" s="3">
        <v>31</v>
      </c>
      <c r="M445" s="3" t="s">
        <v>7480</v>
      </c>
      <c r="N445" s="3" t="str">
        <f>HYPERLINK("http://ictvonline.org/taxonomyHistory.asp?taxnode_id=20164901","ICTVonline=20164901")</f>
        <v>ICTVonline=20164901</v>
      </c>
    </row>
    <row r="446" spans="1:14" x14ac:dyDescent="0.15">
      <c r="A446" s="3">
        <v>445</v>
      </c>
      <c r="B446" s="1" t="s">
        <v>1366</v>
      </c>
      <c r="C446" s="1" t="s">
        <v>919</v>
      </c>
      <c r="D446" s="1" t="s">
        <v>1394</v>
      </c>
      <c r="E446" s="1" t="s">
        <v>3601</v>
      </c>
      <c r="F446" s="1" t="s">
        <v>3606</v>
      </c>
      <c r="G446" s="3">
        <v>1</v>
      </c>
      <c r="H446" s="20" t="s">
        <v>6600</v>
      </c>
      <c r="I446" s="20" t="s">
        <v>3607</v>
      </c>
      <c r="J446" s="20" t="s">
        <v>2860</v>
      </c>
      <c r="K446" s="20" t="s">
        <v>10013</v>
      </c>
      <c r="L446" s="3">
        <v>30</v>
      </c>
      <c r="M446" s="3" t="s">
        <v>10042</v>
      </c>
      <c r="N446" s="3" t="str">
        <f>HYPERLINK("http://ictvonline.org/taxonomyHistory.asp?taxnode_id=20160270","ICTVonline=20160270")</f>
        <v>ICTVonline=20160270</v>
      </c>
    </row>
    <row r="447" spans="1:14" x14ac:dyDescent="0.15">
      <c r="A447" s="3">
        <v>446</v>
      </c>
      <c r="B447" s="1" t="s">
        <v>1366</v>
      </c>
      <c r="C447" s="1" t="s">
        <v>919</v>
      </c>
      <c r="D447" s="1" t="s">
        <v>1394</v>
      </c>
      <c r="E447" s="1" t="s">
        <v>3601</v>
      </c>
      <c r="F447" s="1" t="s">
        <v>8015</v>
      </c>
      <c r="G447" s="3">
        <v>0</v>
      </c>
      <c r="H447" s="20" t="s">
        <v>8016</v>
      </c>
      <c r="I447" s="20" t="s">
        <v>8017</v>
      </c>
      <c r="J447" s="20" t="s">
        <v>2860</v>
      </c>
      <c r="K447" s="20" t="s">
        <v>10013</v>
      </c>
      <c r="L447" s="3">
        <v>31</v>
      </c>
      <c r="M447" s="3" t="s">
        <v>7480</v>
      </c>
      <c r="N447" s="3" t="str">
        <f>HYPERLINK("http://ictvonline.org/taxonomyHistory.asp?taxnode_id=20164902","ICTVonline=20164902")</f>
        <v>ICTVonline=20164902</v>
      </c>
    </row>
    <row r="448" spans="1:14" x14ac:dyDescent="0.15">
      <c r="A448" s="3">
        <v>447</v>
      </c>
      <c r="B448" s="1" t="s">
        <v>1366</v>
      </c>
      <c r="C448" s="1" t="s">
        <v>919</v>
      </c>
      <c r="D448" s="1" t="s">
        <v>1394</v>
      </c>
      <c r="E448" s="1" t="s">
        <v>3601</v>
      </c>
      <c r="F448" s="1" t="s">
        <v>8018</v>
      </c>
      <c r="G448" s="3">
        <v>0</v>
      </c>
      <c r="H448" s="20" t="s">
        <v>8019</v>
      </c>
      <c r="I448" s="20" t="s">
        <v>8020</v>
      </c>
      <c r="J448" s="20" t="s">
        <v>2860</v>
      </c>
      <c r="K448" s="20" t="s">
        <v>10013</v>
      </c>
      <c r="L448" s="3">
        <v>31</v>
      </c>
      <c r="M448" s="3" t="s">
        <v>7480</v>
      </c>
      <c r="N448" s="3" t="str">
        <f>HYPERLINK("http://ictvonline.org/taxonomyHistory.asp?taxnode_id=20164904","ICTVonline=20164904")</f>
        <v>ICTVonline=20164904</v>
      </c>
    </row>
    <row r="449" spans="1:14" x14ac:dyDescent="0.15">
      <c r="A449" s="3">
        <v>448</v>
      </c>
      <c r="B449" s="1" t="s">
        <v>1366</v>
      </c>
      <c r="C449" s="1" t="s">
        <v>919</v>
      </c>
      <c r="D449" s="1" t="s">
        <v>1394</v>
      </c>
      <c r="E449" s="1" t="s">
        <v>3601</v>
      </c>
      <c r="F449" s="1" t="s">
        <v>8021</v>
      </c>
      <c r="G449" s="3">
        <v>0</v>
      </c>
      <c r="H449" s="20" t="s">
        <v>8022</v>
      </c>
      <c r="I449" s="20" t="s">
        <v>8023</v>
      </c>
      <c r="J449" s="20" t="s">
        <v>2860</v>
      </c>
      <c r="K449" s="20" t="s">
        <v>10013</v>
      </c>
      <c r="L449" s="3">
        <v>31</v>
      </c>
      <c r="M449" s="3" t="s">
        <v>7480</v>
      </c>
      <c r="N449" s="3" t="str">
        <f>HYPERLINK("http://ictvonline.org/taxonomyHistory.asp?taxnode_id=20164903","ICTVonline=20164903")</f>
        <v>ICTVonline=20164903</v>
      </c>
    </row>
    <row r="450" spans="1:14" x14ac:dyDescent="0.15">
      <c r="A450" s="3">
        <v>449</v>
      </c>
      <c r="B450" s="1" t="s">
        <v>1366</v>
      </c>
      <c r="C450" s="1" t="s">
        <v>919</v>
      </c>
      <c r="D450" s="1" t="s">
        <v>1394</v>
      </c>
      <c r="E450" s="1" t="s">
        <v>3601</v>
      </c>
      <c r="F450" s="1" t="s">
        <v>3608</v>
      </c>
      <c r="G450" s="3">
        <v>0</v>
      </c>
      <c r="H450" s="20" t="s">
        <v>6601</v>
      </c>
      <c r="I450" s="20" t="s">
        <v>3609</v>
      </c>
      <c r="J450" s="20" t="s">
        <v>2860</v>
      </c>
      <c r="K450" s="20" t="s">
        <v>10013</v>
      </c>
      <c r="L450" s="3">
        <v>30</v>
      </c>
      <c r="M450" s="3" t="s">
        <v>10042</v>
      </c>
      <c r="N450" s="3" t="str">
        <f>HYPERLINK("http://ictvonline.org/taxonomyHistory.asp?taxnode_id=20160271","ICTVonline=20160271")</f>
        <v>ICTVonline=20160271</v>
      </c>
    </row>
    <row r="451" spans="1:14" x14ac:dyDescent="0.15">
      <c r="A451" s="3">
        <v>450</v>
      </c>
      <c r="B451" s="1" t="s">
        <v>1366</v>
      </c>
      <c r="C451" s="1" t="s">
        <v>919</v>
      </c>
      <c r="D451" s="1" t="s">
        <v>1394</v>
      </c>
      <c r="E451" s="1" t="s">
        <v>3601</v>
      </c>
      <c r="F451" s="1" t="s">
        <v>3610</v>
      </c>
      <c r="G451" s="3">
        <v>0</v>
      </c>
      <c r="H451" s="20" t="s">
        <v>6602</v>
      </c>
      <c r="I451" s="20" t="s">
        <v>3611</v>
      </c>
      <c r="J451" s="20" t="s">
        <v>2860</v>
      </c>
      <c r="K451" s="20" t="s">
        <v>10013</v>
      </c>
      <c r="L451" s="3">
        <v>30</v>
      </c>
      <c r="M451" s="3" t="s">
        <v>10042</v>
      </c>
      <c r="N451" s="3" t="str">
        <f>HYPERLINK("http://ictvonline.org/taxonomyHistory.asp?taxnode_id=20160272","ICTVonline=20160272")</f>
        <v>ICTVonline=20160272</v>
      </c>
    </row>
    <row r="452" spans="1:14" x14ac:dyDescent="0.15">
      <c r="A452" s="3">
        <v>451</v>
      </c>
      <c r="B452" s="1" t="s">
        <v>1366</v>
      </c>
      <c r="C452" s="1" t="s">
        <v>919</v>
      </c>
      <c r="D452" s="1" t="s">
        <v>1394</v>
      </c>
      <c r="E452" s="1" t="s">
        <v>3612</v>
      </c>
      <c r="F452" s="1" t="s">
        <v>3613</v>
      </c>
      <c r="G452" s="3">
        <v>0</v>
      </c>
      <c r="J452" s="20" t="s">
        <v>2860</v>
      </c>
      <c r="K452" s="20" t="s">
        <v>10014</v>
      </c>
      <c r="L452" s="3">
        <v>30</v>
      </c>
      <c r="M452" s="3" t="s">
        <v>10017</v>
      </c>
      <c r="N452" s="3" t="str">
        <f>HYPERLINK("http://ictvonline.org/taxonomyHistory.asp?taxnode_id=20160274","ICTVonline=20160274")</f>
        <v>ICTVonline=20160274</v>
      </c>
    </row>
    <row r="453" spans="1:14" x14ac:dyDescent="0.15">
      <c r="A453" s="3">
        <v>452</v>
      </c>
      <c r="B453" s="1" t="s">
        <v>1366</v>
      </c>
      <c r="C453" s="1" t="s">
        <v>919</v>
      </c>
      <c r="D453" s="1" t="s">
        <v>1394</v>
      </c>
      <c r="E453" s="1" t="s">
        <v>3612</v>
      </c>
      <c r="F453" s="1" t="s">
        <v>3614</v>
      </c>
      <c r="G453" s="3">
        <v>0</v>
      </c>
      <c r="J453" s="20" t="s">
        <v>2860</v>
      </c>
      <c r="K453" s="20" t="s">
        <v>10014</v>
      </c>
      <c r="L453" s="3">
        <v>30</v>
      </c>
      <c r="M453" s="3" t="s">
        <v>10017</v>
      </c>
      <c r="N453" s="3" t="str">
        <f>HYPERLINK("http://ictvonline.org/taxonomyHistory.asp?taxnode_id=20160275","ICTVonline=20160275")</f>
        <v>ICTVonline=20160275</v>
      </c>
    </row>
    <row r="454" spans="1:14" x14ac:dyDescent="0.15">
      <c r="A454" s="3">
        <v>453</v>
      </c>
      <c r="B454" s="1" t="s">
        <v>1366</v>
      </c>
      <c r="C454" s="1" t="s">
        <v>919</v>
      </c>
      <c r="D454" s="1" t="s">
        <v>1394</v>
      </c>
      <c r="E454" s="1" t="s">
        <v>3612</v>
      </c>
      <c r="F454" s="1" t="s">
        <v>3615</v>
      </c>
      <c r="G454" s="3">
        <v>0</v>
      </c>
      <c r="J454" s="20" t="s">
        <v>2860</v>
      </c>
      <c r="K454" s="20" t="s">
        <v>10014</v>
      </c>
      <c r="L454" s="3">
        <v>30</v>
      </c>
      <c r="M454" s="3" t="s">
        <v>10017</v>
      </c>
      <c r="N454" s="3" t="str">
        <f>HYPERLINK("http://ictvonline.org/taxonomyHistory.asp?taxnode_id=20160276","ICTVonline=20160276")</f>
        <v>ICTVonline=20160276</v>
      </c>
    </row>
    <row r="455" spans="1:14" x14ac:dyDescent="0.15">
      <c r="A455" s="3">
        <v>454</v>
      </c>
      <c r="B455" s="1" t="s">
        <v>1366</v>
      </c>
      <c r="C455" s="1" t="s">
        <v>919</v>
      </c>
      <c r="D455" s="1" t="s">
        <v>1394</v>
      </c>
      <c r="E455" s="1" t="s">
        <v>3612</v>
      </c>
      <c r="F455" s="1" t="s">
        <v>3616</v>
      </c>
      <c r="G455" s="3">
        <v>1</v>
      </c>
      <c r="J455" s="20" t="s">
        <v>2860</v>
      </c>
      <c r="K455" s="20" t="s">
        <v>10014</v>
      </c>
      <c r="L455" s="3">
        <v>30</v>
      </c>
      <c r="M455" s="3" t="s">
        <v>10017</v>
      </c>
      <c r="N455" s="3" t="str">
        <f>HYPERLINK("http://ictvonline.org/taxonomyHistory.asp?taxnode_id=20160277","ICTVonline=20160277")</f>
        <v>ICTVonline=20160277</v>
      </c>
    </row>
    <row r="456" spans="1:14" x14ac:dyDescent="0.15">
      <c r="A456" s="3">
        <v>455</v>
      </c>
      <c r="B456" s="1" t="s">
        <v>1366</v>
      </c>
      <c r="C456" s="1" t="s">
        <v>919</v>
      </c>
      <c r="D456" s="1" t="s">
        <v>1394</v>
      </c>
      <c r="E456" s="1" t="s">
        <v>8024</v>
      </c>
      <c r="F456" s="1" t="s">
        <v>8025</v>
      </c>
      <c r="G456" s="3">
        <v>0</v>
      </c>
      <c r="H456" s="20" t="s">
        <v>8026</v>
      </c>
      <c r="I456" s="20" t="s">
        <v>8027</v>
      </c>
      <c r="J456" s="20" t="s">
        <v>2860</v>
      </c>
      <c r="K456" s="20" t="s">
        <v>10013</v>
      </c>
      <c r="L456" s="3">
        <v>31</v>
      </c>
      <c r="M456" s="3" t="s">
        <v>8028</v>
      </c>
      <c r="N456" s="3" t="str">
        <f>HYPERLINK("http://ictvonline.org/taxonomyHistory.asp?taxnode_id=20164905","ICTVonline=20164905")</f>
        <v>ICTVonline=20164905</v>
      </c>
    </row>
    <row r="457" spans="1:14" x14ac:dyDescent="0.15">
      <c r="A457" s="3">
        <v>456</v>
      </c>
      <c r="B457" s="1" t="s">
        <v>1366</v>
      </c>
      <c r="C457" s="1" t="s">
        <v>919</v>
      </c>
      <c r="D457" s="1" t="s">
        <v>1394</v>
      </c>
      <c r="E457" s="1" t="s">
        <v>8024</v>
      </c>
      <c r="F457" s="1" t="s">
        <v>8029</v>
      </c>
      <c r="G457" s="3">
        <v>0</v>
      </c>
      <c r="H457" s="20" t="s">
        <v>8030</v>
      </c>
      <c r="I457" s="20" t="s">
        <v>8031</v>
      </c>
      <c r="J457" s="20" t="s">
        <v>2860</v>
      </c>
      <c r="K457" s="20" t="s">
        <v>10013</v>
      </c>
      <c r="L457" s="3">
        <v>31</v>
      </c>
      <c r="M457" s="3" t="s">
        <v>8028</v>
      </c>
      <c r="N457" s="3" t="str">
        <f>HYPERLINK("http://ictvonline.org/taxonomyHistory.asp?taxnode_id=20164906","ICTVonline=20164906")</f>
        <v>ICTVonline=20164906</v>
      </c>
    </row>
    <row r="458" spans="1:14" x14ac:dyDescent="0.15">
      <c r="A458" s="3">
        <v>457</v>
      </c>
      <c r="B458" s="1" t="s">
        <v>1366</v>
      </c>
      <c r="C458" s="1" t="s">
        <v>919</v>
      </c>
      <c r="D458" s="1" t="s">
        <v>1394</v>
      </c>
      <c r="E458" s="1" t="s">
        <v>8024</v>
      </c>
      <c r="F458" s="1" t="s">
        <v>8032</v>
      </c>
      <c r="G458" s="3">
        <v>1</v>
      </c>
      <c r="H458" s="20" t="s">
        <v>8033</v>
      </c>
      <c r="I458" s="20" t="s">
        <v>8034</v>
      </c>
      <c r="J458" s="20" t="s">
        <v>2860</v>
      </c>
      <c r="K458" s="20" t="s">
        <v>10013</v>
      </c>
      <c r="L458" s="3">
        <v>31</v>
      </c>
      <c r="M458" s="3" t="s">
        <v>8028</v>
      </c>
      <c r="N458" s="3" t="str">
        <f>HYPERLINK("http://ictvonline.org/taxonomyHistory.asp?taxnode_id=20164907","ICTVonline=20164907")</f>
        <v>ICTVonline=20164907</v>
      </c>
    </row>
    <row r="459" spans="1:14" x14ac:dyDescent="0.15">
      <c r="A459" s="3">
        <v>458</v>
      </c>
      <c r="B459" s="1" t="s">
        <v>1366</v>
      </c>
      <c r="C459" s="1" t="s">
        <v>919</v>
      </c>
      <c r="D459" s="1" t="s">
        <v>1394</v>
      </c>
      <c r="E459" s="1" t="s">
        <v>3617</v>
      </c>
      <c r="F459" s="1" t="s">
        <v>3618</v>
      </c>
      <c r="G459" s="3">
        <v>0</v>
      </c>
      <c r="J459" s="20" t="s">
        <v>2860</v>
      </c>
      <c r="K459" s="20" t="s">
        <v>10014</v>
      </c>
      <c r="L459" s="3">
        <v>30</v>
      </c>
      <c r="M459" s="3" t="s">
        <v>10017</v>
      </c>
      <c r="N459" s="3" t="str">
        <f>HYPERLINK("http://ictvonline.org/taxonomyHistory.asp?taxnode_id=20160279","ICTVonline=20160279")</f>
        <v>ICTVonline=20160279</v>
      </c>
    </row>
    <row r="460" spans="1:14" x14ac:dyDescent="0.15">
      <c r="A460" s="3">
        <v>459</v>
      </c>
      <c r="B460" s="1" t="s">
        <v>1366</v>
      </c>
      <c r="C460" s="1" t="s">
        <v>919</v>
      </c>
      <c r="D460" s="1" t="s">
        <v>1394</v>
      </c>
      <c r="E460" s="1" t="s">
        <v>3617</v>
      </c>
      <c r="F460" s="1" t="s">
        <v>3619</v>
      </c>
      <c r="G460" s="3">
        <v>0</v>
      </c>
      <c r="J460" s="20" t="s">
        <v>2860</v>
      </c>
      <c r="K460" s="20" t="s">
        <v>10014</v>
      </c>
      <c r="L460" s="3">
        <v>30</v>
      </c>
      <c r="M460" s="3" t="s">
        <v>10017</v>
      </c>
      <c r="N460" s="3" t="str">
        <f>HYPERLINK("http://ictvonline.org/taxonomyHistory.asp?taxnode_id=20160280","ICTVonline=20160280")</f>
        <v>ICTVonline=20160280</v>
      </c>
    </row>
    <row r="461" spans="1:14" x14ac:dyDescent="0.15">
      <c r="A461" s="3">
        <v>460</v>
      </c>
      <c r="B461" s="1" t="s">
        <v>1366</v>
      </c>
      <c r="C461" s="1" t="s">
        <v>919</v>
      </c>
      <c r="D461" s="1" t="s">
        <v>1394</v>
      </c>
      <c r="E461" s="1" t="s">
        <v>3617</v>
      </c>
      <c r="F461" s="1" t="s">
        <v>3620</v>
      </c>
      <c r="G461" s="3">
        <v>0</v>
      </c>
      <c r="J461" s="20" t="s">
        <v>2860</v>
      </c>
      <c r="K461" s="20" t="s">
        <v>10014</v>
      </c>
      <c r="L461" s="3">
        <v>30</v>
      </c>
      <c r="M461" s="3" t="s">
        <v>10017</v>
      </c>
      <c r="N461" s="3" t="str">
        <f>HYPERLINK("http://ictvonline.org/taxonomyHistory.asp?taxnode_id=20160281","ICTVonline=20160281")</f>
        <v>ICTVonline=20160281</v>
      </c>
    </row>
    <row r="462" spans="1:14" x14ac:dyDescent="0.15">
      <c r="A462" s="3">
        <v>461</v>
      </c>
      <c r="B462" s="1" t="s">
        <v>1366</v>
      </c>
      <c r="C462" s="1" t="s">
        <v>919</v>
      </c>
      <c r="D462" s="1" t="s">
        <v>1394</v>
      </c>
      <c r="E462" s="1" t="s">
        <v>3617</v>
      </c>
      <c r="F462" s="1" t="s">
        <v>3621</v>
      </c>
      <c r="G462" s="3">
        <v>0</v>
      </c>
      <c r="J462" s="20" t="s">
        <v>2860</v>
      </c>
      <c r="K462" s="20" t="s">
        <v>10014</v>
      </c>
      <c r="L462" s="3">
        <v>30</v>
      </c>
      <c r="M462" s="3" t="s">
        <v>10017</v>
      </c>
      <c r="N462" s="3" t="str">
        <f>HYPERLINK("http://ictvonline.org/taxonomyHistory.asp?taxnode_id=20160282","ICTVonline=20160282")</f>
        <v>ICTVonline=20160282</v>
      </c>
    </row>
    <row r="463" spans="1:14" x14ac:dyDescent="0.15">
      <c r="A463" s="3">
        <v>462</v>
      </c>
      <c r="B463" s="1" t="s">
        <v>1366</v>
      </c>
      <c r="C463" s="1" t="s">
        <v>919</v>
      </c>
      <c r="D463" s="1" t="s">
        <v>1394</v>
      </c>
      <c r="E463" s="1" t="s">
        <v>3617</v>
      </c>
      <c r="F463" s="1" t="s">
        <v>3622</v>
      </c>
      <c r="G463" s="3">
        <v>1</v>
      </c>
      <c r="J463" s="20" t="s">
        <v>2860</v>
      </c>
      <c r="K463" s="20" t="s">
        <v>10014</v>
      </c>
      <c r="L463" s="3">
        <v>30</v>
      </c>
      <c r="M463" s="3" t="s">
        <v>10017</v>
      </c>
      <c r="N463" s="3" t="str">
        <f>HYPERLINK("http://ictvonline.org/taxonomyHistory.asp?taxnode_id=20160283","ICTVonline=20160283")</f>
        <v>ICTVonline=20160283</v>
      </c>
    </row>
    <row r="464" spans="1:14" x14ac:dyDescent="0.15">
      <c r="A464" s="3">
        <v>463</v>
      </c>
      <c r="B464" s="1" t="s">
        <v>1366</v>
      </c>
      <c r="C464" s="1" t="s">
        <v>919</v>
      </c>
      <c r="D464" s="1" t="s">
        <v>1394</v>
      </c>
      <c r="E464" s="1" t="s">
        <v>3623</v>
      </c>
      <c r="F464" s="1" t="s">
        <v>3624</v>
      </c>
      <c r="G464" s="3">
        <v>1</v>
      </c>
      <c r="J464" s="20" t="s">
        <v>2860</v>
      </c>
      <c r="K464" s="20" t="s">
        <v>10014</v>
      </c>
      <c r="L464" s="3">
        <v>30</v>
      </c>
      <c r="M464" s="3" t="s">
        <v>10017</v>
      </c>
      <c r="N464" s="3" t="str">
        <f>HYPERLINK("http://ictvonline.org/taxonomyHistory.asp?taxnode_id=20160285","ICTVonline=20160285")</f>
        <v>ICTVonline=20160285</v>
      </c>
    </row>
    <row r="465" spans="1:14" x14ac:dyDescent="0.15">
      <c r="A465" s="3">
        <v>464</v>
      </c>
      <c r="B465" s="1" t="s">
        <v>1366</v>
      </c>
      <c r="C465" s="1" t="s">
        <v>919</v>
      </c>
      <c r="D465" s="1" t="s">
        <v>1394</v>
      </c>
      <c r="E465" s="1" t="s">
        <v>3623</v>
      </c>
      <c r="F465" s="1" t="s">
        <v>3625</v>
      </c>
      <c r="G465" s="3">
        <v>0</v>
      </c>
      <c r="J465" s="20" t="s">
        <v>2860</v>
      </c>
      <c r="K465" s="20" t="s">
        <v>10014</v>
      </c>
      <c r="L465" s="3">
        <v>30</v>
      </c>
      <c r="M465" s="3" t="s">
        <v>10017</v>
      </c>
      <c r="N465" s="3" t="str">
        <f>HYPERLINK("http://ictvonline.org/taxonomyHistory.asp?taxnode_id=20160286","ICTVonline=20160286")</f>
        <v>ICTVonline=20160286</v>
      </c>
    </row>
    <row r="466" spans="1:14" x14ac:dyDescent="0.15">
      <c r="A466" s="3">
        <v>465</v>
      </c>
      <c r="B466" s="1" t="s">
        <v>1366</v>
      </c>
      <c r="C466" s="1" t="s">
        <v>919</v>
      </c>
      <c r="D466" s="1" t="s">
        <v>1394</v>
      </c>
      <c r="E466" s="1" t="s">
        <v>3623</v>
      </c>
      <c r="F466" s="1" t="s">
        <v>3626</v>
      </c>
      <c r="G466" s="3">
        <v>0</v>
      </c>
      <c r="J466" s="20" t="s">
        <v>2860</v>
      </c>
      <c r="K466" s="20" t="s">
        <v>10014</v>
      </c>
      <c r="L466" s="3">
        <v>30</v>
      </c>
      <c r="M466" s="3" t="s">
        <v>10017</v>
      </c>
      <c r="N466" s="3" t="str">
        <f>HYPERLINK("http://ictvonline.org/taxonomyHistory.asp?taxnode_id=20160287","ICTVonline=20160287")</f>
        <v>ICTVonline=20160287</v>
      </c>
    </row>
    <row r="467" spans="1:14" x14ac:dyDescent="0.15">
      <c r="A467" s="3">
        <v>466</v>
      </c>
      <c r="B467" s="1" t="s">
        <v>1366</v>
      </c>
      <c r="C467" s="1" t="s">
        <v>919</v>
      </c>
      <c r="D467" s="1" t="s">
        <v>1394</v>
      </c>
      <c r="E467" s="1" t="s">
        <v>926</v>
      </c>
      <c r="F467" s="1" t="s">
        <v>3627</v>
      </c>
      <c r="G467" s="3">
        <v>0</v>
      </c>
      <c r="J467" s="20" t="s">
        <v>2860</v>
      </c>
      <c r="K467" s="20" t="s">
        <v>10021</v>
      </c>
      <c r="L467" s="3">
        <v>30</v>
      </c>
      <c r="M467" s="3" t="s">
        <v>10017</v>
      </c>
      <c r="N467" s="3" t="str">
        <f>HYPERLINK("http://ictvonline.org/taxonomyHistory.asp?taxnode_id=20160289","ICTVonline=20160289")</f>
        <v>ICTVonline=20160289</v>
      </c>
    </row>
    <row r="468" spans="1:14" x14ac:dyDescent="0.15">
      <c r="A468" s="3">
        <v>467</v>
      </c>
      <c r="B468" s="1" t="s">
        <v>1366</v>
      </c>
      <c r="C468" s="1" t="s">
        <v>919</v>
      </c>
      <c r="D468" s="1" t="s">
        <v>1394</v>
      </c>
      <c r="E468" s="1" t="s">
        <v>926</v>
      </c>
      <c r="F468" s="1" t="s">
        <v>3628</v>
      </c>
      <c r="G468" s="3">
        <v>0</v>
      </c>
      <c r="J468" s="20" t="s">
        <v>2860</v>
      </c>
      <c r="K468" s="20" t="s">
        <v>10021</v>
      </c>
      <c r="L468" s="3">
        <v>30</v>
      </c>
      <c r="M468" s="3" t="s">
        <v>10017</v>
      </c>
      <c r="N468" s="3" t="str">
        <f>HYPERLINK("http://ictvonline.org/taxonomyHistory.asp?taxnode_id=20160290","ICTVonline=20160290")</f>
        <v>ICTVonline=20160290</v>
      </c>
    </row>
    <row r="469" spans="1:14" x14ac:dyDescent="0.15">
      <c r="A469" s="3">
        <v>468</v>
      </c>
      <c r="B469" s="1" t="s">
        <v>1366</v>
      </c>
      <c r="C469" s="1" t="s">
        <v>919</v>
      </c>
      <c r="D469" s="1" t="s">
        <v>1394</v>
      </c>
      <c r="E469" s="1" t="s">
        <v>926</v>
      </c>
      <c r="F469" s="1" t="s">
        <v>3629</v>
      </c>
      <c r="G469" s="3">
        <v>0</v>
      </c>
      <c r="J469" s="20" t="s">
        <v>2860</v>
      </c>
      <c r="K469" s="20" t="s">
        <v>10021</v>
      </c>
      <c r="L469" s="3">
        <v>30</v>
      </c>
      <c r="M469" s="3" t="s">
        <v>10017</v>
      </c>
      <c r="N469" s="3" t="str">
        <f>HYPERLINK("http://ictvonline.org/taxonomyHistory.asp?taxnode_id=20160291","ICTVonline=20160291")</f>
        <v>ICTVonline=20160291</v>
      </c>
    </row>
    <row r="470" spans="1:14" x14ac:dyDescent="0.15">
      <c r="A470" s="3">
        <v>469</v>
      </c>
      <c r="B470" s="1" t="s">
        <v>1366</v>
      </c>
      <c r="C470" s="1" t="s">
        <v>919</v>
      </c>
      <c r="D470" s="1" t="s">
        <v>673</v>
      </c>
      <c r="E470" s="1" t="s">
        <v>7468</v>
      </c>
      <c r="F470" s="1" t="s">
        <v>3641</v>
      </c>
      <c r="G470" s="3">
        <v>1</v>
      </c>
      <c r="H470" s="20" t="s">
        <v>7469</v>
      </c>
      <c r="J470" s="20" t="s">
        <v>2860</v>
      </c>
      <c r="K470" s="20" t="s">
        <v>10016</v>
      </c>
      <c r="L470" s="3">
        <v>31</v>
      </c>
      <c r="M470" s="3" t="s">
        <v>7470</v>
      </c>
      <c r="N470" s="3" t="str">
        <f>HYPERLINK("http://ictvonline.org/taxonomyHistory.asp?taxnode_id=20160304","ICTVonline=20160304")</f>
        <v>ICTVonline=20160304</v>
      </c>
    </row>
    <row r="471" spans="1:14" x14ac:dyDescent="0.15">
      <c r="A471" s="3">
        <v>470</v>
      </c>
      <c r="B471" s="1" t="s">
        <v>1366</v>
      </c>
      <c r="C471" s="1" t="s">
        <v>919</v>
      </c>
      <c r="D471" s="1" t="s">
        <v>673</v>
      </c>
      <c r="E471" s="1" t="s">
        <v>7468</v>
      </c>
      <c r="F471" s="1" t="s">
        <v>8035</v>
      </c>
      <c r="G471" s="3">
        <v>0</v>
      </c>
      <c r="H471" s="20" t="s">
        <v>8036</v>
      </c>
      <c r="I471" s="20" t="s">
        <v>8037</v>
      </c>
      <c r="J471" s="20" t="s">
        <v>2860</v>
      </c>
      <c r="K471" s="20" t="s">
        <v>10013</v>
      </c>
      <c r="L471" s="3">
        <v>31</v>
      </c>
      <c r="M471" s="3" t="s">
        <v>7470</v>
      </c>
      <c r="N471" s="3" t="str">
        <f>HYPERLINK("http://ictvonline.org/taxonomyHistory.asp?taxnode_id=20164908","ICTVonline=20164908")</f>
        <v>ICTVonline=20164908</v>
      </c>
    </row>
    <row r="472" spans="1:14" x14ac:dyDescent="0.15">
      <c r="A472" s="3">
        <v>471</v>
      </c>
      <c r="B472" s="1" t="s">
        <v>1366</v>
      </c>
      <c r="C472" s="1" t="s">
        <v>919</v>
      </c>
      <c r="D472" s="1" t="s">
        <v>673</v>
      </c>
      <c r="E472" s="1" t="s">
        <v>3630</v>
      </c>
      <c r="F472" s="1" t="s">
        <v>3631</v>
      </c>
      <c r="G472" s="3">
        <v>1</v>
      </c>
      <c r="J472" s="20" t="s">
        <v>2860</v>
      </c>
      <c r="K472" s="20" t="s">
        <v>10014</v>
      </c>
      <c r="L472" s="3">
        <v>30</v>
      </c>
      <c r="M472" s="3" t="s">
        <v>10017</v>
      </c>
      <c r="N472" s="3" t="str">
        <f>HYPERLINK("http://ictvonline.org/taxonomyHistory.asp?taxnode_id=20160294","ICTVonline=20160294")</f>
        <v>ICTVonline=20160294</v>
      </c>
    </row>
    <row r="473" spans="1:14" x14ac:dyDescent="0.15">
      <c r="A473" s="3">
        <v>472</v>
      </c>
      <c r="B473" s="1" t="s">
        <v>1366</v>
      </c>
      <c r="C473" s="1" t="s">
        <v>919</v>
      </c>
      <c r="D473" s="1" t="s">
        <v>673</v>
      </c>
      <c r="E473" s="1" t="s">
        <v>3630</v>
      </c>
      <c r="F473" s="1" t="s">
        <v>3632</v>
      </c>
      <c r="G473" s="3">
        <v>0</v>
      </c>
      <c r="J473" s="20" t="s">
        <v>2860</v>
      </c>
      <c r="K473" s="20" t="s">
        <v>10014</v>
      </c>
      <c r="L473" s="3">
        <v>30</v>
      </c>
      <c r="M473" s="3" t="s">
        <v>10017</v>
      </c>
      <c r="N473" s="3" t="str">
        <f>HYPERLINK("http://ictvonline.org/taxonomyHistory.asp?taxnode_id=20160295","ICTVonline=20160295")</f>
        <v>ICTVonline=20160295</v>
      </c>
    </row>
    <row r="474" spans="1:14" x14ac:dyDescent="0.15">
      <c r="A474" s="3">
        <v>473</v>
      </c>
      <c r="B474" s="1" t="s">
        <v>1366</v>
      </c>
      <c r="C474" s="1" t="s">
        <v>919</v>
      </c>
      <c r="D474" s="1" t="s">
        <v>673</v>
      </c>
      <c r="E474" s="1" t="s">
        <v>3634</v>
      </c>
      <c r="F474" s="1" t="s">
        <v>3635</v>
      </c>
      <c r="G474" s="3">
        <v>0</v>
      </c>
      <c r="J474" s="20" t="s">
        <v>2860</v>
      </c>
      <c r="K474" s="20" t="s">
        <v>10014</v>
      </c>
      <c r="L474" s="3">
        <v>30</v>
      </c>
      <c r="M474" s="3" t="s">
        <v>10017</v>
      </c>
      <c r="N474" s="3" t="str">
        <f>HYPERLINK("http://ictvonline.org/taxonomyHistory.asp?taxnode_id=20160297","ICTVonline=20160297")</f>
        <v>ICTVonline=20160297</v>
      </c>
    </row>
    <row r="475" spans="1:14" x14ac:dyDescent="0.15">
      <c r="A475" s="3">
        <v>474</v>
      </c>
      <c r="B475" s="1" t="s">
        <v>1366</v>
      </c>
      <c r="C475" s="1" t="s">
        <v>919</v>
      </c>
      <c r="D475" s="1" t="s">
        <v>673</v>
      </c>
      <c r="E475" s="1" t="s">
        <v>3634</v>
      </c>
      <c r="F475" s="1" t="s">
        <v>3636</v>
      </c>
      <c r="G475" s="3">
        <v>0</v>
      </c>
      <c r="J475" s="20" t="s">
        <v>2860</v>
      </c>
      <c r="K475" s="20" t="s">
        <v>10014</v>
      </c>
      <c r="L475" s="3">
        <v>30</v>
      </c>
      <c r="M475" s="3" t="s">
        <v>10017</v>
      </c>
      <c r="N475" s="3" t="str">
        <f>HYPERLINK("http://ictvonline.org/taxonomyHistory.asp?taxnode_id=20160298","ICTVonline=20160298")</f>
        <v>ICTVonline=20160298</v>
      </c>
    </row>
    <row r="476" spans="1:14" x14ac:dyDescent="0.15">
      <c r="A476" s="3">
        <v>475</v>
      </c>
      <c r="B476" s="1" t="s">
        <v>1366</v>
      </c>
      <c r="C476" s="1" t="s">
        <v>919</v>
      </c>
      <c r="D476" s="1" t="s">
        <v>673</v>
      </c>
      <c r="E476" s="1" t="s">
        <v>3634</v>
      </c>
      <c r="F476" s="1" t="s">
        <v>3637</v>
      </c>
      <c r="G476" s="3">
        <v>1</v>
      </c>
      <c r="J476" s="20" t="s">
        <v>2860</v>
      </c>
      <c r="K476" s="20" t="s">
        <v>10014</v>
      </c>
      <c r="L476" s="3">
        <v>30</v>
      </c>
      <c r="M476" s="3" t="s">
        <v>10017</v>
      </c>
      <c r="N476" s="3" t="str">
        <f>HYPERLINK("http://ictvonline.org/taxonomyHistory.asp?taxnode_id=20160299","ICTVonline=20160299")</f>
        <v>ICTVonline=20160299</v>
      </c>
    </row>
    <row r="477" spans="1:14" x14ac:dyDescent="0.15">
      <c r="A477" s="3">
        <v>476</v>
      </c>
      <c r="B477" s="1" t="s">
        <v>1366</v>
      </c>
      <c r="C477" s="1" t="s">
        <v>919</v>
      </c>
      <c r="D477" s="1" t="s">
        <v>673</v>
      </c>
      <c r="E477" s="1" t="s">
        <v>3634</v>
      </c>
      <c r="F477" s="1" t="s">
        <v>3638</v>
      </c>
      <c r="G477" s="3">
        <v>0</v>
      </c>
      <c r="J477" s="20" t="s">
        <v>2860</v>
      </c>
      <c r="K477" s="20" t="s">
        <v>10014</v>
      </c>
      <c r="L477" s="3">
        <v>30</v>
      </c>
      <c r="M477" s="3" t="s">
        <v>10017</v>
      </c>
      <c r="N477" s="3" t="str">
        <f>HYPERLINK("http://ictvonline.org/taxonomyHistory.asp?taxnode_id=20160300","ICTVonline=20160300")</f>
        <v>ICTVonline=20160300</v>
      </c>
    </row>
    <row r="478" spans="1:14" x14ac:dyDescent="0.15">
      <c r="A478" s="3">
        <v>477</v>
      </c>
      <c r="B478" s="1" t="s">
        <v>1366</v>
      </c>
      <c r="C478" s="1" t="s">
        <v>919</v>
      </c>
      <c r="D478" s="1" t="s">
        <v>673</v>
      </c>
      <c r="E478" s="1" t="s">
        <v>926</v>
      </c>
      <c r="F478" s="1" t="s">
        <v>3639</v>
      </c>
      <c r="G478" s="3">
        <v>0</v>
      </c>
      <c r="J478" s="20" t="s">
        <v>2860</v>
      </c>
      <c r="K478" s="20" t="s">
        <v>10021</v>
      </c>
      <c r="L478" s="3">
        <v>30</v>
      </c>
      <c r="M478" s="3" t="s">
        <v>10017</v>
      </c>
      <c r="N478" s="3" t="str">
        <f>HYPERLINK("http://ictvonline.org/taxonomyHistory.asp?taxnode_id=20160302","ICTVonline=20160302")</f>
        <v>ICTVonline=20160302</v>
      </c>
    </row>
    <row r="479" spans="1:14" x14ac:dyDescent="0.15">
      <c r="A479" s="3">
        <v>478</v>
      </c>
      <c r="B479" s="1" t="s">
        <v>1366</v>
      </c>
      <c r="C479" s="1" t="s">
        <v>919</v>
      </c>
      <c r="D479" s="1" t="s">
        <v>673</v>
      </c>
      <c r="E479" s="1" t="s">
        <v>926</v>
      </c>
      <c r="F479" s="1" t="s">
        <v>3640</v>
      </c>
      <c r="G479" s="3">
        <v>0</v>
      </c>
      <c r="J479" s="20" t="s">
        <v>2860</v>
      </c>
      <c r="K479" s="20" t="s">
        <v>10021</v>
      </c>
      <c r="L479" s="3">
        <v>30</v>
      </c>
      <c r="M479" s="3" t="s">
        <v>10017</v>
      </c>
      <c r="N479" s="3" t="str">
        <f>HYPERLINK("http://ictvonline.org/taxonomyHistory.asp?taxnode_id=20160303","ICTVonline=20160303")</f>
        <v>ICTVonline=20160303</v>
      </c>
    </row>
    <row r="480" spans="1:14" x14ac:dyDescent="0.15">
      <c r="A480" s="3">
        <v>479</v>
      </c>
      <c r="B480" s="1" t="s">
        <v>1366</v>
      </c>
      <c r="C480" s="1" t="s">
        <v>919</v>
      </c>
      <c r="D480" s="1" t="s">
        <v>8038</v>
      </c>
      <c r="E480" s="1" t="s">
        <v>8039</v>
      </c>
      <c r="F480" s="1" t="s">
        <v>8040</v>
      </c>
      <c r="G480" s="3">
        <v>0</v>
      </c>
      <c r="H480" s="20" t="s">
        <v>8041</v>
      </c>
      <c r="I480" s="20" t="s">
        <v>8042</v>
      </c>
      <c r="J480" s="20" t="s">
        <v>2860</v>
      </c>
      <c r="K480" s="20" t="s">
        <v>10013</v>
      </c>
      <c r="L480" s="3">
        <v>31</v>
      </c>
      <c r="M480" s="3" t="s">
        <v>8043</v>
      </c>
      <c r="N480" s="3" t="str">
        <f>HYPERLINK("http://ictvonline.org/taxonomyHistory.asp?taxnode_id=20164909","ICTVonline=20164909")</f>
        <v>ICTVonline=20164909</v>
      </c>
    </row>
    <row r="481" spans="1:14" x14ac:dyDescent="0.15">
      <c r="A481" s="3">
        <v>480</v>
      </c>
      <c r="B481" s="1" t="s">
        <v>1366</v>
      </c>
      <c r="C481" s="1" t="s">
        <v>919</v>
      </c>
      <c r="D481" s="1" t="s">
        <v>8038</v>
      </c>
      <c r="E481" s="1" t="s">
        <v>8039</v>
      </c>
      <c r="F481" s="1" t="s">
        <v>8044</v>
      </c>
      <c r="G481" s="3">
        <v>1</v>
      </c>
      <c r="H481" s="20" t="s">
        <v>8045</v>
      </c>
      <c r="I481" s="20" t="s">
        <v>8046</v>
      </c>
      <c r="J481" s="20" t="s">
        <v>2860</v>
      </c>
      <c r="K481" s="20" t="s">
        <v>10013</v>
      </c>
      <c r="L481" s="3">
        <v>31</v>
      </c>
      <c r="M481" s="3" t="s">
        <v>8043</v>
      </c>
      <c r="N481" s="3" t="str">
        <f>HYPERLINK("http://ictvonline.org/taxonomyHistory.asp?taxnode_id=20164910","ICTVonline=20164910")</f>
        <v>ICTVonline=20164910</v>
      </c>
    </row>
    <row r="482" spans="1:14" x14ac:dyDescent="0.15">
      <c r="A482" s="3">
        <v>481</v>
      </c>
      <c r="B482" s="1" t="s">
        <v>1366</v>
      </c>
      <c r="C482" s="1" t="s">
        <v>919</v>
      </c>
      <c r="D482" s="1" t="s">
        <v>8038</v>
      </c>
      <c r="E482" s="1" t="s">
        <v>8039</v>
      </c>
      <c r="F482" s="1" t="s">
        <v>8047</v>
      </c>
      <c r="G482" s="3">
        <v>0</v>
      </c>
      <c r="H482" s="20" t="s">
        <v>8048</v>
      </c>
      <c r="I482" s="20" t="s">
        <v>8049</v>
      </c>
      <c r="J482" s="20" t="s">
        <v>2860</v>
      </c>
      <c r="K482" s="20" t="s">
        <v>10013</v>
      </c>
      <c r="L482" s="3">
        <v>31</v>
      </c>
      <c r="M482" s="3" t="s">
        <v>8043</v>
      </c>
      <c r="N482" s="3" t="str">
        <f>HYPERLINK("http://ictvonline.org/taxonomyHistory.asp?taxnode_id=20164911","ICTVonline=20164911")</f>
        <v>ICTVonline=20164911</v>
      </c>
    </row>
    <row r="483" spans="1:14" x14ac:dyDescent="0.15">
      <c r="A483" s="3">
        <v>482</v>
      </c>
      <c r="B483" s="1" t="s">
        <v>1366</v>
      </c>
      <c r="C483" s="1" t="s">
        <v>919</v>
      </c>
      <c r="D483" s="1" t="s">
        <v>8038</v>
      </c>
      <c r="E483" s="1" t="s">
        <v>8039</v>
      </c>
      <c r="F483" s="1" t="s">
        <v>8050</v>
      </c>
      <c r="G483" s="3">
        <v>0</v>
      </c>
      <c r="H483" s="20" t="s">
        <v>8051</v>
      </c>
      <c r="I483" s="20" t="s">
        <v>8052</v>
      </c>
      <c r="J483" s="20" t="s">
        <v>2860</v>
      </c>
      <c r="K483" s="20" t="s">
        <v>10013</v>
      </c>
      <c r="L483" s="3">
        <v>31</v>
      </c>
      <c r="M483" s="3" t="s">
        <v>8043</v>
      </c>
      <c r="N483" s="3" t="str">
        <f>HYPERLINK("http://ictvonline.org/taxonomyHistory.asp?taxnode_id=20164912","ICTVonline=20164912")</f>
        <v>ICTVonline=20164912</v>
      </c>
    </row>
    <row r="484" spans="1:14" x14ac:dyDescent="0.15">
      <c r="A484" s="3">
        <v>483</v>
      </c>
      <c r="B484" s="1" t="s">
        <v>1366</v>
      </c>
      <c r="C484" s="1" t="s">
        <v>919</v>
      </c>
      <c r="D484" s="1" t="s">
        <v>8038</v>
      </c>
      <c r="E484" s="1" t="s">
        <v>8039</v>
      </c>
      <c r="F484" s="1" t="s">
        <v>8053</v>
      </c>
      <c r="G484" s="3">
        <v>0</v>
      </c>
      <c r="H484" s="20" t="s">
        <v>8054</v>
      </c>
      <c r="I484" s="20" t="s">
        <v>8055</v>
      </c>
      <c r="J484" s="20" t="s">
        <v>2860</v>
      </c>
      <c r="K484" s="20" t="s">
        <v>10013</v>
      </c>
      <c r="L484" s="3">
        <v>31</v>
      </c>
      <c r="M484" s="3" t="s">
        <v>8043</v>
      </c>
      <c r="N484" s="3" t="str">
        <f>HYPERLINK("http://ictvonline.org/taxonomyHistory.asp?taxnode_id=20164913","ICTVonline=20164913")</f>
        <v>ICTVonline=20164913</v>
      </c>
    </row>
    <row r="485" spans="1:14" x14ac:dyDescent="0.15">
      <c r="A485" s="3">
        <v>484</v>
      </c>
      <c r="B485" s="1" t="s">
        <v>1366</v>
      </c>
      <c r="C485" s="1" t="s">
        <v>919</v>
      </c>
      <c r="D485" s="1" t="s">
        <v>8038</v>
      </c>
      <c r="E485" s="1" t="s">
        <v>8056</v>
      </c>
      <c r="F485" s="1" t="s">
        <v>8057</v>
      </c>
      <c r="G485" s="3">
        <v>0</v>
      </c>
      <c r="H485" s="20" t="s">
        <v>8058</v>
      </c>
      <c r="I485" s="20" t="s">
        <v>8059</v>
      </c>
      <c r="J485" s="20" t="s">
        <v>2860</v>
      </c>
      <c r="K485" s="20" t="s">
        <v>10013</v>
      </c>
      <c r="L485" s="3">
        <v>31</v>
      </c>
      <c r="M485" s="3" t="s">
        <v>8043</v>
      </c>
      <c r="N485" s="3" t="str">
        <f>HYPERLINK("http://ictvonline.org/taxonomyHistory.asp?taxnode_id=20164914","ICTVonline=20164914")</f>
        <v>ICTVonline=20164914</v>
      </c>
    </row>
    <row r="486" spans="1:14" x14ac:dyDescent="0.15">
      <c r="A486" s="3">
        <v>485</v>
      </c>
      <c r="B486" s="1" t="s">
        <v>1366</v>
      </c>
      <c r="C486" s="1" t="s">
        <v>919</v>
      </c>
      <c r="D486" s="1" t="s">
        <v>8038</v>
      </c>
      <c r="E486" s="1" t="s">
        <v>8056</v>
      </c>
      <c r="F486" s="1" t="s">
        <v>8060</v>
      </c>
      <c r="G486" s="3">
        <v>1</v>
      </c>
      <c r="H486" s="20" t="s">
        <v>8061</v>
      </c>
      <c r="I486" s="20" t="s">
        <v>8062</v>
      </c>
      <c r="J486" s="20" t="s">
        <v>2860</v>
      </c>
      <c r="K486" s="20" t="s">
        <v>10013</v>
      </c>
      <c r="L486" s="3">
        <v>31</v>
      </c>
      <c r="M486" s="3" t="s">
        <v>8043</v>
      </c>
      <c r="N486" s="3" t="str">
        <f>HYPERLINK("http://ictvonline.org/taxonomyHistory.asp?taxnode_id=20164915","ICTVonline=20164915")</f>
        <v>ICTVonline=20164915</v>
      </c>
    </row>
    <row r="487" spans="1:14" x14ac:dyDescent="0.15">
      <c r="A487" s="3">
        <v>486</v>
      </c>
      <c r="B487" s="1" t="s">
        <v>1366</v>
      </c>
      <c r="C487" s="1" t="s">
        <v>919</v>
      </c>
      <c r="D487" s="1" t="s">
        <v>8038</v>
      </c>
      <c r="E487" s="1" t="s">
        <v>8063</v>
      </c>
      <c r="F487" s="1" t="s">
        <v>8064</v>
      </c>
      <c r="G487" s="3">
        <v>0</v>
      </c>
      <c r="H487" s="20" t="s">
        <v>8065</v>
      </c>
      <c r="I487" s="20" t="s">
        <v>8066</v>
      </c>
      <c r="J487" s="20" t="s">
        <v>2860</v>
      </c>
      <c r="K487" s="20" t="s">
        <v>10013</v>
      </c>
      <c r="L487" s="3">
        <v>31</v>
      </c>
      <c r="M487" s="3" t="s">
        <v>8043</v>
      </c>
      <c r="N487" s="3" t="str">
        <f>HYPERLINK("http://ictvonline.org/taxonomyHistory.asp?taxnode_id=20164916","ICTVonline=20164916")</f>
        <v>ICTVonline=20164916</v>
      </c>
    </row>
    <row r="488" spans="1:14" x14ac:dyDescent="0.15">
      <c r="A488" s="3">
        <v>487</v>
      </c>
      <c r="B488" s="1" t="s">
        <v>1366</v>
      </c>
      <c r="C488" s="1" t="s">
        <v>919</v>
      </c>
      <c r="D488" s="1" t="s">
        <v>8038</v>
      </c>
      <c r="E488" s="1" t="s">
        <v>8063</v>
      </c>
      <c r="F488" s="1" t="s">
        <v>8067</v>
      </c>
      <c r="G488" s="3">
        <v>0</v>
      </c>
      <c r="H488" s="20" t="s">
        <v>8068</v>
      </c>
      <c r="I488" s="20" t="s">
        <v>8069</v>
      </c>
      <c r="J488" s="20" t="s">
        <v>2860</v>
      </c>
      <c r="K488" s="20" t="s">
        <v>10013</v>
      </c>
      <c r="L488" s="3">
        <v>31</v>
      </c>
      <c r="M488" s="3" t="s">
        <v>8043</v>
      </c>
      <c r="N488" s="3" t="str">
        <f>HYPERLINK("http://ictvonline.org/taxonomyHistory.asp?taxnode_id=20164917","ICTVonline=20164917")</f>
        <v>ICTVonline=20164917</v>
      </c>
    </row>
    <row r="489" spans="1:14" x14ac:dyDescent="0.15">
      <c r="A489" s="3">
        <v>488</v>
      </c>
      <c r="B489" s="1" t="s">
        <v>1366</v>
      </c>
      <c r="C489" s="1" t="s">
        <v>919</v>
      </c>
      <c r="D489" s="1" t="s">
        <v>8038</v>
      </c>
      <c r="E489" s="1" t="s">
        <v>8063</v>
      </c>
      <c r="F489" s="1" t="s">
        <v>8070</v>
      </c>
      <c r="G489" s="3">
        <v>1</v>
      </c>
      <c r="H489" s="20" t="s">
        <v>8071</v>
      </c>
      <c r="I489" s="20" t="s">
        <v>8072</v>
      </c>
      <c r="J489" s="20" t="s">
        <v>2860</v>
      </c>
      <c r="K489" s="20" t="s">
        <v>10013</v>
      </c>
      <c r="L489" s="3">
        <v>31</v>
      </c>
      <c r="M489" s="3" t="s">
        <v>8043</v>
      </c>
      <c r="N489" s="3" t="str">
        <f>HYPERLINK("http://ictvonline.org/taxonomyHistory.asp?taxnode_id=20164918","ICTVonline=20164918")</f>
        <v>ICTVonline=20164918</v>
      </c>
    </row>
    <row r="490" spans="1:14" x14ac:dyDescent="0.15">
      <c r="A490" s="3">
        <v>489</v>
      </c>
      <c r="B490" s="1" t="s">
        <v>1366</v>
      </c>
      <c r="C490" s="1" t="s">
        <v>919</v>
      </c>
      <c r="D490" s="1" t="s">
        <v>8038</v>
      </c>
      <c r="E490" s="1" t="s">
        <v>8063</v>
      </c>
      <c r="F490" s="1" t="s">
        <v>8073</v>
      </c>
      <c r="G490" s="3">
        <v>0</v>
      </c>
      <c r="H490" s="20" t="s">
        <v>8074</v>
      </c>
      <c r="I490" s="20" t="s">
        <v>8075</v>
      </c>
      <c r="J490" s="20" t="s">
        <v>2860</v>
      </c>
      <c r="K490" s="20" t="s">
        <v>10013</v>
      </c>
      <c r="L490" s="3">
        <v>31</v>
      </c>
      <c r="M490" s="3" t="s">
        <v>8043</v>
      </c>
      <c r="N490" s="3" t="str">
        <f>HYPERLINK("http://ictvonline.org/taxonomyHistory.asp?taxnode_id=20164919","ICTVonline=20164919")</f>
        <v>ICTVonline=20164919</v>
      </c>
    </row>
    <row r="491" spans="1:14" x14ac:dyDescent="0.15">
      <c r="A491" s="3">
        <v>490</v>
      </c>
      <c r="B491" s="1" t="s">
        <v>1366</v>
      </c>
      <c r="C491" s="1" t="s">
        <v>919</v>
      </c>
      <c r="E491" s="1" t="s">
        <v>7365</v>
      </c>
      <c r="F491" s="1" t="s">
        <v>3642</v>
      </c>
      <c r="G491" s="3">
        <v>1</v>
      </c>
      <c r="H491" s="20" t="s">
        <v>2861</v>
      </c>
      <c r="J491" s="20" t="s">
        <v>2860</v>
      </c>
      <c r="K491" s="20" t="s">
        <v>10016</v>
      </c>
      <c r="L491" s="3">
        <v>31</v>
      </c>
      <c r="M491" s="3" t="s">
        <v>10043</v>
      </c>
      <c r="N491" s="3" t="str">
        <f>HYPERLINK("http://ictvonline.org/taxonomyHistory.asp?taxnode_id=20160307","ICTVonline=20160307")</f>
        <v>ICTVonline=20160307</v>
      </c>
    </row>
    <row r="492" spans="1:14" x14ac:dyDescent="0.15">
      <c r="A492" s="3">
        <v>491</v>
      </c>
      <c r="B492" s="1" t="s">
        <v>1366</v>
      </c>
      <c r="C492" s="1" t="s">
        <v>919</v>
      </c>
      <c r="E492" s="1" t="s">
        <v>7365</v>
      </c>
      <c r="F492" s="1" t="s">
        <v>3643</v>
      </c>
      <c r="G492" s="3">
        <v>0</v>
      </c>
      <c r="H492" s="20" t="s">
        <v>2862</v>
      </c>
      <c r="J492" s="20" t="s">
        <v>2860</v>
      </c>
      <c r="K492" s="20" t="s">
        <v>10016</v>
      </c>
      <c r="L492" s="3">
        <v>31</v>
      </c>
      <c r="M492" s="3" t="s">
        <v>10043</v>
      </c>
      <c r="N492" s="3" t="str">
        <f>HYPERLINK("http://ictvonline.org/taxonomyHistory.asp?taxnode_id=20160308","ICTVonline=20160308")</f>
        <v>ICTVonline=20160308</v>
      </c>
    </row>
    <row r="493" spans="1:14" x14ac:dyDescent="0.15">
      <c r="A493" s="3">
        <v>492</v>
      </c>
      <c r="B493" s="1" t="s">
        <v>1366</v>
      </c>
      <c r="C493" s="1" t="s">
        <v>919</v>
      </c>
      <c r="E493" s="1" t="s">
        <v>7365</v>
      </c>
      <c r="F493" s="1" t="s">
        <v>3644</v>
      </c>
      <c r="G493" s="3">
        <v>0</v>
      </c>
      <c r="H493" s="20" t="s">
        <v>2863</v>
      </c>
      <c r="J493" s="20" t="s">
        <v>2860</v>
      </c>
      <c r="K493" s="20" t="s">
        <v>10016</v>
      </c>
      <c r="L493" s="3">
        <v>31</v>
      </c>
      <c r="M493" s="3" t="s">
        <v>10043</v>
      </c>
      <c r="N493" s="3" t="str">
        <f>HYPERLINK("http://ictvonline.org/taxonomyHistory.asp?taxnode_id=20160309","ICTVonline=20160309")</f>
        <v>ICTVonline=20160309</v>
      </c>
    </row>
    <row r="494" spans="1:14" x14ac:dyDescent="0.15">
      <c r="A494" s="3">
        <v>493</v>
      </c>
      <c r="B494" s="1" t="s">
        <v>1366</v>
      </c>
      <c r="C494" s="1" t="s">
        <v>919</v>
      </c>
      <c r="E494" s="1" t="s">
        <v>7365</v>
      </c>
      <c r="F494" s="1" t="s">
        <v>3645</v>
      </c>
      <c r="G494" s="3">
        <v>0</v>
      </c>
      <c r="H494" s="20" t="s">
        <v>2864</v>
      </c>
      <c r="J494" s="20" t="s">
        <v>2860</v>
      </c>
      <c r="K494" s="20" t="s">
        <v>10016</v>
      </c>
      <c r="L494" s="3">
        <v>31</v>
      </c>
      <c r="M494" s="3" t="s">
        <v>10043</v>
      </c>
      <c r="N494" s="3" t="str">
        <f>HYPERLINK("http://ictvonline.org/taxonomyHistory.asp?taxnode_id=20160310","ICTVonline=20160310")</f>
        <v>ICTVonline=20160310</v>
      </c>
    </row>
    <row r="495" spans="1:14" x14ac:dyDescent="0.15">
      <c r="A495" s="3">
        <v>494</v>
      </c>
      <c r="B495" s="1" t="s">
        <v>1366</v>
      </c>
      <c r="C495" s="1" t="s">
        <v>919</v>
      </c>
      <c r="E495" s="1" t="s">
        <v>3646</v>
      </c>
      <c r="F495" s="1" t="s">
        <v>3647</v>
      </c>
      <c r="G495" s="3">
        <v>1</v>
      </c>
      <c r="J495" s="20" t="s">
        <v>2860</v>
      </c>
      <c r="K495" s="20" t="s">
        <v>10014</v>
      </c>
      <c r="L495" s="3">
        <v>30</v>
      </c>
      <c r="M495" s="3" t="s">
        <v>10017</v>
      </c>
      <c r="N495" s="3" t="str">
        <f>HYPERLINK("http://ictvonline.org/taxonomyHistory.asp?taxnode_id=20160312","ICTVonline=20160312")</f>
        <v>ICTVonline=20160312</v>
      </c>
    </row>
    <row r="496" spans="1:14" x14ac:dyDescent="0.15">
      <c r="A496" s="3">
        <v>495</v>
      </c>
      <c r="B496" s="1" t="s">
        <v>1366</v>
      </c>
      <c r="C496" s="1" t="s">
        <v>919</v>
      </c>
      <c r="E496" s="1" t="s">
        <v>3646</v>
      </c>
      <c r="F496" s="1" t="s">
        <v>3648</v>
      </c>
      <c r="G496" s="3">
        <v>0</v>
      </c>
      <c r="J496" s="20" t="s">
        <v>2860</v>
      </c>
      <c r="K496" s="20" t="s">
        <v>10014</v>
      </c>
      <c r="L496" s="3">
        <v>30</v>
      </c>
      <c r="M496" s="3" t="s">
        <v>10017</v>
      </c>
      <c r="N496" s="3" t="str">
        <f>HYPERLINK("http://ictvonline.org/taxonomyHistory.asp?taxnode_id=20160313","ICTVonline=20160313")</f>
        <v>ICTVonline=20160313</v>
      </c>
    </row>
    <row r="497" spans="1:14" x14ac:dyDescent="0.15">
      <c r="A497" s="3">
        <v>496</v>
      </c>
      <c r="B497" s="1" t="s">
        <v>1366</v>
      </c>
      <c r="C497" s="1" t="s">
        <v>919</v>
      </c>
      <c r="E497" s="1" t="s">
        <v>3649</v>
      </c>
      <c r="F497" s="1" t="s">
        <v>3650</v>
      </c>
      <c r="G497" s="3">
        <v>1</v>
      </c>
      <c r="H497" s="20" t="s">
        <v>6603</v>
      </c>
      <c r="I497" s="20" t="s">
        <v>3651</v>
      </c>
      <c r="J497" s="20" t="s">
        <v>2860</v>
      </c>
      <c r="K497" s="20" t="s">
        <v>10013</v>
      </c>
      <c r="L497" s="3">
        <v>30</v>
      </c>
      <c r="M497" s="3" t="s">
        <v>10044</v>
      </c>
      <c r="N497" s="3" t="str">
        <f>HYPERLINK("http://ictvonline.org/taxonomyHistory.asp?taxnode_id=20160315","ICTVonline=20160315")</f>
        <v>ICTVonline=20160315</v>
      </c>
    </row>
    <row r="498" spans="1:14" x14ac:dyDescent="0.15">
      <c r="A498" s="3">
        <v>497</v>
      </c>
      <c r="B498" s="1" t="s">
        <v>1366</v>
      </c>
      <c r="C498" s="1" t="s">
        <v>919</v>
      </c>
      <c r="E498" s="1" t="s">
        <v>3649</v>
      </c>
      <c r="F498" s="1" t="s">
        <v>3652</v>
      </c>
      <c r="G498" s="3">
        <v>0</v>
      </c>
      <c r="H498" s="20" t="s">
        <v>6604</v>
      </c>
      <c r="I498" s="20" t="s">
        <v>3653</v>
      </c>
      <c r="J498" s="20" t="s">
        <v>2860</v>
      </c>
      <c r="K498" s="20" t="s">
        <v>10013</v>
      </c>
      <c r="L498" s="3">
        <v>30</v>
      </c>
      <c r="M498" s="3" t="s">
        <v>10044</v>
      </c>
      <c r="N498" s="3" t="str">
        <f>HYPERLINK("http://ictvonline.org/taxonomyHistory.asp?taxnode_id=20160316","ICTVonline=20160316")</f>
        <v>ICTVonline=20160316</v>
      </c>
    </row>
    <row r="499" spans="1:14" x14ac:dyDescent="0.15">
      <c r="A499" s="3">
        <v>498</v>
      </c>
      <c r="B499" s="1" t="s">
        <v>1366</v>
      </c>
      <c r="C499" s="1" t="s">
        <v>919</v>
      </c>
      <c r="E499" s="1" t="s">
        <v>8076</v>
      </c>
      <c r="F499" s="1" t="s">
        <v>8077</v>
      </c>
      <c r="G499" s="3">
        <v>1</v>
      </c>
      <c r="H499" s="20" t="s">
        <v>8078</v>
      </c>
      <c r="I499" s="20" t="s">
        <v>8079</v>
      </c>
      <c r="J499" s="20" t="s">
        <v>2860</v>
      </c>
      <c r="K499" s="20" t="s">
        <v>10013</v>
      </c>
      <c r="L499" s="3">
        <v>31</v>
      </c>
      <c r="M499" s="3" t="s">
        <v>8080</v>
      </c>
      <c r="N499" s="3" t="str">
        <f>HYPERLINK("http://ictvonline.org/taxonomyHistory.asp?taxnode_id=20164920","ICTVonline=20164920")</f>
        <v>ICTVonline=20164920</v>
      </c>
    </row>
    <row r="500" spans="1:14" x14ac:dyDescent="0.15">
      <c r="A500" s="3">
        <v>499</v>
      </c>
      <c r="B500" s="1" t="s">
        <v>1366</v>
      </c>
      <c r="C500" s="1" t="s">
        <v>919</v>
      </c>
      <c r="E500" s="1" t="s">
        <v>8076</v>
      </c>
      <c r="F500" s="1" t="s">
        <v>8081</v>
      </c>
      <c r="G500" s="3">
        <v>0</v>
      </c>
      <c r="H500" s="20" t="s">
        <v>8082</v>
      </c>
      <c r="I500" s="20" t="s">
        <v>8083</v>
      </c>
      <c r="J500" s="20" t="s">
        <v>2860</v>
      </c>
      <c r="K500" s="20" t="s">
        <v>10013</v>
      </c>
      <c r="L500" s="3">
        <v>31</v>
      </c>
      <c r="M500" s="3" t="s">
        <v>8080</v>
      </c>
      <c r="N500" s="3" t="str">
        <f>HYPERLINK("http://ictvonline.org/taxonomyHistory.asp?taxnode_id=20164921","ICTVonline=20164921")</f>
        <v>ICTVonline=20164921</v>
      </c>
    </row>
    <row r="501" spans="1:14" x14ac:dyDescent="0.15">
      <c r="A501" s="3">
        <v>500</v>
      </c>
      <c r="B501" s="1" t="s">
        <v>1366</v>
      </c>
      <c r="C501" s="1" t="s">
        <v>919</v>
      </c>
      <c r="E501" s="1" t="s">
        <v>3654</v>
      </c>
      <c r="F501" s="1" t="s">
        <v>3655</v>
      </c>
      <c r="G501" s="3">
        <v>0</v>
      </c>
      <c r="J501" s="20" t="s">
        <v>2860</v>
      </c>
      <c r="K501" s="20" t="s">
        <v>10014</v>
      </c>
      <c r="L501" s="3">
        <v>30</v>
      </c>
      <c r="M501" s="3" t="s">
        <v>10017</v>
      </c>
      <c r="N501" s="3" t="str">
        <f>HYPERLINK("http://ictvonline.org/taxonomyHistory.asp?taxnode_id=20160318","ICTVonline=20160318")</f>
        <v>ICTVonline=20160318</v>
      </c>
    </row>
    <row r="502" spans="1:14" x14ac:dyDescent="0.15">
      <c r="A502" s="3">
        <v>501</v>
      </c>
      <c r="B502" s="1" t="s">
        <v>1366</v>
      </c>
      <c r="C502" s="1" t="s">
        <v>919</v>
      </c>
      <c r="E502" s="1" t="s">
        <v>3654</v>
      </c>
      <c r="F502" s="1" t="s">
        <v>3656</v>
      </c>
      <c r="G502" s="3">
        <v>1</v>
      </c>
      <c r="J502" s="20" t="s">
        <v>2860</v>
      </c>
      <c r="K502" s="20" t="s">
        <v>10014</v>
      </c>
      <c r="L502" s="3">
        <v>30</v>
      </c>
      <c r="M502" s="3" t="s">
        <v>10017</v>
      </c>
      <c r="N502" s="3" t="str">
        <f>HYPERLINK("http://ictvonline.org/taxonomyHistory.asp?taxnode_id=20160319","ICTVonline=20160319")</f>
        <v>ICTVonline=20160319</v>
      </c>
    </row>
    <row r="503" spans="1:14" x14ac:dyDescent="0.15">
      <c r="A503" s="3">
        <v>502</v>
      </c>
      <c r="B503" s="1" t="s">
        <v>1366</v>
      </c>
      <c r="C503" s="1" t="s">
        <v>919</v>
      </c>
      <c r="E503" s="1" t="s">
        <v>3654</v>
      </c>
      <c r="F503" s="1" t="s">
        <v>8084</v>
      </c>
      <c r="G503" s="3">
        <v>0</v>
      </c>
      <c r="H503" s="20" t="s">
        <v>8085</v>
      </c>
      <c r="I503" s="20" t="s">
        <v>8086</v>
      </c>
      <c r="J503" s="20" t="s">
        <v>2860</v>
      </c>
      <c r="K503" s="20" t="s">
        <v>10013</v>
      </c>
      <c r="L503" s="3">
        <v>31</v>
      </c>
      <c r="M503" s="3" t="s">
        <v>8087</v>
      </c>
      <c r="N503" s="3" t="str">
        <f>HYPERLINK("http://ictvonline.org/taxonomyHistory.asp?taxnode_id=20164922","ICTVonline=20164922")</f>
        <v>ICTVonline=20164922</v>
      </c>
    </row>
    <row r="504" spans="1:14" x14ac:dyDescent="0.15">
      <c r="A504" s="3">
        <v>503</v>
      </c>
      <c r="B504" s="1" t="s">
        <v>1366</v>
      </c>
      <c r="C504" s="1" t="s">
        <v>919</v>
      </c>
      <c r="E504" s="1" t="s">
        <v>3657</v>
      </c>
      <c r="F504" s="1" t="s">
        <v>3658</v>
      </c>
      <c r="G504" s="3">
        <v>1</v>
      </c>
      <c r="H504" s="20" t="s">
        <v>2865</v>
      </c>
      <c r="J504" s="20" t="s">
        <v>2860</v>
      </c>
      <c r="K504" s="20" t="s">
        <v>10014</v>
      </c>
      <c r="L504" s="3">
        <v>30</v>
      </c>
      <c r="M504" s="3" t="s">
        <v>10017</v>
      </c>
      <c r="N504" s="3" t="str">
        <f>HYPERLINK("http://ictvonline.org/taxonomyHistory.asp?taxnode_id=20160321","ICTVonline=20160321")</f>
        <v>ICTVonline=20160321</v>
      </c>
    </row>
    <row r="505" spans="1:14" x14ac:dyDescent="0.15">
      <c r="A505" s="3">
        <v>504</v>
      </c>
      <c r="B505" s="1" t="s">
        <v>1366</v>
      </c>
      <c r="C505" s="1" t="s">
        <v>919</v>
      </c>
      <c r="E505" s="1" t="s">
        <v>3657</v>
      </c>
      <c r="F505" s="1" t="s">
        <v>3659</v>
      </c>
      <c r="G505" s="3">
        <v>0</v>
      </c>
      <c r="H505" s="20" t="s">
        <v>2866</v>
      </c>
      <c r="J505" s="20" t="s">
        <v>2860</v>
      </c>
      <c r="K505" s="20" t="s">
        <v>10014</v>
      </c>
      <c r="L505" s="3">
        <v>30</v>
      </c>
      <c r="M505" s="3" t="s">
        <v>10017</v>
      </c>
      <c r="N505" s="3" t="str">
        <f>HYPERLINK("http://ictvonline.org/taxonomyHistory.asp?taxnode_id=20160322","ICTVonline=20160322")</f>
        <v>ICTVonline=20160322</v>
      </c>
    </row>
    <row r="506" spans="1:14" x14ac:dyDescent="0.15">
      <c r="A506" s="3">
        <v>505</v>
      </c>
      <c r="B506" s="1" t="s">
        <v>1366</v>
      </c>
      <c r="C506" s="1" t="s">
        <v>919</v>
      </c>
      <c r="E506" s="1" t="s">
        <v>3664</v>
      </c>
      <c r="F506" s="1" t="s">
        <v>3665</v>
      </c>
      <c r="G506" s="3">
        <v>0</v>
      </c>
      <c r="H506" s="20" t="s">
        <v>6605</v>
      </c>
      <c r="I506" s="20" t="s">
        <v>3666</v>
      </c>
      <c r="J506" s="20" t="s">
        <v>2860</v>
      </c>
      <c r="K506" s="20" t="s">
        <v>10013</v>
      </c>
      <c r="L506" s="3">
        <v>30</v>
      </c>
      <c r="M506" s="3" t="s">
        <v>10045</v>
      </c>
      <c r="N506" s="3" t="str">
        <f>HYPERLINK("http://ictvonline.org/taxonomyHistory.asp?taxnode_id=20160324","ICTVonline=20160324")</f>
        <v>ICTVonline=20160324</v>
      </c>
    </row>
    <row r="507" spans="1:14" x14ac:dyDescent="0.15">
      <c r="A507" s="3">
        <v>506</v>
      </c>
      <c r="B507" s="1" t="s">
        <v>1366</v>
      </c>
      <c r="C507" s="1" t="s">
        <v>919</v>
      </c>
      <c r="E507" s="1" t="s">
        <v>3664</v>
      </c>
      <c r="F507" s="1" t="s">
        <v>3667</v>
      </c>
      <c r="G507" s="3">
        <v>0</v>
      </c>
      <c r="H507" s="20" t="s">
        <v>6606</v>
      </c>
      <c r="I507" s="20" t="s">
        <v>3668</v>
      </c>
      <c r="J507" s="20" t="s">
        <v>2860</v>
      </c>
      <c r="K507" s="20" t="s">
        <v>10013</v>
      </c>
      <c r="L507" s="3">
        <v>30</v>
      </c>
      <c r="M507" s="3" t="s">
        <v>10045</v>
      </c>
      <c r="N507" s="3" t="str">
        <f>HYPERLINK("http://ictvonline.org/taxonomyHistory.asp?taxnode_id=20160325","ICTVonline=20160325")</f>
        <v>ICTVonline=20160325</v>
      </c>
    </row>
    <row r="508" spans="1:14" x14ac:dyDescent="0.15">
      <c r="A508" s="3">
        <v>507</v>
      </c>
      <c r="B508" s="1" t="s">
        <v>1366</v>
      </c>
      <c r="C508" s="1" t="s">
        <v>919</v>
      </c>
      <c r="E508" s="1" t="s">
        <v>3664</v>
      </c>
      <c r="F508" s="1" t="s">
        <v>3669</v>
      </c>
      <c r="G508" s="3">
        <v>0</v>
      </c>
      <c r="H508" s="20" t="s">
        <v>6607</v>
      </c>
      <c r="I508" s="20" t="s">
        <v>3670</v>
      </c>
      <c r="J508" s="20" t="s">
        <v>2860</v>
      </c>
      <c r="K508" s="20" t="s">
        <v>10013</v>
      </c>
      <c r="L508" s="3">
        <v>30</v>
      </c>
      <c r="M508" s="3" t="s">
        <v>10045</v>
      </c>
      <c r="N508" s="3" t="str">
        <f>HYPERLINK("http://ictvonline.org/taxonomyHistory.asp?taxnode_id=20160326","ICTVonline=20160326")</f>
        <v>ICTVonline=20160326</v>
      </c>
    </row>
    <row r="509" spans="1:14" x14ac:dyDescent="0.15">
      <c r="A509" s="3">
        <v>508</v>
      </c>
      <c r="B509" s="1" t="s">
        <v>1366</v>
      </c>
      <c r="C509" s="1" t="s">
        <v>919</v>
      </c>
      <c r="E509" s="1" t="s">
        <v>3664</v>
      </c>
      <c r="F509" s="1" t="s">
        <v>3671</v>
      </c>
      <c r="G509" s="3">
        <v>0</v>
      </c>
      <c r="H509" s="20" t="s">
        <v>6608</v>
      </c>
      <c r="I509" s="20" t="s">
        <v>3672</v>
      </c>
      <c r="J509" s="20" t="s">
        <v>2860</v>
      </c>
      <c r="K509" s="20" t="s">
        <v>10013</v>
      </c>
      <c r="L509" s="3">
        <v>30</v>
      </c>
      <c r="M509" s="3" t="s">
        <v>10045</v>
      </c>
      <c r="N509" s="3" t="str">
        <f>HYPERLINK("http://ictvonline.org/taxonomyHistory.asp?taxnode_id=20160327","ICTVonline=20160327")</f>
        <v>ICTVonline=20160327</v>
      </c>
    </row>
    <row r="510" spans="1:14" x14ac:dyDescent="0.15">
      <c r="A510" s="3">
        <v>509</v>
      </c>
      <c r="B510" s="1" t="s">
        <v>1366</v>
      </c>
      <c r="C510" s="1" t="s">
        <v>919</v>
      </c>
      <c r="E510" s="1" t="s">
        <v>3664</v>
      </c>
      <c r="F510" s="1" t="s">
        <v>3673</v>
      </c>
      <c r="G510" s="3">
        <v>0</v>
      </c>
      <c r="H510" s="20" t="s">
        <v>6609</v>
      </c>
      <c r="I510" s="20" t="s">
        <v>3674</v>
      </c>
      <c r="J510" s="20" t="s">
        <v>2860</v>
      </c>
      <c r="K510" s="20" t="s">
        <v>10013</v>
      </c>
      <c r="L510" s="3">
        <v>30</v>
      </c>
      <c r="M510" s="3" t="s">
        <v>10045</v>
      </c>
      <c r="N510" s="3" t="str">
        <f>HYPERLINK("http://ictvonline.org/taxonomyHistory.asp?taxnode_id=20160328","ICTVonline=20160328")</f>
        <v>ICTVonline=20160328</v>
      </c>
    </row>
    <row r="511" spans="1:14" x14ac:dyDescent="0.15">
      <c r="A511" s="3">
        <v>510</v>
      </c>
      <c r="B511" s="1" t="s">
        <v>1366</v>
      </c>
      <c r="C511" s="1" t="s">
        <v>919</v>
      </c>
      <c r="E511" s="1" t="s">
        <v>3664</v>
      </c>
      <c r="F511" s="1" t="s">
        <v>3675</v>
      </c>
      <c r="G511" s="3">
        <v>1</v>
      </c>
      <c r="H511" s="20" t="s">
        <v>6610</v>
      </c>
      <c r="I511" s="20" t="s">
        <v>3676</v>
      </c>
      <c r="J511" s="20" t="s">
        <v>2860</v>
      </c>
      <c r="K511" s="20" t="s">
        <v>10013</v>
      </c>
      <c r="L511" s="3">
        <v>30</v>
      </c>
      <c r="M511" s="3" t="s">
        <v>10045</v>
      </c>
      <c r="N511" s="3" t="str">
        <f>HYPERLINK("http://ictvonline.org/taxonomyHistory.asp?taxnode_id=20160329","ICTVonline=20160329")</f>
        <v>ICTVonline=20160329</v>
      </c>
    </row>
    <row r="512" spans="1:14" x14ac:dyDescent="0.15">
      <c r="A512" s="3">
        <v>511</v>
      </c>
      <c r="B512" s="1" t="s">
        <v>1366</v>
      </c>
      <c r="C512" s="1" t="s">
        <v>919</v>
      </c>
      <c r="E512" s="1" t="s">
        <v>3664</v>
      </c>
      <c r="F512" s="1" t="s">
        <v>3677</v>
      </c>
      <c r="G512" s="3">
        <v>0</v>
      </c>
      <c r="H512" s="20" t="s">
        <v>6611</v>
      </c>
      <c r="I512" s="20" t="s">
        <v>3678</v>
      </c>
      <c r="J512" s="20" t="s">
        <v>2860</v>
      </c>
      <c r="K512" s="20" t="s">
        <v>10013</v>
      </c>
      <c r="L512" s="3">
        <v>30</v>
      </c>
      <c r="M512" s="3" t="s">
        <v>10045</v>
      </c>
      <c r="N512" s="3" t="str">
        <f>HYPERLINK("http://ictvonline.org/taxonomyHistory.asp?taxnode_id=20160330","ICTVonline=20160330")</f>
        <v>ICTVonline=20160330</v>
      </c>
    </row>
    <row r="513" spans="1:14" x14ac:dyDescent="0.15">
      <c r="A513" s="3">
        <v>512</v>
      </c>
      <c r="B513" s="1" t="s">
        <v>1366</v>
      </c>
      <c r="C513" s="1" t="s">
        <v>919</v>
      </c>
      <c r="E513" s="1" t="s">
        <v>3664</v>
      </c>
      <c r="F513" s="1" t="s">
        <v>3679</v>
      </c>
      <c r="G513" s="3">
        <v>0</v>
      </c>
      <c r="H513" s="20" t="s">
        <v>6612</v>
      </c>
      <c r="I513" s="20" t="s">
        <v>3680</v>
      </c>
      <c r="J513" s="20" t="s">
        <v>2860</v>
      </c>
      <c r="K513" s="20" t="s">
        <v>10013</v>
      </c>
      <c r="L513" s="3">
        <v>30</v>
      </c>
      <c r="M513" s="3" t="s">
        <v>10045</v>
      </c>
      <c r="N513" s="3" t="str">
        <f>HYPERLINK("http://ictvonline.org/taxonomyHistory.asp?taxnode_id=20160331","ICTVonline=20160331")</f>
        <v>ICTVonline=20160331</v>
      </c>
    </row>
    <row r="514" spans="1:14" x14ac:dyDescent="0.15">
      <c r="A514" s="3">
        <v>513</v>
      </c>
      <c r="B514" s="1" t="s">
        <v>1366</v>
      </c>
      <c r="C514" s="1" t="s">
        <v>919</v>
      </c>
      <c r="E514" s="1" t="s">
        <v>8088</v>
      </c>
      <c r="F514" s="1" t="s">
        <v>8089</v>
      </c>
      <c r="G514" s="3">
        <v>1</v>
      </c>
      <c r="H514" s="20" t="s">
        <v>8090</v>
      </c>
      <c r="I514" s="20" t="s">
        <v>8091</v>
      </c>
      <c r="J514" s="20" t="s">
        <v>2860</v>
      </c>
      <c r="K514" s="20" t="s">
        <v>10013</v>
      </c>
      <c r="L514" s="3">
        <v>31</v>
      </c>
      <c r="M514" s="3" t="s">
        <v>8092</v>
      </c>
      <c r="N514" s="3" t="str">
        <f>HYPERLINK("http://ictvonline.org/taxonomyHistory.asp?taxnode_id=20164923","ICTVonline=20164923")</f>
        <v>ICTVonline=20164923</v>
      </c>
    </row>
    <row r="515" spans="1:14" x14ac:dyDescent="0.15">
      <c r="A515" s="3">
        <v>514</v>
      </c>
      <c r="B515" s="1" t="s">
        <v>1366</v>
      </c>
      <c r="C515" s="1" t="s">
        <v>919</v>
      </c>
      <c r="E515" s="1" t="s">
        <v>8093</v>
      </c>
      <c r="F515" s="1" t="s">
        <v>8094</v>
      </c>
      <c r="G515" s="3">
        <v>1</v>
      </c>
      <c r="H515" s="20" t="s">
        <v>8095</v>
      </c>
      <c r="I515" s="20" t="s">
        <v>8096</v>
      </c>
      <c r="J515" s="20" t="s">
        <v>2860</v>
      </c>
      <c r="K515" s="20" t="s">
        <v>10013</v>
      </c>
      <c r="L515" s="3">
        <v>31</v>
      </c>
      <c r="M515" s="3" t="s">
        <v>8097</v>
      </c>
      <c r="N515" s="3" t="str">
        <f>HYPERLINK("http://ictvonline.org/taxonomyHistory.asp?taxnode_id=20164924","ICTVonline=20164924")</f>
        <v>ICTVonline=20164924</v>
      </c>
    </row>
    <row r="516" spans="1:14" x14ac:dyDescent="0.15">
      <c r="A516" s="3">
        <v>515</v>
      </c>
      <c r="B516" s="1" t="s">
        <v>1366</v>
      </c>
      <c r="C516" s="1" t="s">
        <v>919</v>
      </c>
      <c r="E516" s="1" t="s">
        <v>8093</v>
      </c>
      <c r="F516" s="1" t="s">
        <v>8098</v>
      </c>
      <c r="G516" s="3">
        <v>0</v>
      </c>
      <c r="H516" s="20" t="s">
        <v>8099</v>
      </c>
      <c r="I516" s="20" t="s">
        <v>8100</v>
      </c>
      <c r="J516" s="20" t="s">
        <v>2860</v>
      </c>
      <c r="K516" s="20" t="s">
        <v>10013</v>
      </c>
      <c r="L516" s="3">
        <v>31</v>
      </c>
      <c r="M516" s="3" t="s">
        <v>8097</v>
      </c>
      <c r="N516" s="3" t="str">
        <f>HYPERLINK("http://ictvonline.org/taxonomyHistory.asp?taxnode_id=20164925","ICTVonline=20164925")</f>
        <v>ICTVonline=20164925</v>
      </c>
    </row>
    <row r="517" spans="1:14" x14ac:dyDescent="0.15">
      <c r="A517" s="3">
        <v>516</v>
      </c>
      <c r="B517" s="1" t="s">
        <v>1366</v>
      </c>
      <c r="C517" s="1" t="s">
        <v>919</v>
      </c>
      <c r="E517" s="1" t="s">
        <v>3681</v>
      </c>
      <c r="F517" s="1" t="s">
        <v>3682</v>
      </c>
      <c r="G517" s="3">
        <v>0</v>
      </c>
      <c r="H517" s="20" t="s">
        <v>6613</v>
      </c>
      <c r="I517" s="20" t="s">
        <v>3683</v>
      </c>
      <c r="J517" s="20" t="s">
        <v>2860</v>
      </c>
      <c r="K517" s="20" t="s">
        <v>10013</v>
      </c>
      <c r="L517" s="3">
        <v>30</v>
      </c>
      <c r="M517" s="3" t="s">
        <v>10046</v>
      </c>
      <c r="N517" s="3" t="str">
        <f>HYPERLINK("http://ictvonline.org/taxonomyHistory.asp?taxnode_id=20160333","ICTVonline=20160333")</f>
        <v>ICTVonline=20160333</v>
      </c>
    </row>
    <row r="518" spans="1:14" x14ac:dyDescent="0.15">
      <c r="A518" s="3">
        <v>517</v>
      </c>
      <c r="B518" s="1" t="s">
        <v>1366</v>
      </c>
      <c r="C518" s="1" t="s">
        <v>919</v>
      </c>
      <c r="E518" s="1" t="s">
        <v>3681</v>
      </c>
      <c r="F518" s="1" t="s">
        <v>3684</v>
      </c>
      <c r="G518" s="3">
        <v>1</v>
      </c>
      <c r="H518" s="20" t="s">
        <v>6614</v>
      </c>
      <c r="I518" s="20" t="s">
        <v>3685</v>
      </c>
      <c r="J518" s="20" t="s">
        <v>2860</v>
      </c>
      <c r="K518" s="20" t="s">
        <v>10013</v>
      </c>
      <c r="L518" s="3">
        <v>30</v>
      </c>
      <c r="M518" s="3" t="s">
        <v>10046</v>
      </c>
      <c r="N518" s="3" t="str">
        <f>HYPERLINK("http://ictvonline.org/taxonomyHistory.asp?taxnode_id=20160334","ICTVonline=20160334")</f>
        <v>ICTVonline=20160334</v>
      </c>
    </row>
    <row r="519" spans="1:14" x14ac:dyDescent="0.15">
      <c r="A519" s="3">
        <v>518</v>
      </c>
      <c r="B519" s="1" t="s">
        <v>1366</v>
      </c>
      <c r="C519" s="1" t="s">
        <v>919</v>
      </c>
      <c r="E519" s="1" t="s">
        <v>3681</v>
      </c>
      <c r="F519" s="1" t="s">
        <v>3686</v>
      </c>
      <c r="G519" s="3">
        <v>0</v>
      </c>
      <c r="H519" s="20" t="s">
        <v>6615</v>
      </c>
      <c r="I519" s="20" t="s">
        <v>3687</v>
      </c>
      <c r="J519" s="20" t="s">
        <v>2860</v>
      </c>
      <c r="K519" s="20" t="s">
        <v>10013</v>
      </c>
      <c r="L519" s="3">
        <v>30</v>
      </c>
      <c r="M519" s="3" t="s">
        <v>10046</v>
      </c>
      <c r="N519" s="3" t="str">
        <f>HYPERLINK("http://ictvonline.org/taxonomyHistory.asp?taxnode_id=20160335","ICTVonline=20160335")</f>
        <v>ICTVonline=20160335</v>
      </c>
    </row>
    <row r="520" spans="1:14" x14ac:dyDescent="0.15">
      <c r="A520" s="3">
        <v>519</v>
      </c>
      <c r="B520" s="1" t="s">
        <v>1366</v>
      </c>
      <c r="C520" s="1" t="s">
        <v>919</v>
      </c>
      <c r="E520" s="1" t="s">
        <v>3688</v>
      </c>
      <c r="F520" s="1" t="s">
        <v>3689</v>
      </c>
      <c r="G520" s="3">
        <v>0</v>
      </c>
      <c r="H520" s="20" t="s">
        <v>6616</v>
      </c>
      <c r="I520" s="20" t="s">
        <v>3690</v>
      </c>
      <c r="J520" s="20" t="s">
        <v>2860</v>
      </c>
      <c r="K520" s="20" t="s">
        <v>10013</v>
      </c>
      <c r="L520" s="3">
        <v>30</v>
      </c>
      <c r="M520" s="3" t="s">
        <v>10047</v>
      </c>
      <c r="N520" s="3" t="str">
        <f>HYPERLINK("http://ictvonline.org/taxonomyHistory.asp?taxnode_id=20160337","ICTVonline=20160337")</f>
        <v>ICTVonline=20160337</v>
      </c>
    </row>
    <row r="521" spans="1:14" x14ac:dyDescent="0.15">
      <c r="A521" s="3">
        <v>520</v>
      </c>
      <c r="B521" s="1" t="s">
        <v>1366</v>
      </c>
      <c r="C521" s="1" t="s">
        <v>919</v>
      </c>
      <c r="E521" s="1" t="s">
        <v>3688</v>
      </c>
      <c r="F521" s="1" t="s">
        <v>3691</v>
      </c>
      <c r="G521" s="3">
        <v>0</v>
      </c>
      <c r="H521" s="20" t="s">
        <v>6617</v>
      </c>
      <c r="I521" s="20" t="s">
        <v>3692</v>
      </c>
      <c r="J521" s="20" t="s">
        <v>2860</v>
      </c>
      <c r="K521" s="20" t="s">
        <v>10013</v>
      </c>
      <c r="L521" s="3">
        <v>30</v>
      </c>
      <c r="M521" s="3" t="s">
        <v>10047</v>
      </c>
      <c r="N521" s="3" t="str">
        <f>HYPERLINK("http://ictvonline.org/taxonomyHistory.asp?taxnode_id=20160338","ICTVonline=20160338")</f>
        <v>ICTVonline=20160338</v>
      </c>
    </row>
    <row r="522" spans="1:14" x14ac:dyDescent="0.15">
      <c r="A522" s="3">
        <v>521</v>
      </c>
      <c r="B522" s="1" t="s">
        <v>1366</v>
      </c>
      <c r="C522" s="1" t="s">
        <v>919</v>
      </c>
      <c r="E522" s="1" t="s">
        <v>3688</v>
      </c>
      <c r="F522" s="1" t="s">
        <v>3693</v>
      </c>
      <c r="G522" s="3">
        <v>1</v>
      </c>
      <c r="J522" s="20" t="s">
        <v>2860</v>
      </c>
      <c r="K522" s="20" t="s">
        <v>10014</v>
      </c>
      <c r="L522" s="3">
        <v>30</v>
      </c>
      <c r="M522" s="3" t="s">
        <v>10017</v>
      </c>
      <c r="N522" s="3" t="str">
        <f>HYPERLINK("http://ictvonline.org/taxonomyHistory.asp?taxnode_id=20160339","ICTVonline=20160339")</f>
        <v>ICTVonline=20160339</v>
      </c>
    </row>
    <row r="523" spans="1:14" x14ac:dyDescent="0.15">
      <c r="A523" s="3">
        <v>522</v>
      </c>
      <c r="B523" s="1" t="s">
        <v>1366</v>
      </c>
      <c r="C523" s="1" t="s">
        <v>919</v>
      </c>
      <c r="E523" s="1" t="s">
        <v>3688</v>
      </c>
      <c r="F523" s="1" t="s">
        <v>3694</v>
      </c>
      <c r="G523" s="3">
        <v>0</v>
      </c>
      <c r="H523" s="20" t="s">
        <v>6618</v>
      </c>
      <c r="I523" s="20" t="s">
        <v>3695</v>
      </c>
      <c r="J523" s="20" t="s">
        <v>2860</v>
      </c>
      <c r="K523" s="20" t="s">
        <v>10013</v>
      </c>
      <c r="L523" s="3">
        <v>30</v>
      </c>
      <c r="M523" s="3" t="s">
        <v>10047</v>
      </c>
      <c r="N523" s="3" t="str">
        <f>HYPERLINK("http://ictvonline.org/taxonomyHistory.asp?taxnode_id=20160340","ICTVonline=20160340")</f>
        <v>ICTVonline=20160340</v>
      </c>
    </row>
    <row r="524" spans="1:14" x14ac:dyDescent="0.15">
      <c r="A524" s="3">
        <v>523</v>
      </c>
      <c r="B524" s="1" t="s">
        <v>1366</v>
      </c>
      <c r="C524" s="1" t="s">
        <v>919</v>
      </c>
      <c r="E524" s="1" t="s">
        <v>3688</v>
      </c>
      <c r="F524" s="1" t="s">
        <v>3696</v>
      </c>
      <c r="G524" s="3">
        <v>0</v>
      </c>
      <c r="J524" s="20" t="s">
        <v>2860</v>
      </c>
      <c r="K524" s="20" t="s">
        <v>10014</v>
      </c>
      <c r="L524" s="3">
        <v>30</v>
      </c>
      <c r="M524" s="3" t="s">
        <v>10017</v>
      </c>
      <c r="N524" s="3" t="str">
        <f>HYPERLINK("http://ictvonline.org/taxonomyHistory.asp?taxnode_id=20160341","ICTVonline=20160341")</f>
        <v>ICTVonline=20160341</v>
      </c>
    </row>
    <row r="525" spans="1:14" x14ac:dyDescent="0.15">
      <c r="A525" s="3">
        <v>524</v>
      </c>
      <c r="B525" s="1" t="s">
        <v>1366</v>
      </c>
      <c r="C525" s="1" t="s">
        <v>919</v>
      </c>
      <c r="E525" s="1" t="s">
        <v>3688</v>
      </c>
      <c r="F525" s="1" t="s">
        <v>3697</v>
      </c>
      <c r="G525" s="3">
        <v>0</v>
      </c>
      <c r="H525" s="20" t="s">
        <v>6619</v>
      </c>
      <c r="I525" s="20" t="s">
        <v>3698</v>
      </c>
      <c r="J525" s="20" t="s">
        <v>2860</v>
      </c>
      <c r="K525" s="20" t="s">
        <v>10013</v>
      </c>
      <c r="L525" s="3">
        <v>30</v>
      </c>
      <c r="M525" s="3" t="s">
        <v>10047</v>
      </c>
      <c r="N525" s="3" t="str">
        <f>HYPERLINK("http://ictvonline.org/taxonomyHistory.asp?taxnode_id=20160342","ICTVonline=20160342")</f>
        <v>ICTVonline=20160342</v>
      </c>
    </row>
    <row r="526" spans="1:14" x14ac:dyDescent="0.15">
      <c r="A526" s="3">
        <v>525</v>
      </c>
      <c r="B526" s="1" t="s">
        <v>1366</v>
      </c>
      <c r="C526" s="1" t="s">
        <v>919</v>
      </c>
      <c r="E526" s="1" t="s">
        <v>3688</v>
      </c>
      <c r="F526" s="1" t="s">
        <v>3699</v>
      </c>
      <c r="G526" s="3">
        <v>0</v>
      </c>
      <c r="H526" s="20" t="s">
        <v>6620</v>
      </c>
      <c r="I526" s="20" t="s">
        <v>3700</v>
      </c>
      <c r="J526" s="20" t="s">
        <v>2860</v>
      </c>
      <c r="K526" s="20" t="s">
        <v>10013</v>
      </c>
      <c r="L526" s="3">
        <v>30</v>
      </c>
      <c r="M526" s="3" t="s">
        <v>10047</v>
      </c>
      <c r="N526" s="3" t="str">
        <f>HYPERLINK("http://ictvonline.org/taxonomyHistory.asp?taxnode_id=20160343","ICTVonline=20160343")</f>
        <v>ICTVonline=20160343</v>
      </c>
    </row>
    <row r="527" spans="1:14" x14ac:dyDescent="0.15">
      <c r="A527" s="3">
        <v>526</v>
      </c>
      <c r="B527" s="1" t="s">
        <v>1366</v>
      </c>
      <c r="C527" s="1" t="s">
        <v>919</v>
      </c>
      <c r="E527" s="1" t="s">
        <v>8101</v>
      </c>
      <c r="F527" s="1" t="s">
        <v>8102</v>
      </c>
      <c r="G527" s="3">
        <v>0</v>
      </c>
      <c r="H527" s="20" t="s">
        <v>8103</v>
      </c>
      <c r="I527" s="20" t="s">
        <v>8104</v>
      </c>
      <c r="J527" s="20" t="s">
        <v>2860</v>
      </c>
      <c r="K527" s="20" t="s">
        <v>10013</v>
      </c>
      <c r="L527" s="3">
        <v>31</v>
      </c>
      <c r="M527" s="3" t="s">
        <v>8105</v>
      </c>
      <c r="N527" s="3" t="str">
        <f>HYPERLINK("http://ictvonline.org/taxonomyHistory.asp?taxnode_id=20164926","ICTVonline=20164926")</f>
        <v>ICTVonline=20164926</v>
      </c>
    </row>
    <row r="528" spans="1:14" x14ac:dyDescent="0.15">
      <c r="A528" s="3">
        <v>527</v>
      </c>
      <c r="B528" s="1" t="s">
        <v>1366</v>
      </c>
      <c r="C528" s="1" t="s">
        <v>919</v>
      </c>
      <c r="E528" s="1" t="s">
        <v>8101</v>
      </c>
      <c r="F528" s="1" t="s">
        <v>8106</v>
      </c>
      <c r="G528" s="3">
        <v>1</v>
      </c>
      <c r="H528" s="20" t="s">
        <v>8107</v>
      </c>
      <c r="I528" s="20" t="s">
        <v>8108</v>
      </c>
      <c r="J528" s="20" t="s">
        <v>2860</v>
      </c>
      <c r="K528" s="20" t="s">
        <v>10013</v>
      </c>
      <c r="L528" s="3">
        <v>31</v>
      </c>
      <c r="M528" s="3" t="s">
        <v>8105</v>
      </c>
      <c r="N528" s="3" t="str">
        <f>HYPERLINK("http://ictvonline.org/taxonomyHistory.asp?taxnode_id=20164927","ICTVonline=20164927")</f>
        <v>ICTVonline=20164927</v>
      </c>
    </row>
    <row r="529" spans="1:14" x14ac:dyDescent="0.15">
      <c r="A529" s="3">
        <v>528</v>
      </c>
      <c r="B529" s="1" t="s">
        <v>1366</v>
      </c>
      <c r="C529" s="1" t="s">
        <v>919</v>
      </c>
      <c r="E529" s="1" t="s">
        <v>3701</v>
      </c>
      <c r="F529" s="1" t="s">
        <v>3702</v>
      </c>
      <c r="G529" s="3">
        <v>1</v>
      </c>
      <c r="J529" s="20" t="s">
        <v>2860</v>
      </c>
      <c r="K529" s="20" t="s">
        <v>10014</v>
      </c>
      <c r="L529" s="3">
        <v>30</v>
      </c>
      <c r="M529" s="3" t="s">
        <v>10017</v>
      </c>
      <c r="N529" s="3" t="str">
        <f>HYPERLINK("http://ictvonline.org/taxonomyHistory.asp?taxnode_id=20160345","ICTVonline=20160345")</f>
        <v>ICTVonline=20160345</v>
      </c>
    </row>
    <row r="530" spans="1:14" x14ac:dyDescent="0.15">
      <c r="A530" s="3">
        <v>529</v>
      </c>
      <c r="B530" s="1" t="s">
        <v>1366</v>
      </c>
      <c r="C530" s="1" t="s">
        <v>919</v>
      </c>
      <c r="E530" s="1" t="s">
        <v>3703</v>
      </c>
      <c r="F530" s="1" t="s">
        <v>3704</v>
      </c>
      <c r="G530" s="3">
        <v>1</v>
      </c>
      <c r="H530" s="20" t="s">
        <v>6621</v>
      </c>
      <c r="I530" s="20" t="s">
        <v>3705</v>
      </c>
      <c r="J530" s="20" t="s">
        <v>2860</v>
      </c>
      <c r="K530" s="20" t="s">
        <v>10013</v>
      </c>
      <c r="L530" s="3">
        <v>30</v>
      </c>
      <c r="M530" s="3" t="s">
        <v>10048</v>
      </c>
      <c r="N530" s="3" t="str">
        <f>HYPERLINK("http://ictvonline.org/taxonomyHistory.asp?taxnode_id=20160347","ICTVonline=20160347")</f>
        <v>ICTVonline=20160347</v>
      </c>
    </row>
    <row r="531" spans="1:14" x14ac:dyDescent="0.15">
      <c r="A531" s="3">
        <v>530</v>
      </c>
      <c r="B531" s="1" t="s">
        <v>1366</v>
      </c>
      <c r="C531" s="1" t="s">
        <v>919</v>
      </c>
      <c r="E531" s="1" t="s">
        <v>3703</v>
      </c>
      <c r="F531" s="1" t="s">
        <v>3706</v>
      </c>
      <c r="G531" s="3">
        <v>0</v>
      </c>
      <c r="H531" s="20" t="s">
        <v>6622</v>
      </c>
      <c r="I531" s="20" t="s">
        <v>3707</v>
      </c>
      <c r="J531" s="20" t="s">
        <v>2860</v>
      </c>
      <c r="K531" s="20" t="s">
        <v>10013</v>
      </c>
      <c r="L531" s="3">
        <v>30</v>
      </c>
      <c r="M531" s="3" t="s">
        <v>10048</v>
      </c>
      <c r="N531" s="3" t="str">
        <f>HYPERLINK("http://ictvonline.org/taxonomyHistory.asp?taxnode_id=20160348","ICTVonline=20160348")</f>
        <v>ICTVonline=20160348</v>
      </c>
    </row>
    <row r="532" spans="1:14" x14ac:dyDescent="0.15">
      <c r="A532" s="3">
        <v>531</v>
      </c>
      <c r="B532" s="1" t="s">
        <v>1366</v>
      </c>
      <c r="C532" s="1" t="s">
        <v>919</v>
      </c>
      <c r="E532" s="1" t="s">
        <v>3708</v>
      </c>
      <c r="F532" s="1" t="s">
        <v>3709</v>
      </c>
      <c r="G532" s="3">
        <v>0</v>
      </c>
      <c r="J532" s="20" t="s">
        <v>2860</v>
      </c>
      <c r="K532" s="20" t="s">
        <v>10014</v>
      </c>
      <c r="L532" s="3">
        <v>30</v>
      </c>
      <c r="M532" s="3" t="s">
        <v>10017</v>
      </c>
      <c r="N532" s="3" t="str">
        <f>HYPERLINK("http://ictvonline.org/taxonomyHistory.asp?taxnode_id=20160350","ICTVonline=20160350")</f>
        <v>ICTVonline=20160350</v>
      </c>
    </row>
    <row r="533" spans="1:14" x14ac:dyDescent="0.15">
      <c r="A533" s="3">
        <v>532</v>
      </c>
      <c r="B533" s="1" t="s">
        <v>1366</v>
      </c>
      <c r="C533" s="1" t="s">
        <v>919</v>
      </c>
      <c r="E533" s="1" t="s">
        <v>3708</v>
      </c>
      <c r="F533" s="1" t="s">
        <v>3710</v>
      </c>
      <c r="G533" s="3">
        <v>1</v>
      </c>
      <c r="J533" s="20" t="s">
        <v>2860</v>
      </c>
      <c r="K533" s="20" t="s">
        <v>10014</v>
      </c>
      <c r="L533" s="3">
        <v>30</v>
      </c>
      <c r="M533" s="3" t="s">
        <v>10017</v>
      </c>
      <c r="N533" s="3" t="str">
        <f>HYPERLINK("http://ictvonline.org/taxonomyHistory.asp?taxnode_id=20160351","ICTVonline=20160351")</f>
        <v>ICTVonline=20160351</v>
      </c>
    </row>
    <row r="534" spans="1:14" x14ac:dyDescent="0.15">
      <c r="A534" s="3">
        <v>533</v>
      </c>
      <c r="B534" s="1" t="s">
        <v>1366</v>
      </c>
      <c r="C534" s="1" t="s">
        <v>919</v>
      </c>
      <c r="E534" s="1" t="s">
        <v>3708</v>
      </c>
      <c r="F534" s="1" t="s">
        <v>3711</v>
      </c>
      <c r="G534" s="3">
        <v>0</v>
      </c>
      <c r="J534" s="20" t="s">
        <v>2860</v>
      </c>
      <c r="K534" s="20" t="s">
        <v>10014</v>
      </c>
      <c r="L534" s="3">
        <v>30</v>
      </c>
      <c r="M534" s="3" t="s">
        <v>10017</v>
      </c>
      <c r="N534" s="3" t="str">
        <f>HYPERLINK("http://ictvonline.org/taxonomyHistory.asp?taxnode_id=20160352","ICTVonline=20160352")</f>
        <v>ICTVonline=20160352</v>
      </c>
    </row>
    <row r="535" spans="1:14" x14ac:dyDescent="0.15">
      <c r="A535" s="3">
        <v>534</v>
      </c>
      <c r="B535" s="1" t="s">
        <v>1366</v>
      </c>
      <c r="C535" s="1" t="s">
        <v>919</v>
      </c>
      <c r="E535" s="1" t="s">
        <v>3708</v>
      </c>
      <c r="F535" s="1" t="s">
        <v>3712</v>
      </c>
      <c r="G535" s="3">
        <v>0</v>
      </c>
      <c r="J535" s="20" t="s">
        <v>2860</v>
      </c>
      <c r="K535" s="20" t="s">
        <v>10014</v>
      </c>
      <c r="L535" s="3">
        <v>30</v>
      </c>
      <c r="M535" s="3" t="s">
        <v>10017</v>
      </c>
      <c r="N535" s="3" t="str">
        <f>HYPERLINK("http://ictvonline.org/taxonomyHistory.asp?taxnode_id=20160353","ICTVonline=20160353")</f>
        <v>ICTVonline=20160353</v>
      </c>
    </row>
    <row r="536" spans="1:14" x14ac:dyDescent="0.15">
      <c r="A536" s="3">
        <v>535</v>
      </c>
      <c r="B536" s="1" t="s">
        <v>1366</v>
      </c>
      <c r="C536" s="1" t="s">
        <v>919</v>
      </c>
      <c r="E536" s="1" t="s">
        <v>3713</v>
      </c>
      <c r="F536" s="1" t="s">
        <v>3714</v>
      </c>
      <c r="G536" s="3">
        <v>1</v>
      </c>
      <c r="H536" s="20" t="s">
        <v>6623</v>
      </c>
      <c r="I536" s="20" t="s">
        <v>3715</v>
      </c>
      <c r="J536" s="20" t="s">
        <v>2860</v>
      </c>
      <c r="K536" s="20" t="s">
        <v>10013</v>
      </c>
      <c r="L536" s="3">
        <v>30</v>
      </c>
      <c r="M536" s="3" t="s">
        <v>10049</v>
      </c>
      <c r="N536" s="3" t="str">
        <f>HYPERLINK("http://ictvonline.org/taxonomyHistory.asp?taxnode_id=20160355","ICTVonline=20160355")</f>
        <v>ICTVonline=20160355</v>
      </c>
    </row>
    <row r="537" spans="1:14" x14ac:dyDescent="0.15">
      <c r="A537" s="3">
        <v>536</v>
      </c>
      <c r="B537" s="1" t="s">
        <v>1366</v>
      </c>
      <c r="C537" s="1" t="s">
        <v>919</v>
      </c>
      <c r="E537" s="1" t="s">
        <v>3713</v>
      </c>
      <c r="F537" s="1" t="s">
        <v>3716</v>
      </c>
      <c r="G537" s="3">
        <v>0</v>
      </c>
      <c r="H537" s="20" t="s">
        <v>6624</v>
      </c>
      <c r="I537" s="20" t="s">
        <v>3717</v>
      </c>
      <c r="J537" s="20" t="s">
        <v>2860</v>
      </c>
      <c r="K537" s="20" t="s">
        <v>10013</v>
      </c>
      <c r="L537" s="3">
        <v>30</v>
      </c>
      <c r="M537" s="3" t="s">
        <v>10049</v>
      </c>
      <c r="N537" s="3" t="str">
        <f>HYPERLINK("http://ictvonline.org/taxonomyHistory.asp?taxnode_id=20160356","ICTVonline=20160356")</f>
        <v>ICTVonline=20160356</v>
      </c>
    </row>
    <row r="538" spans="1:14" x14ac:dyDescent="0.15">
      <c r="A538" s="3">
        <v>537</v>
      </c>
      <c r="B538" s="1" t="s">
        <v>1366</v>
      </c>
      <c r="C538" s="1" t="s">
        <v>919</v>
      </c>
      <c r="E538" s="1" t="s">
        <v>3713</v>
      </c>
      <c r="F538" s="1" t="s">
        <v>3718</v>
      </c>
      <c r="G538" s="3">
        <v>0</v>
      </c>
      <c r="H538" s="20" t="s">
        <v>6625</v>
      </c>
      <c r="I538" s="20" t="s">
        <v>3719</v>
      </c>
      <c r="J538" s="20" t="s">
        <v>2860</v>
      </c>
      <c r="K538" s="20" t="s">
        <v>10013</v>
      </c>
      <c r="L538" s="3">
        <v>30</v>
      </c>
      <c r="M538" s="3" t="s">
        <v>10049</v>
      </c>
      <c r="N538" s="3" t="str">
        <f>HYPERLINK("http://ictvonline.org/taxonomyHistory.asp?taxnode_id=20160357","ICTVonline=20160357")</f>
        <v>ICTVonline=20160357</v>
      </c>
    </row>
    <row r="539" spans="1:14" x14ac:dyDescent="0.15">
      <c r="A539" s="3">
        <v>538</v>
      </c>
      <c r="B539" s="1" t="s">
        <v>1366</v>
      </c>
      <c r="C539" s="1" t="s">
        <v>919</v>
      </c>
      <c r="E539" s="1" t="s">
        <v>3713</v>
      </c>
      <c r="F539" s="1" t="s">
        <v>3720</v>
      </c>
      <c r="G539" s="3">
        <v>0</v>
      </c>
      <c r="H539" s="20" t="s">
        <v>6626</v>
      </c>
      <c r="I539" s="20" t="s">
        <v>3721</v>
      </c>
      <c r="J539" s="20" t="s">
        <v>2860</v>
      </c>
      <c r="K539" s="20" t="s">
        <v>10013</v>
      </c>
      <c r="L539" s="3">
        <v>30</v>
      </c>
      <c r="M539" s="3" t="s">
        <v>10049</v>
      </c>
      <c r="N539" s="3" t="str">
        <f>HYPERLINK("http://ictvonline.org/taxonomyHistory.asp?taxnode_id=20160358","ICTVonline=20160358")</f>
        <v>ICTVonline=20160358</v>
      </c>
    </row>
    <row r="540" spans="1:14" x14ac:dyDescent="0.15">
      <c r="A540" s="3">
        <v>539</v>
      </c>
      <c r="B540" s="1" t="s">
        <v>1366</v>
      </c>
      <c r="C540" s="1" t="s">
        <v>919</v>
      </c>
      <c r="E540" s="1" t="s">
        <v>3713</v>
      </c>
      <c r="F540" s="1" t="s">
        <v>3722</v>
      </c>
      <c r="G540" s="3">
        <v>0</v>
      </c>
      <c r="H540" s="20" t="s">
        <v>6627</v>
      </c>
      <c r="I540" s="20" t="s">
        <v>3723</v>
      </c>
      <c r="J540" s="20" t="s">
        <v>2860</v>
      </c>
      <c r="K540" s="20" t="s">
        <v>10013</v>
      </c>
      <c r="L540" s="3">
        <v>30</v>
      </c>
      <c r="M540" s="3" t="s">
        <v>10049</v>
      </c>
      <c r="N540" s="3" t="str">
        <f>HYPERLINK("http://ictvonline.org/taxonomyHistory.asp?taxnode_id=20160359","ICTVonline=20160359")</f>
        <v>ICTVonline=20160359</v>
      </c>
    </row>
    <row r="541" spans="1:14" x14ac:dyDescent="0.15">
      <c r="A541" s="3">
        <v>540</v>
      </c>
      <c r="B541" s="1" t="s">
        <v>1366</v>
      </c>
      <c r="C541" s="1" t="s">
        <v>919</v>
      </c>
      <c r="E541" s="1" t="s">
        <v>3724</v>
      </c>
      <c r="F541" s="1" t="s">
        <v>8109</v>
      </c>
      <c r="G541" s="3">
        <v>0</v>
      </c>
      <c r="H541" s="20" t="s">
        <v>8110</v>
      </c>
      <c r="I541" s="20" t="s">
        <v>8111</v>
      </c>
      <c r="J541" s="20" t="s">
        <v>2860</v>
      </c>
      <c r="K541" s="20" t="s">
        <v>10013</v>
      </c>
      <c r="L541" s="3">
        <v>31</v>
      </c>
      <c r="M541" s="3" t="s">
        <v>7480</v>
      </c>
      <c r="N541" s="3" t="str">
        <f>HYPERLINK("http://ictvonline.org/taxonomyHistory.asp?taxnode_id=20164928","ICTVonline=20164928")</f>
        <v>ICTVonline=20164928</v>
      </c>
    </row>
    <row r="542" spans="1:14" x14ac:dyDescent="0.15">
      <c r="A542" s="3">
        <v>541</v>
      </c>
      <c r="B542" s="1" t="s">
        <v>1366</v>
      </c>
      <c r="C542" s="1" t="s">
        <v>919</v>
      </c>
      <c r="E542" s="1" t="s">
        <v>3724</v>
      </c>
      <c r="F542" s="1" t="s">
        <v>3725</v>
      </c>
      <c r="G542" s="3">
        <v>0</v>
      </c>
      <c r="H542" s="20" t="s">
        <v>6628</v>
      </c>
      <c r="I542" s="20" t="s">
        <v>3726</v>
      </c>
      <c r="J542" s="20" t="s">
        <v>2860</v>
      </c>
      <c r="K542" s="20" t="s">
        <v>10013</v>
      </c>
      <c r="L542" s="3">
        <v>30</v>
      </c>
      <c r="M542" s="3" t="s">
        <v>10050</v>
      </c>
      <c r="N542" s="3" t="str">
        <f>HYPERLINK("http://ictvonline.org/taxonomyHistory.asp?taxnode_id=20160361","ICTVonline=20160361")</f>
        <v>ICTVonline=20160361</v>
      </c>
    </row>
    <row r="543" spans="1:14" x14ac:dyDescent="0.15">
      <c r="A543" s="3">
        <v>542</v>
      </c>
      <c r="B543" s="1" t="s">
        <v>1366</v>
      </c>
      <c r="C543" s="1" t="s">
        <v>919</v>
      </c>
      <c r="E543" s="1" t="s">
        <v>3724</v>
      </c>
      <c r="F543" s="1" t="s">
        <v>3727</v>
      </c>
      <c r="G543" s="3">
        <v>0</v>
      </c>
      <c r="H543" s="20" t="s">
        <v>6629</v>
      </c>
      <c r="I543" s="20" t="s">
        <v>3728</v>
      </c>
      <c r="J543" s="20" t="s">
        <v>2860</v>
      </c>
      <c r="K543" s="20" t="s">
        <v>10013</v>
      </c>
      <c r="L543" s="3">
        <v>30</v>
      </c>
      <c r="M543" s="3" t="s">
        <v>10050</v>
      </c>
      <c r="N543" s="3" t="str">
        <f>HYPERLINK("http://ictvonline.org/taxonomyHistory.asp?taxnode_id=20160362","ICTVonline=20160362")</f>
        <v>ICTVonline=20160362</v>
      </c>
    </row>
    <row r="544" spans="1:14" x14ac:dyDescent="0.15">
      <c r="A544" s="3">
        <v>543</v>
      </c>
      <c r="B544" s="1" t="s">
        <v>1366</v>
      </c>
      <c r="C544" s="1" t="s">
        <v>919</v>
      </c>
      <c r="E544" s="1" t="s">
        <v>3724</v>
      </c>
      <c r="F544" s="1" t="s">
        <v>3729</v>
      </c>
      <c r="G544" s="3">
        <v>1</v>
      </c>
      <c r="J544" s="20" t="s">
        <v>2860</v>
      </c>
      <c r="K544" s="20" t="s">
        <v>10014</v>
      </c>
      <c r="L544" s="3">
        <v>30</v>
      </c>
      <c r="M544" s="3" t="s">
        <v>10017</v>
      </c>
      <c r="N544" s="3" t="str">
        <f>HYPERLINK("http://ictvonline.org/taxonomyHistory.asp?taxnode_id=20160363","ICTVonline=20160363")</f>
        <v>ICTVonline=20160363</v>
      </c>
    </row>
    <row r="545" spans="1:14" x14ac:dyDescent="0.15">
      <c r="A545" s="3">
        <v>544</v>
      </c>
      <c r="B545" s="1" t="s">
        <v>1366</v>
      </c>
      <c r="C545" s="1" t="s">
        <v>919</v>
      </c>
      <c r="E545" s="1" t="s">
        <v>3724</v>
      </c>
      <c r="F545" s="1" t="s">
        <v>3730</v>
      </c>
      <c r="G545" s="3">
        <v>0</v>
      </c>
      <c r="H545" s="20" t="s">
        <v>6630</v>
      </c>
      <c r="I545" s="20" t="s">
        <v>3731</v>
      </c>
      <c r="J545" s="20" t="s">
        <v>2860</v>
      </c>
      <c r="K545" s="20" t="s">
        <v>10013</v>
      </c>
      <c r="L545" s="3">
        <v>30</v>
      </c>
      <c r="M545" s="3" t="s">
        <v>10050</v>
      </c>
      <c r="N545" s="3" t="str">
        <f>HYPERLINK("http://ictvonline.org/taxonomyHistory.asp?taxnode_id=20160364","ICTVonline=20160364")</f>
        <v>ICTVonline=20160364</v>
      </c>
    </row>
    <row r="546" spans="1:14" x14ac:dyDescent="0.15">
      <c r="A546" s="3">
        <v>545</v>
      </c>
      <c r="B546" s="1" t="s">
        <v>1366</v>
      </c>
      <c r="C546" s="1" t="s">
        <v>919</v>
      </c>
      <c r="E546" s="1" t="s">
        <v>3724</v>
      </c>
      <c r="F546" s="1" t="s">
        <v>3732</v>
      </c>
      <c r="G546" s="3">
        <v>0</v>
      </c>
      <c r="H546" s="20" t="s">
        <v>6631</v>
      </c>
      <c r="I546" s="20" t="s">
        <v>3733</v>
      </c>
      <c r="J546" s="20" t="s">
        <v>2860</v>
      </c>
      <c r="K546" s="20" t="s">
        <v>10013</v>
      </c>
      <c r="L546" s="3">
        <v>30</v>
      </c>
      <c r="M546" s="3" t="s">
        <v>10050</v>
      </c>
      <c r="N546" s="3" t="str">
        <f>HYPERLINK("http://ictvonline.org/taxonomyHistory.asp?taxnode_id=20160365","ICTVonline=20160365")</f>
        <v>ICTVonline=20160365</v>
      </c>
    </row>
    <row r="547" spans="1:14" x14ac:dyDescent="0.15">
      <c r="A547" s="3">
        <v>546</v>
      </c>
      <c r="B547" s="1" t="s">
        <v>1366</v>
      </c>
      <c r="C547" s="1" t="s">
        <v>919</v>
      </c>
      <c r="E547" s="1" t="s">
        <v>8112</v>
      </c>
      <c r="F547" s="1" t="s">
        <v>8113</v>
      </c>
      <c r="G547" s="3">
        <v>1</v>
      </c>
      <c r="H547" s="20" t="s">
        <v>8114</v>
      </c>
      <c r="I547" s="20" t="s">
        <v>8115</v>
      </c>
      <c r="J547" s="20" t="s">
        <v>2860</v>
      </c>
      <c r="K547" s="20" t="s">
        <v>10013</v>
      </c>
      <c r="L547" s="3">
        <v>31</v>
      </c>
      <c r="M547" s="3" t="s">
        <v>8116</v>
      </c>
      <c r="N547" s="3" t="str">
        <f>HYPERLINK("http://ictvonline.org/taxonomyHistory.asp?taxnode_id=20164929","ICTVonline=20164929")</f>
        <v>ICTVonline=20164929</v>
      </c>
    </row>
    <row r="548" spans="1:14" x14ac:dyDescent="0.15">
      <c r="A548" s="3">
        <v>547</v>
      </c>
      <c r="B548" s="1" t="s">
        <v>1366</v>
      </c>
      <c r="C548" s="1" t="s">
        <v>919</v>
      </c>
      <c r="E548" s="1" t="s">
        <v>8112</v>
      </c>
      <c r="F548" s="1" t="s">
        <v>8117</v>
      </c>
      <c r="G548" s="3">
        <v>0</v>
      </c>
      <c r="H548" s="20" t="s">
        <v>8118</v>
      </c>
      <c r="I548" s="20" t="s">
        <v>8119</v>
      </c>
      <c r="J548" s="20" t="s">
        <v>2860</v>
      </c>
      <c r="K548" s="20" t="s">
        <v>10013</v>
      </c>
      <c r="L548" s="3">
        <v>31</v>
      </c>
      <c r="M548" s="3" t="s">
        <v>8116</v>
      </c>
      <c r="N548" s="3" t="str">
        <f>HYPERLINK("http://ictvonline.org/taxonomyHistory.asp?taxnode_id=20164930","ICTVonline=20164930")</f>
        <v>ICTVonline=20164930</v>
      </c>
    </row>
    <row r="549" spans="1:14" x14ac:dyDescent="0.15">
      <c r="A549" s="3">
        <v>548</v>
      </c>
      <c r="B549" s="1" t="s">
        <v>1366</v>
      </c>
      <c r="C549" s="1" t="s">
        <v>919</v>
      </c>
      <c r="E549" s="1" t="s">
        <v>8120</v>
      </c>
      <c r="F549" s="1" t="s">
        <v>8121</v>
      </c>
      <c r="G549" s="3">
        <v>1</v>
      </c>
      <c r="H549" s="20" t="s">
        <v>8122</v>
      </c>
      <c r="I549" s="20" t="s">
        <v>8123</v>
      </c>
      <c r="J549" s="20" t="s">
        <v>2860</v>
      </c>
      <c r="K549" s="20" t="s">
        <v>10013</v>
      </c>
      <c r="L549" s="3">
        <v>31</v>
      </c>
      <c r="M549" s="3" t="s">
        <v>8124</v>
      </c>
      <c r="N549" s="3" t="str">
        <f>HYPERLINK("http://ictvonline.org/taxonomyHistory.asp?taxnode_id=20164931","ICTVonline=20164931")</f>
        <v>ICTVonline=20164931</v>
      </c>
    </row>
    <row r="550" spans="1:14" x14ac:dyDescent="0.15">
      <c r="A550" s="3">
        <v>549</v>
      </c>
      <c r="B550" s="1" t="s">
        <v>1366</v>
      </c>
      <c r="C550" s="1" t="s">
        <v>919</v>
      </c>
      <c r="E550" s="1" t="s">
        <v>8120</v>
      </c>
      <c r="F550" s="1" t="s">
        <v>8125</v>
      </c>
      <c r="G550" s="3">
        <v>0</v>
      </c>
      <c r="H550" s="20" t="s">
        <v>8126</v>
      </c>
      <c r="I550" s="20" t="s">
        <v>8127</v>
      </c>
      <c r="J550" s="20" t="s">
        <v>2860</v>
      </c>
      <c r="K550" s="20" t="s">
        <v>10013</v>
      </c>
      <c r="L550" s="3">
        <v>31</v>
      </c>
      <c r="M550" s="3" t="s">
        <v>8124</v>
      </c>
      <c r="N550" s="3" t="str">
        <f>HYPERLINK("http://ictvonline.org/taxonomyHistory.asp?taxnode_id=20164932","ICTVonline=20164932")</f>
        <v>ICTVonline=20164932</v>
      </c>
    </row>
    <row r="551" spans="1:14" x14ac:dyDescent="0.15">
      <c r="A551" s="3">
        <v>550</v>
      </c>
      <c r="B551" s="1" t="s">
        <v>1366</v>
      </c>
      <c r="C551" s="1" t="s">
        <v>919</v>
      </c>
      <c r="E551" s="1" t="s">
        <v>8120</v>
      </c>
      <c r="F551" s="1" t="s">
        <v>8128</v>
      </c>
      <c r="G551" s="3">
        <v>0</v>
      </c>
      <c r="H551" s="20" t="s">
        <v>8129</v>
      </c>
      <c r="I551" s="20" t="s">
        <v>8130</v>
      </c>
      <c r="J551" s="20" t="s">
        <v>2860</v>
      </c>
      <c r="K551" s="20" t="s">
        <v>10013</v>
      </c>
      <c r="L551" s="3">
        <v>31</v>
      </c>
      <c r="M551" s="3" t="s">
        <v>8124</v>
      </c>
      <c r="N551" s="3" t="str">
        <f>HYPERLINK("http://ictvonline.org/taxonomyHistory.asp?taxnode_id=20164933","ICTVonline=20164933")</f>
        <v>ICTVonline=20164933</v>
      </c>
    </row>
    <row r="552" spans="1:14" x14ac:dyDescent="0.15">
      <c r="A552" s="3">
        <v>551</v>
      </c>
      <c r="B552" s="1" t="s">
        <v>1366</v>
      </c>
      <c r="C552" s="1" t="s">
        <v>919</v>
      </c>
      <c r="E552" s="1" t="s">
        <v>926</v>
      </c>
      <c r="F552" s="1" t="s">
        <v>3734</v>
      </c>
      <c r="G552" s="3">
        <v>0</v>
      </c>
      <c r="J552" s="20" t="s">
        <v>2860</v>
      </c>
      <c r="K552" s="20" t="s">
        <v>10021</v>
      </c>
      <c r="L552" s="3">
        <v>30</v>
      </c>
      <c r="M552" s="3" t="s">
        <v>10017</v>
      </c>
      <c r="N552" s="3" t="str">
        <f>HYPERLINK("http://ictvonline.org/taxonomyHistory.asp?taxnode_id=20160367","ICTVonline=20160367")</f>
        <v>ICTVonline=20160367</v>
      </c>
    </row>
    <row r="553" spans="1:14" x14ac:dyDescent="0.15">
      <c r="A553" s="3">
        <v>552</v>
      </c>
      <c r="B553" s="1" t="s">
        <v>1366</v>
      </c>
      <c r="C553" s="1" t="s">
        <v>919</v>
      </c>
      <c r="E553" s="1" t="s">
        <v>926</v>
      </c>
      <c r="F553" s="1" t="s">
        <v>3735</v>
      </c>
      <c r="G553" s="3">
        <v>0</v>
      </c>
      <c r="J553" s="20" t="s">
        <v>2860</v>
      </c>
      <c r="K553" s="20" t="s">
        <v>10021</v>
      </c>
      <c r="L553" s="3">
        <v>30</v>
      </c>
      <c r="M553" s="3" t="s">
        <v>10017</v>
      </c>
      <c r="N553" s="3" t="str">
        <f>HYPERLINK("http://ictvonline.org/taxonomyHistory.asp?taxnode_id=20160368","ICTVonline=20160368")</f>
        <v>ICTVonline=20160368</v>
      </c>
    </row>
    <row r="554" spans="1:14" x14ac:dyDescent="0.15">
      <c r="A554" s="3">
        <v>553</v>
      </c>
      <c r="B554" s="1" t="s">
        <v>1366</v>
      </c>
      <c r="C554" s="1" t="s">
        <v>919</v>
      </c>
      <c r="E554" s="1" t="s">
        <v>926</v>
      </c>
      <c r="F554" s="1" t="s">
        <v>3736</v>
      </c>
      <c r="G554" s="3">
        <v>0</v>
      </c>
      <c r="J554" s="20" t="s">
        <v>2860</v>
      </c>
      <c r="K554" s="20" t="s">
        <v>10021</v>
      </c>
      <c r="L554" s="3">
        <v>30</v>
      </c>
      <c r="M554" s="3" t="s">
        <v>10017</v>
      </c>
      <c r="N554" s="3" t="str">
        <f>HYPERLINK("http://ictvonline.org/taxonomyHistory.asp?taxnode_id=20160369","ICTVonline=20160369")</f>
        <v>ICTVonline=20160369</v>
      </c>
    </row>
    <row r="555" spans="1:14" x14ac:dyDescent="0.15">
      <c r="A555" s="3">
        <v>554</v>
      </c>
      <c r="B555" s="1" t="s">
        <v>1366</v>
      </c>
      <c r="C555" s="1" t="s">
        <v>919</v>
      </c>
      <c r="E555" s="1" t="s">
        <v>926</v>
      </c>
      <c r="F555" s="1" t="s">
        <v>3737</v>
      </c>
      <c r="G555" s="3">
        <v>0</v>
      </c>
      <c r="J555" s="20" t="s">
        <v>2860</v>
      </c>
      <c r="K555" s="20" t="s">
        <v>10021</v>
      </c>
      <c r="L555" s="3">
        <v>30</v>
      </c>
      <c r="M555" s="3" t="s">
        <v>10017</v>
      </c>
      <c r="N555" s="3" t="str">
        <f>HYPERLINK("http://ictvonline.org/taxonomyHistory.asp?taxnode_id=20160370","ICTVonline=20160370")</f>
        <v>ICTVonline=20160370</v>
      </c>
    </row>
    <row r="556" spans="1:14" x14ac:dyDescent="0.15">
      <c r="A556" s="3">
        <v>555</v>
      </c>
      <c r="B556" s="1" t="s">
        <v>1366</v>
      </c>
      <c r="C556" s="1" t="s">
        <v>919</v>
      </c>
      <c r="E556" s="1" t="s">
        <v>926</v>
      </c>
      <c r="F556" s="1" t="s">
        <v>3738</v>
      </c>
      <c r="G556" s="3">
        <v>0</v>
      </c>
      <c r="J556" s="20" t="s">
        <v>2860</v>
      </c>
      <c r="K556" s="20" t="s">
        <v>10021</v>
      </c>
      <c r="L556" s="3">
        <v>30</v>
      </c>
      <c r="M556" s="3" t="s">
        <v>10017</v>
      </c>
      <c r="N556" s="3" t="str">
        <f>HYPERLINK("http://ictvonline.org/taxonomyHistory.asp?taxnode_id=20160371","ICTVonline=20160371")</f>
        <v>ICTVonline=20160371</v>
      </c>
    </row>
    <row r="557" spans="1:14" x14ac:dyDescent="0.15">
      <c r="A557" s="3">
        <v>556</v>
      </c>
      <c r="B557" s="1" t="s">
        <v>1366</v>
      </c>
      <c r="C557" s="1" t="s">
        <v>919</v>
      </c>
      <c r="E557" s="1" t="s">
        <v>926</v>
      </c>
      <c r="F557" s="1" t="s">
        <v>3739</v>
      </c>
      <c r="G557" s="3">
        <v>0</v>
      </c>
      <c r="J557" s="20" t="s">
        <v>2860</v>
      </c>
      <c r="K557" s="20" t="s">
        <v>10021</v>
      </c>
      <c r="L557" s="3">
        <v>30</v>
      </c>
      <c r="M557" s="3" t="s">
        <v>10017</v>
      </c>
      <c r="N557" s="3" t="str">
        <f>HYPERLINK("http://ictvonline.org/taxonomyHistory.asp?taxnode_id=20160372","ICTVonline=20160372")</f>
        <v>ICTVonline=20160372</v>
      </c>
    </row>
    <row r="558" spans="1:14" x14ac:dyDescent="0.15">
      <c r="A558" s="3">
        <v>557</v>
      </c>
      <c r="B558" s="1" t="s">
        <v>1366</v>
      </c>
      <c r="C558" s="1" t="s">
        <v>919</v>
      </c>
      <c r="E558" s="1" t="s">
        <v>926</v>
      </c>
      <c r="F558" s="1" t="s">
        <v>3740</v>
      </c>
      <c r="G558" s="3">
        <v>0</v>
      </c>
      <c r="J558" s="20" t="s">
        <v>2860</v>
      </c>
      <c r="K558" s="20" t="s">
        <v>10021</v>
      </c>
      <c r="L558" s="3">
        <v>30</v>
      </c>
      <c r="M558" s="3" t="s">
        <v>10017</v>
      </c>
      <c r="N558" s="3" t="str">
        <f>HYPERLINK("http://ictvonline.org/taxonomyHistory.asp?taxnode_id=20160373","ICTVonline=20160373")</f>
        <v>ICTVonline=20160373</v>
      </c>
    </row>
    <row r="559" spans="1:14" x14ac:dyDescent="0.15">
      <c r="A559" s="3">
        <v>558</v>
      </c>
      <c r="B559" s="1" t="s">
        <v>1366</v>
      </c>
      <c r="C559" s="1" t="s">
        <v>919</v>
      </c>
      <c r="E559" s="1" t="s">
        <v>3741</v>
      </c>
      <c r="F559" s="1" t="s">
        <v>3742</v>
      </c>
      <c r="G559" s="3">
        <v>0</v>
      </c>
      <c r="H559" s="20" t="s">
        <v>6632</v>
      </c>
      <c r="I559" s="20" t="s">
        <v>3743</v>
      </c>
      <c r="J559" s="20" t="s">
        <v>2860</v>
      </c>
      <c r="K559" s="20" t="s">
        <v>10013</v>
      </c>
      <c r="L559" s="3">
        <v>30</v>
      </c>
      <c r="M559" s="3" t="s">
        <v>10051</v>
      </c>
      <c r="N559" s="3" t="str">
        <f>HYPERLINK("http://ictvonline.org/taxonomyHistory.asp?taxnode_id=20160375","ICTVonline=20160375")</f>
        <v>ICTVonline=20160375</v>
      </c>
    </row>
    <row r="560" spans="1:14" x14ac:dyDescent="0.15">
      <c r="A560" s="3">
        <v>559</v>
      </c>
      <c r="B560" s="1" t="s">
        <v>1366</v>
      </c>
      <c r="C560" s="1" t="s">
        <v>919</v>
      </c>
      <c r="E560" s="1" t="s">
        <v>3741</v>
      </c>
      <c r="F560" s="1" t="s">
        <v>3744</v>
      </c>
      <c r="G560" s="3">
        <v>0</v>
      </c>
      <c r="H560" s="20" t="s">
        <v>6633</v>
      </c>
      <c r="I560" s="20" t="s">
        <v>3745</v>
      </c>
      <c r="J560" s="20" t="s">
        <v>2860</v>
      </c>
      <c r="K560" s="20" t="s">
        <v>10013</v>
      </c>
      <c r="L560" s="3">
        <v>30</v>
      </c>
      <c r="M560" s="3" t="s">
        <v>10051</v>
      </c>
      <c r="N560" s="3" t="str">
        <f>HYPERLINK("http://ictvonline.org/taxonomyHistory.asp?taxnode_id=20160376","ICTVonline=20160376")</f>
        <v>ICTVonline=20160376</v>
      </c>
    </row>
    <row r="561" spans="1:14" x14ac:dyDescent="0.15">
      <c r="A561" s="3">
        <v>560</v>
      </c>
      <c r="B561" s="1" t="s">
        <v>1366</v>
      </c>
      <c r="C561" s="1" t="s">
        <v>919</v>
      </c>
      <c r="E561" s="1" t="s">
        <v>3741</v>
      </c>
      <c r="F561" s="1" t="s">
        <v>3746</v>
      </c>
      <c r="G561" s="3">
        <v>1</v>
      </c>
      <c r="H561" s="20" t="s">
        <v>6634</v>
      </c>
      <c r="I561" s="20" t="s">
        <v>3747</v>
      </c>
      <c r="J561" s="20" t="s">
        <v>2860</v>
      </c>
      <c r="K561" s="20" t="s">
        <v>10013</v>
      </c>
      <c r="L561" s="3">
        <v>30</v>
      </c>
      <c r="M561" s="3" t="s">
        <v>10051</v>
      </c>
      <c r="N561" s="3" t="str">
        <f>HYPERLINK("http://ictvonline.org/taxonomyHistory.asp?taxnode_id=20160377","ICTVonline=20160377")</f>
        <v>ICTVonline=20160377</v>
      </c>
    </row>
    <row r="562" spans="1:14" x14ac:dyDescent="0.15">
      <c r="A562" s="3">
        <v>561</v>
      </c>
      <c r="B562" s="1" t="s">
        <v>1366</v>
      </c>
      <c r="C562" s="1" t="s">
        <v>920</v>
      </c>
      <c r="D562" s="1" t="s">
        <v>8131</v>
      </c>
      <c r="E562" s="1" t="s">
        <v>8132</v>
      </c>
      <c r="F562" s="1" t="s">
        <v>8133</v>
      </c>
      <c r="G562" s="3">
        <v>0</v>
      </c>
      <c r="H562" s="20" t="s">
        <v>8134</v>
      </c>
      <c r="I562" s="20" t="s">
        <v>8135</v>
      </c>
      <c r="J562" s="20" t="s">
        <v>2860</v>
      </c>
      <c r="K562" s="20" t="s">
        <v>10013</v>
      </c>
      <c r="L562" s="3">
        <v>31</v>
      </c>
      <c r="M562" s="3" t="s">
        <v>8136</v>
      </c>
      <c r="N562" s="3" t="str">
        <f>HYPERLINK("http://ictvonline.org/taxonomyHistory.asp?taxnode_id=20164934","ICTVonline=20164934")</f>
        <v>ICTVonline=20164934</v>
      </c>
    </row>
    <row r="563" spans="1:14" x14ac:dyDescent="0.15">
      <c r="A563" s="3">
        <v>562</v>
      </c>
      <c r="B563" s="1" t="s">
        <v>1366</v>
      </c>
      <c r="C563" s="1" t="s">
        <v>920</v>
      </c>
      <c r="D563" s="1" t="s">
        <v>8131</v>
      </c>
      <c r="E563" s="1" t="s">
        <v>8132</v>
      </c>
      <c r="F563" s="1" t="s">
        <v>8137</v>
      </c>
      <c r="G563" s="3">
        <v>1</v>
      </c>
      <c r="H563" s="20" t="s">
        <v>8138</v>
      </c>
      <c r="I563" s="20" t="s">
        <v>8139</v>
      </c>
      <c r="J563" s="20" t="s">
        <v>2860</v>
      </c>
      <c r="K563" s="20" t="s">
        <v>10013</v>
      </c>
      <c r="L563" s="3">
        <v>31</v>
      </c>
      <c r="M563" s="3" t="s">
        <v>8136</v>
      </c>
      <c r="N563" s="3" t="str">
        <f>HYPERLINK("http://ictvonline.org/taxonomyHistory.asp?taxnode_id=20164935","ICTVonline=20164935")</f>
        <v>ICTVonline=20164935</v>
      </c>
    </row>
    <row r="564" spans="1:14" x14ac:dyDescent="0.15">
      <c r="A564" s="3">
        <v>563</v>
      </c>
      <c r="B564" s="1" t="s">
        <v>1366</v>
      </c>
      <c r="C564" s="1" t="s">
        <v>920</v>
      </c>
      <c r="D564" s="1" t="s">
        <v>8131</v>
      </c>
      <c r="E564" s="1" t="s">
        <v>8140</v>
      </c>
      <c r="F564" s="1" t="s">
        <v>8141</v>
      </c>
      <c r="G564" s="3">
        <v>0</v>
      </c>
      <c r="H564" s="20" t="s">
        <v>8142</v>
      </c>
      <c r="I564" s="20" t="s">
        <v>8143</v>
      </c>
      <c r="J564" s="20" t="s">
        <v>2860</v>
      </c>
      <c r="K564" s="20" t="s">
        <v>10013</v>
      </c>
      <c r="L564" s="3">
        <v>31</v>
      </c>
      <c r="M564" s="3" t="s">
        <v>8136</v>
      </c>
      <c r="N564" s="3" t="str">
        <f>HYPERLINK("http://ictvonline.org/taxonomyHistory.asp?taxnode_id=20164936","ICTVonline=20164936")</f>
        <v>ICTVonline=20164936</v>
      </c>
    </row>
    <row r="565" spans="1:14" x14ac:dyDescent="0.15">
      <c r="A565" s="3">
        <v>564</v>
      </c>
      <c r="B565" s="1" t="s">
        <v>1366</v>
      </c>
      <c r="C565" s="1" t="s">
        <v>920</v>
      </c>
      <c r="D565" s="1" t="s">
        <v>8131</v>
      </c>
      <c r="E565" s="1" t="s">
        <v>8140</v>
      </c>
      <c r="F565" s="1" t="s">
        <v>8144</v>
      </c>
      <c r="G565" s="3">
        <v>0</v>
      </c>
      <c r="H565" s="20" t="s">
        <v>8145</v>
      </c>
      <c r="I565" s="20" t="s">
        <v>8146</v>
      </c>
      <c r="J565" s="20" t="s">
        <v>2860</v>
      </c>
      <c r="K565" s="20" t="s">
        <v>10013</v>
      </c>
      <c r="L565" s="3">
        <v>31</v>
      </c>
      <c r="M565" s="3" t="s">
        <v>8136</v>
      </c>
      <c r="N565" s="3" t="str">
        <f>HYPERLINK("http://ictvonline.org/taxonomyHistory.asp?taxnode_id=20164937","ICTVonline=20164937")</f>
        <v>ICTVonline=20164937</v>
      </c>
    </row>
    <row r="566" spans="1:14" x14ac:dyDescent="0.15">
      <c r="A566" s="3">
        <v>565</v>
      </c>
      <c r="B566" s="1" t="s">
        <v>1366</v>
      </c>
      <c r="C566" s="1" t="s">
        <v>920</v>
      </c>
      <c r="D566" s="1" t="s">
        <v>8131</v>
      </c>
      <c r="E566" s="1" t="s">
        <v>8140</v>
      </c>
      <c r="F566" s="1" t="s">
        <v>8147</v>
      </c>
      <c r="G566" s="3">
        <v>0</v>
      </c>
      <c r="H566" s="20" t="s">
        <v>8148</v>
      </c>
      <c r="I566" s="20" t="s">
        <v>8149</v>
      </c>
      <c r="J566" s="20" t="s">
        <v>2860</v>
      </c>
      <c r="K566" s="20" t="s">
        <v>10013</v>
      </c>
      <c r="L566" s="3">
        <v>31</v>
      </c>
      <c r="M566" s="3" t="s">
        <v>8136</v>
      </c>
      <c r="N566" s="3" t="str">
        <f>HYPERLINK("http://ictvonline.org/taxonomyHistory.asp?taxnode_id=20164938","ICTVonline=20164938")</f>
        <v>ICTVonline=20164938</v>
      </c>
    </row>
    <row r="567" spans="1:14" x14ac:dyDescent="0.15">
      <c r="A567" s="3">
        <v>566</v>
      </c>
      <c r="B567" s="1" t="s">
        <v>1366</v>
      </c>
      <c r="C567" s="1" t="s">
        <v>920</v>
      </c>
      <c r="D567" s="1" t="s">
        <v>8131</v>
      </c>
      <c r="E567" s="1" t="s">
        <v>8140</v>
      </c>
      <c r="F567" s="1" t="s">
        <v>8150</v>
      </c>
      <c r="G567" s="3">
        <v>0</v>
      </c>
      <c r="H567" s="20" t="s">
        <v>8151</v>
      </c>
      <c r="I567" s="20" t="s">
        <v>8152</v>
      </c>
      <c r="J567" s="20" t="s">
        <v>2860</v>
      </c>
      <c r="K567" s="20" t="s">
        <v>10013</v>
      </c>
      <c r="L567" s="3">
        <v>31</v>
      </c>
      <c r="M567" s="3" t="s">
        <v>8136</v>
      </c>
      <c r="N567" s="3" t="str">
        <f>HYPERLINK("http://ictvonline.org/taxonomyHistory.asp?taxnode_id=20164939","ICTVonline=20164939")</f>
        <v>ICTVonline=20164939</v>
      </c>
    </row>
    <row r="568" spans="1:14" x14ac:dyDescent="0.15">
      <c r="A568" s="3">
        <v>567</v>
      </c>
      <c r="B568" s="1" t="s">
        <v>1366</v>
      </c>
      <c r="C568" s="1" t="s">
        <v>920</v>
      </c>
      <c r="D568" s="1" t="s">
        <v>8131</v>
      </c>
      <c r="E568" s="1" t="s">
        <v>8140</v>
      </c>
      <c r="F568" s="1" t="s">
        <v>8153</v>
      </c>
      <c r="G568" s="3">
        <v>0</v>
      </c>
      <c r="H568" s="20" t="s">
        <v>8154</v>
      </c>
      <c r="I568" s="20" t="s">
        <v>8155</v>
      </c>
      <c r="J568" s="20" t="s">
        <v>2860</v>
      </c>
      <c r="K568" s="20" t="s">
        <v>10013</v>
      </c>
      <c r="L568" s="3">
        <v>31</v>
      </c>
      <c r="M568" s="3" t="s">
        <v>8136</v>
      </c>
      <c r="N568" s="3" t="str">
        <f>HYPERLINK("http://ictvonline.org/taxonomyHistory.asp?taxnode_id=20164940","ICTVonline=20164940")</f>
        <v>ICTVonline=20164940</v>
      </c>
    </row>
    <row r="569" spans="1:14" x14ac:dyDescent="0.15">
      <c r="A569" s="3">
        <v>568</v>
      </c>
      <c r="B569" s="1" t="s">
        <v>1366</v>
      </c>
      <c r="C569" s="1" t="s">
        <v>920</v>
      </c>
      <c r="D569" s="1" t="s">
        <v>8131</v>
      </c>
      <c r="E569" s="1" t="s">
        <v>8140</v>
      </c>
      <c r="F569" s="1" t="s">
        <v>8156</v>
      </c>
      <c r="G569" s="3">
        <v>0</v>
      </c>
      <c r="H569" s="20" t="s">
        <v>8157</v>
      </c>
      <c r="I569" s="20" t="s">
        <v>8158</v>
      </c>
      <c r="J569" s="20" t="s">
        <v>2860</v>
      </c>
      <c r="K569" s="20" t="s">
        <v>10013</v>
      </c>
      <c r="L569" s="3">
        <v>31</v>
      </c>
      <c r="M569" s="3" t="s">
        <v>8136</v>
      </c>
      <c r="N569" s="3" t="str">
        <f>HYPERLINK("http://ictvonline.org/taxonomyHistory.asp?taxnode_id=20164941","ICTVonline=20164941")</f>
        <v>ICTVonline=20164941</v>
      </c>
    </row>
    <row r="570" spans="1:14" x14ac:dyDescent="0.15">
      <c r="A570" s="3">
        <v>569</v>
      </c>
      <c r="B570" s="1" t="s">
        <v>1366</v>
      </c>
      <c r="C570" s="1" t="s">
        <v>920</v>
      </c>
      <c r="D570" s="1" t="s">
        <v>8131</v>
      </c>
      <c r="E570" s="1" t="s">
        <v>8140</v>
      </c>
      <c r="F570" s="1" t="s">
        <v>8159</v>
      </c>
      <c r="G570" s="3">
        <v>1</v>
      </c>
      <c r="H570" s="20" t="s">
        <v>8160</v>
      </c>
      <c r="I570" s="20" t="s">
        <v>8161</v>
      </c>
      <c r="J570" s="20" t="s">
        <v>2860</v>
      </c>
      <c r="K570" s="20" t="s">
        <v>10013</v>
      </c>
      <c r="L570" s="3">
        <v>31</v>
      </c>
      <c r="M570" s="3" t="s">
        <v>8136</v>
      </c>
      <c r="N570" s="3" t="str">
        <f>HYPERLINK("http://ictvonline.org/taxonomyHistory.asp?taxnode_id=20164942","ICTVonline=20164942")</f>
        <v>ICTVonline=20164942</v>
      </c>
    </row>
    <row r="571" spans="1:14" x14ac:dyDescent="0.15">
      <c r="A571" s="3">
        <v>570</v>
      </c>
      <c r="B571" s="1" t="s">
        <v>1366</v>
      </c>
      <c r="C571" s="1" t="s">
        <v>920</v>
      </c>
      <c r="D571" s="1" t="s">
        <v>8131</v>
      </c>
      <c r="E571" s="1" t="s">
        <v>8140</v>
      </c>
      <c r="F571" s="1" t="s">
        <v>8162</v>
      </c>
      <c r="G571" s="3">
        <v>0</v>
      </c>
      <c r="H571" s="20" t="s">
        <v>8163</v>
      </c>
      <c r="I571" s="20" t="s">
        <v>8164</v>
      </c>
      <c r="J571" s="20" t="s">
        <v>2860</v>
      </c>
      <c r="K571" s="20" t="s">
        <v>10013</v>
      </c>
      <c r="L571" s="3">
        <v>31</v>
      </c>
      <c r="M571" s="3" t="s">
        <v>8136</v>
      </c>
      <c r="N571" s="3" t="str">
        <f>HYPERLINK("http://ictvonline.org/taxonomyHistory.asp?taxnode_id=20164943","ICTVonline=20164943")</f>
        <v>ICTVonline=20164943</v>
      </c>
    </row>
    <row r="572" spans="1:14" x14ac:dyDescent="0.15">
      <c r="A572" s="3">
        <v>571</v>
      </c>
      <c r="B572" s="1" t="s">
        <v>1366</v>
      </c>
      <c r="C572" s="1" t="s">
        <v>920</v>
      </c>
      <c r="D572" s="1" t="s">
        <v>8131</v>
      </c>
      <c r="E572" s="1" t="s">
        <v>8140</v>
      </c>
      <c r="F572" s="1" t="s">
        <v>8165</v>
      </c>
      <c r="G572" s="3">
        <v>0</v>
      </c>
      <c r="H572" s="20" t="s">
        <v>8166</v>
      </c>
      <c r="I572" s="20" t="s">
        <v>8167</v>
      </c>
      <c r="J572" s="20" t="s">
        <v>2860</v>
      </c>
      <c r="K572" s="20" t="s">
        <v>10013</v>
      </c>
      <c r="L572" s="3">
        <v>31</v>
      </c>
      <c r="M572" s="3" t="s">
        <v>8136</v>
      </c>
      <c r="N572" s="3" t="str">
        <f>HYPERLINK("http://ictvonline.org/taxonomyHistory.asp?taxnode_id=20164944","ICTVonline=20164944")</f>
        <v>ICTVonline=20164944</v>
      </c>
    </row>
    <row r="573" spans="1:14" x14ac:dyDescent="0.15">
      <c r="A573" s="3">
        <v>572</v>
      </c>
      <c r="B573" s="1" t="s">
        <v>1366</v>
      </c>
      <c r="C573" s="1" t="s">
        <v>920</v>
      </c>
      <c r="D573" s="1" t="s">
        <v>8131</v>
      </c>
      <c r="E573" s="1" t="s">
        <v>8168</v>
      </c>
      <c r="F573" s="1" t="s">
        <v>8169</v>
      </c>
      <c r="G573" s="3">
        <v>0</v>
      </c>
      <c r="H573" s="20" t="s">
        <v>8170</v>
      </c>
      <c r="I573" s="20" t="s">
        <v>8171</v>
      </c>
      <c r="J573" s="20" t="s">
        <v>2860</v>
      </c>
      <c r="K573" s="20" t="s">
        <v>10013</v>
      </c>
      <c r="L573" s="3">
        <v>31</v>
      </c>
      <c r="M573" s="3" t="s">
        <v>8136</v>
      </c>
      <c r="N573" s="3" t="str">
        <f>HYPERLINK("http://ictvonline.org/taxonomyHistory.asp?taxnode_id=20164945","ICTVonline=20164945")</f>
        <v>ICTVonline=20164945</v>
      </c>
    </row>
    <row r="574" spans="1:14" x14ac:dyDescent="0.15">
      <c r="A574" s="3">
        <v>573</v>
      </c>
      <c r="B574" s="1" t="s">
        <v>1366</v>
      </c>
      <c r="C574" s="1" t="s">
        <v>920</v>
      </c>
      <c r="D574" s="1" t="s">
        <v>8131</v>
      </c>
      <c r="E574" s="1" t="s">
        <v>8168</v>
      </c>
      <c r="F574" s="1" t="s">
        <v>8172</v>
      </c>
      <c r="G574" s="3">
        <v>1</v>
      </c>
      <c r="H574" s="20" t="s">
        <v>8173</v>
      </c>
      <c r="I574" s="20" t="s">
        <v>8174</v>
      </c>
      <c r="J574" s="20" t="s">
        <v>2860</v>
      </c>
      <c r="K574" s="20" t="s">
        <v>10013</v>
      </c>
      <c r="L574" s="3">
        <v>31</v>
      </c>
      <c r="M574" s="3" t="s">
        <v>8136</v>
      </c>
      <c r="N574" s="3" t="str">
        <f>HYPERLINK("http://ictvonline.org/taxonomyHistory.asp?taxnode_id=20164946","ICTVonline=20164946")</f>
        <v>ICTVonline=20164946</v>
      </c>
    </row>
    <row r="575" spans="1:14" x14ac:dyDescent="0.15">
      <c r="A575" s="3">
        <v>574</v>
      </c>
      <c r="B575" s="1" t="s">
        <v>1366</v>
      </c>
      <c r="C575" s="1" t="s">
        <v>920</v>
      </c>
      <c r="D575" s="1" t="s">
        <v>8131</v>
      </c>
      <c r="E575" s="1" t="s">
        <v>926</v>
      </c>
      <c r="F575" s="1" t="s">
        <v>8175</v>
      </c>
      <c r="G575" s="3">
        <v>0</v>
      </c>
      <c r="H575" s="20" t="s">
        <v>8176</v>
      </c>
      <c r="I575" s="20" t="s">
        <v>8177</v>
      </c>
      <c r="J575" s="20" t="s">
        <v>2860</v>
      </c>
      <c r="K575" s="20" t="s">
        <v>10013</v>
      </c>
      <c r="L575" s="3">
        <v>31</v>
      </c>
      <c r="M575" s="3" t="s">
        <v>8136</v>
      </c>
      <c r="N575" s="3" t="str">
        <f>HYPERLINK("http://ictvonline.org/taxonomyHistory.asp?taxnode_id=20164947","ICTVonline=20164947")</f>
        <v>ICTVonline=20164947</v>
      </c>
    </row>
    <row r="576" spans="1:14" x14ac:dyDescent="0.15">
      <c r="A576" s="3">
        <v>575</v>
      </c>
      <c r="B576" s="1" t="s">
        <v>1366</v>
      </c>
      <c r="C576" s="1" t="s">
        <v>920</v>
      </c>
      <c r="D576" s="1" t="s">
        <v>7471</v>
      </c>
      <c r="E576" s="1" t="s">
        <v>7472</v>
      </c>
      <c r="F576" s="1" t="s">
        <v>4045</v>
      </c>
      <c r="G576" s="3">
        <v>1</v>
      </c>
      <c r="H576" s="20" t="s">
        <v>3039</v>
      </c>
      <c r="J576" s="20" t="s">
        <v>2860</v>
      </c>
      <c r="K576" s="20" t="s">
        <v>10016</v>
      </c>
      <c r="L576" s="3">
        <v>31</v>
      </c>
      <c r="M576" s="3" t="s">
        <v>7473</v>
      </c>
      <c r="N576" s="3" t="str">
        <f>HYPERLINK("http://ictvonline.org/taxonomyHistory.asp?taxnode_id=20160646","ICTVonline=20160646")</f>
        <v>ICTVonline=20160646</v>
      </c>
    </row>
    <row r="577" spans="1:14" x14ac:dyDescent="0.15">
      <c r="A577" s="3">
        <v>576</v>
      </c>
      <c r="B577" s="1" t="s">
        <v>1366</v>
      </c>
      <c r="C577" s="1" t="s">
        <v>920</v>
      </c>
      <c r="D577" s="1" t="s">
        <v>7471</v>
      </c>
      <c r="E577" s="1" t="s">
        <v>7472</v>
      </c>
      <c r="F577" s="1" t="s">
        <v>8178</v>
      </c>
      <c r="G577" s="3">
        <v>0</v>
      </c>
      <c r="H577" s="20" t="s">
        <v>8179</v>
      </c>
      <c r="I577" s="20" t="s">
        <v>8180</v>
      </c>
      <c r="J577" s="20" t="s">
        <v>2860</v>
      </c>
      <c r="K577" s="20" t="s">
        <v>10013</v>
      </c>
      <c r="L577" s="3">
        <v>31</v>
      </c>
      <c r="M577" s="3" t="s">
        <v>7473</v>
      </c>
      <c r="N577" s="3" t="str">
        <f>HYPERLINK("http://ictvonline.org/taxonomyHistory.asp?taxnode_id=20164948","ICTVonline=20164948")</f>
        <v>ICTVonline=20164948</v>
      </c>
    </row>
    <row r="578" spans="1:14" x14ac:dyDescent="0.15">
      <c r="A578" s="3">
        <v>577</v>
      </c>
      <c r="B578" s="1" t="s">
        <v>1366</v>
      </c>
      <c r="C578" s="1" t="s">
        <v>920</v>
      </c>
      <c r="D578" s="1" t="s">
        <v>7471</v>
      </c>
      <c r="E578" s="1" t="s">
        <v>7472</v>
      </c>
      <c r="F578" s="1" t="s">
        <v>8181</v>
      </c>
      <c r="G578" s="3">
        <v>0</v>
      </c>
      <c r="H578" s="20" t="s">
        <v>8182</v>
      </c>
      <c r="I578" s="20" t="s">
        <v>8183</v>
      </c>
      <c r="J578" s="20" t="s">
        <v>2860</v>
      </c>
      <c r="K578" s="20" t="s">
        <v>10013</v>
      </c>
      <c r="L578" s="3">
        <v>31</v>
      </c>
      <c r="M578" s="3" t="s">
        <v>7473</v>
      </c>
      <c r="N578" s="3" t="str">
        <f>HYPERLINK("http://ictvonline.org/taxonomyHistory.asp?taxnode_id=20164949","ICTVonline=20164949")</f>
        <v>ICTVonline=20164949</v>
      </c>
    </row>
    <row r="579" spans="1:14" x14ac:dyDescent="0.15">
      <c r="A579" s="3">
        <v>578</v>
      </c>
      <c r="B579" s="1" t="s">
        <v>1366</v>
      </c>
      <c r="C579" s="1" t="s">
        <v>920</v>
      </c>
      <c r="D579" s="1" t="s">
        <v>7471</v>
      </c>
      <c r="E579" s="1" t="s">
        <v>7474</v>
      </c>
      <c r="F579" s="1" t="s">
        <v>8184</v>
      </c>
      <c r="G579" s="3">
        <v>0</v>
      </c>
      <c r="H579" s="20" t="s">
        <v>8185</v>
      </c>
      <c r="I579" s="20" t="s">
        <v>8186</v>
      </c>
      <c r="J579" s="20" t="s">
        <v>2860</v>
      </c>
      <c r="K579" s="20" t="s">
        <v>10013</v>
      </c>
      <c r="L579" s="3">
        <v>31</v>
      </c>
      <c r="M579" s="3" t="s">
        <v>7473</v>
      </c>
      <c r="N579" s="3" t="str">
        <f>HYPERLINK("http://ictvonline.org/taxonomyHistory.asp?taxnode_id=20164950","ICTVonline=20164950")</f>
        <v>ICTVonline=20164950</v>
      </c>
    </row>
    <row r="580" spans="1:14" x14ac:dyDescent="0.15">
      <c r="A580" s="3">
        <v>579</v>
      </c>
      <c r="B580" s="1" t="s">
        <v>1366</v>
      </c>
      <c r="C580" s="1" t="s">
        <v>920</v>
      </c>
      <c r="D580" s="1" t="s">
        <v>7471</v>
      </c>
      <c r="E580" s="1" t="s">
        <v>7474</v>
      </c>
      <c r="F580" s="1" t="s">
        <v>8187</v>
      </c>
      <c r="G580" s="3">
        <v>0</v>
      </c>
      <c r="H580" s="20" t="s">
        <v>8188</v>
      </c>
      <c r="I580" s="20" t="s">
        <v>8189</v>
      </c>
      <c r="J580" s="20" t="s">
        <v>2860</v>
      </c>
      <c r="K580" s="20" t="s">
        <v>10013</v>
      </c>
      <c r="L580" s="3">
        <v>31</v>
      </c>
      <c r="M580" s="3" t="s">
        <v>7473</v>
      </c>
      <c r="N580" s="3" t="str">
        <f>HYPERLINK("http://ictvonline.org/taxonomyHistory.asp?taxnode_id=20164951","ICTVonline=20164951")</f>
        <v>ICTVonline=20164951</v>
      </c>
    </row>
    <row r="581" spans="1:14" x14ac:dyDescent="0.15">
      <c r="A581" s="3">
        <v>580</v>
      </c>
      <c r="B581" s="1" t="s">
        <v>1366</v>
      </c>
      <c r="C581" s="1" t="s">
        <v>920</v>
      </c>
      <c r="D581" s="1" t="s">
        <v>7471</v>
      </c>
      <c r="E581" s="1" t="s">
        <v>7474</v>
      </c>
      <c r="F581" s="1" t="s">
        <v>8190</v>
      </c>
      <c r="G581" s="3">
        <v>0</v>
      </c>
      <c r="H581" s="20" t="s">
        <v>8191</v>
      </c>
      <c r="I581" s="20" t="s">
        <v>8192</v>
      </c>
      <c r="J581" s="20" t="s">
        <v>2860</v>
      </c>
      <c r="K581" s="20" t="s">
        <v>10013</v>
      </c>
      <c r="L581" s="3">
        <v>31</v>
      </c>
      <c r="M581" s="3" t="s">
        <v>7473</v>
      </c>
      <c r="N581" s="3" t="str">
        <f>HYPERLINK("http://ictvonline.org/taxonomyHistory.asp?taxnode_id=20164952","ICTVonline=20164952")</f>
        <v>ICTVonline=20164952</v>
      </c>
    </row>
    <row r="582" spans="1:14" x14ac:dyDescent="0.15">
      <c r="A582" s="3">
        <v>581</v>
      </c>
      <c r="B582" s="1" t="s">
        <v>1366</v>
      </c>
      <c r="C582" s="1" t="s">
        <v>920</v>
      </c>
      <c r="D582" s="1" t="s">
        <v>7471</v>
      </c>
      <c r="E582" s="1" t="s">
        <v>7474</v>
      </c>
      <c r="F582" s="1" t="s">
        <v>4047</v>
      </c>
      <c r="G582" s="3">
        <v>0</v>
      </c>
      <c r="H582" s="20" t="s">
        <v>3041</v>
      </c>
      <c r="J582" s="20" t="s">
        <v>2860</v>
      </c>
      <c r="K582" s="20" t="s">
        <v>10016</v>
      </c>
      <c r="L582" s="3">
        <v>31</v>
      </c>
      <c r="M582" s="3" t="s">
        <v>7473</v>
      </c>
      <c r="N582" s="3" t="str">
        <f>HYPERLINK("http://ictvonline.org/taxonomyHistory.asp?taxnode_id=20160648","ICTVonline=20160648")</f>
        <v>ICTVonline=20160648</v>
      </c>
    </row>
    <row r="583" spans="1:14" x14ac:dyDescent="0.15">
      <c r="A583" s="3">
        <v>582</v>
      </c>
      <c r="B583" s="1" t="s">
        <v>1366</v>
      </c>
      <c r="C583" s="1" t="s">
        <v>920</v>
      </c>
      <c r="D583" s="1" t="s">
        <v>7471</v>
      </c>
      <c r="E583" s="1" t="s">
        <v>7474</v>
      </c>
      <c r="F583" s="1" t="s">
        <v>4048</v>
      </c>
      <c r="G583" s="3">
        <v>1</v>
      </c>
      <c r="H583" s="20" t="s">
        <v>3042</v>
      </c>
      <c r="J583" s="20" t="s">
        <v>2860</v>
      </c>
      <c r="K583" s="20" t="s">
        <v>10016</v>
      </c>
      <c r="L583" s="3">
        <v>31</v>
      </c>
      <c r="M583" s="3" t="s">
        <v>7473</v>
      </c>
      <c r="N583" s="3" t="str">
        <f>HYPERLINK("http://ictvonline.org/taxonomyHistory.asp?taxnode_id=20160649","ICTVonline=20160649")</f>
        <v>ICTVonline=20160649</v>
      </c>
    </row>
    <row r="584" spans="1:14" x14ac:dyDescent="0.15">
      <c r="A584" s="3">
        <v>583</v>
      </c>
      <c r="B584" s="1" t="s">
        <v>1366</v>
      </c>
      <c r="C584" s="1" t="s">
        <v>920</v>
      </c>
      <c r="D584" s="1" t="s">
        <v>7471</v>
      </c>
      <c r="E584" s="1" t="s">
        <v>7474</v>
      </c>
      <c r="F584" s="1" t="s">
        <v>8193</v>
      </c>
      <c r="G584" s="3">
        <v>0</v>
      </c>
      <c r="H584" s="20" t="s">
        <v>8194</v>
      </c>
      <c r="I584" s="20" t="s">
        <v>8195</v>
      </c>
      <c r="J584" s="20" t="s">
        <v>2860</v>
      </c>
      <c r="K584" s="20" t="s">
        <v>10013</v>
      </c>
      <c r="L584" s="3">
        <v>31</v>
      </c>
      <c r="M584" s="3" t="s">
        <v>7473</v>
      </c>
      <c r="N584" s="3" t="str">
        <f>HYPERLINK("http://ictvonline.org/taxonomyHistory.asp?taxnode_id=20164953","ICTVonline=20164953")</f>
        <v>ICTVonline=20164953</v>
      </c>
    </row>
    <row r="585" spans="1:14" x14ac:dyDescent="0.15">
      <c r="A585" s="3">
        <v>584</v>
      </c>
      <c r="B585" s="1" t="s">
        <v>1366</v>
      </c>
      <c r="C585" s="1" t="s">
        <v>920</v>
      </c>
      <c r="D585" s="1" t="s">
        <v>7471</v>
      </c>
      <c r="E585" s="1" t="s">
        <v>7474</v>
      </c>
      <c r="F585" s="1" t="s">
        <v>4050</v>
      </c>
      <c r="G585" s="3">
        <v>0</v>
      </c>
      <c r="H585" s="20" t="s">
        <v>3044</v>
      </c>
      <c r="J585" s="20" t="s">
        <v>2860</v>
      </c>
      <c r="K585" s="20" t="s">
        <v>10016</v>
      </c>
      <c r="L585" s="3">
        <v>31</v>
      </c>
      <c r="M585" s="3" t="s">
        <v>7473</v>
      </c>
      <c r="N585" s="3" t="str">
        <f>HYPERLINK("http://ictvonline.org/taxonomyHistory.asp?taxnode_id=20160651","ICTVonline=20160651")</f>
        <v>ICTVonline=20160651</v>
      </c>
    </row>
    <row r="586" spans="1:14" x14ac:dyDescent="0.15">
      <c r="A586" s="3">
        <v>585</v>
      </c>
      <c r="B586" s="1" t="s">
        <v>1366</v>
      </c>
      <c r="C586" s="1" t="s">
        <v>920</v>
      </c>
      <c r="D586" s="1" t="s">
        <v>7471</v>
      </c>
      <c r="E586" s="1" t="s">
        <v>7474</v>
      </c>
      <c r="F586" s="1" t="s">
        <v>4055</v>
      </c>
      <c r="G586" s="3">
        <v>0</v>
      </c>
      <c r="H586" s="20" t="s">
        <v>3049</v>
      </c>
      <c r="J586" s="20" t="s">
        <v>2860</v>
      </c>
      <c r="K586" s="20" t="s">
        <v>10016</v>
      </c>
      <c r="L586" s="3">
        <v>31</v>
      </c>
      <c r="M586" s="3" t="s">
        <v>7473</v>
      </c>
      <c r="N586" s="3" t="str">
        <f>HYPERLINK("http://ictvonline.org/taxonomyHistory.asp?taxnode_id=20160656","ICTVonline=20160656")</f>
        <v>ICTVonline=20160656</v>
      </c>
    </row>
    <row r="587" spans="1:14" x14ac:dyDescent="0.15">
      <c r="A587" s="3">
        <v>586</v>
      </c>
      <c r="B587" s="1" t="s">
        <v>1366</v>
      </c>
      <c r="C587" s="1" t="s">
        <v>920</v>
      </c>
      <c r="D587" s="1" t="s">
        <v>7471</v>
      </c>
      <c r="E587" s="1" t="s">
        <v>7474</v>
      </c>
      <c r="F587" s="1" t="s">
        <v>8196</v>
      </c>
      <c r="G587" s="3">
        <v>0</v>
      </c>
      <c r="H587" s="20" t="s">
        <v>8197</v>
      </c>
      <c r="I587" s="20" t="s">
        <v>8198</v>
      </c>
      <c r="J587" s="20" t="s">
        <v>2860</v>
      </c>
      <c r="K587" s="20" t="s">
        <v>10013</v>
      </c>
      <c r="L587" s="3">
        <v>31</v>
      </c>
      <c r="M587" s="3" t="s">
        <v>7473</v>
      </c>
      <c r="N587" s="3" t="str">
        <f>HYPERLINK("http://ictvonline.org/taxonomyHistory.asp?taxnode_id=20164954","ICTVonline=20164954")</f>
        <v>ICTVonline=20164954</v>
      </c>
    </row>
    <row r="588" spans="1:14" x14ac:dyDescent="0.15">
      <c r="A588" s="3">
        <v>587</v>
      </c>
      <c r="B588" s="1" t="s">
        <v>1366</v>
      </c>
      <c r="C588" s="1" t="s">
        <v>920</v>
      </c>
      <c r="D588" s="1" t="s">
        <v>7471</v>
      </c>
      <c r="E588" s="1" t="s">
        <v>7474</v>
      </c>
      <c r="F588" s="1" t="s">
        <v>4056</v>
      </c>
      <c r="G588" s="3">
        <v>0</v>
      </c>
      <c r="H588" s="20" t="s">
        <v>3050</v>
      </c>
      <c r="J588" s="20" t="s">
        <v>2860</v>
      </c>
      <c r="K588" s="20" t="s">
        <v>10016</v>
      </c>
      <c r="L588" s="3">
        <v>31</v>
      </c>
      <c r="M588" s="3" t="s">
        <v>7473</v>
      </c>
      <c r="N588" s="3" t="str">
        <f>HYPERLINK("http://ictvonline.org/taxonomyHistory.asp?taxnode_id=20160657","ICTVonline=20160657")</f>
        <v>ICTVonline=20160657</v>
      </c>
    </row>
    <row r="589" spans="1:14" x14ac:dyDescent="0.15">
      <c r="A589" s="3">
        <v>588</v>
      </c>
      <c r="B589" s="1" t="s">
        <v>1366</v>
      </c>
      <c r="C589" s="1" t="s">
        <v>920</v>
      </c>
      <c r="D589" s="1" t="s">
        <v>7471</v>
      </c>
      <c r="E589" s="1" t="s">
        <v>4044</v>
      </c>
      <c r="F589" s="1" t="s">
        <v>8199</v>
      </c>
      <c r="G589" s="3">
        <v>0</v>
      </c>
      <c r="H589" s="20" t="s">
        <v>8200</v>
      </c>
      <c r="I589" s="20" t="s">
        <v>8201</v>
      </c>
      <c r="J589" s="20" t="s">
        <v>2860</v>
      </c>
      <c r="K589" s="20" t="s">
        <v>10013</v>
      </c>
      <c r="L589" s="3">
        <v>31</v>
      </c>
      <c r="M589" s="3" t="s">
        <v>7473</v>
      </c>
      <c r="N589" s="3" t="str">
        <f>HYPERLINK("http://ictvonline.org/taxonomyHistory.asp?taxnode_id=20164955","ICTVonline=20164955")</f>
        <v>ICTVonline=20164955</v>
      </c>
    </row>
    <row r="590" spans="1:14" x14ac:dyDescent="0.15">
      <c r="A590" s="3">
        <v>589</v>
      </c>
      <c r="B590" s="1" t="s">
        <v>1366</v>
      </c>
      <c r="C590" s="1" t="s">
        <v>920</v>
      </c>
      <c r="D590" s="1" t="s">
        <v>7471</v>
      </c>
      <c r="E590" s="1" t="s">
        <v>4044</v>
      </c>
      <c r="F590" s="1" t="s">
        <v>8202</v>
      </c>
      <c r="G590" s="3">
        <v>0</v>
      </c>
      <c r="H590" s="20" t="s">
        <v>8203</v>
      </c>
      <c r="I590" s="20" t="s">
        <v>8204</v>
      </c>
      <c r="J590" s="20" t="s">
        <v>2860</v>
      </c>
      <c r="K590" s="20" t="s">
        <v>10013</v>
      </c>
      <c r="L590" s="3">
        <v>31</v>
      </c>
      <c r="M590" s="3" t="s">
        <v>7473</v>
      </c>
      <c r="N590" s="3" t="str">
        <f>HYPERLINK("http://ictvonline.org/taxonomyHistory.asp?taxnode_id=20164956","ICTVonline=20164956")</f>
        <v>ICTVonline=20164956</v>
      </c>
    </row>
    <row r="591" spans="1:14" x14ac:dyDescent="0.15">
      <c r="A591" s="3">
        <v>590</v>
      </c>
      <c r="B591" s="1" t="s">
        <v>1366</v>
      </c>
      <c r="C591" s="1" t="s">
        <v>920</v>
      </c>
      <c r="D591" s="1" t="s">
        <v>7471</v>
      </c>
      <c r="E591" s="1" t="s">
        <v>4044</v>
      </c>
      <c r="F591" s="1" t="s">
        <v>4051</v>
      </c>
      <c r="G591" s="3">
        <v>0</v>
      </c>
      <c r="H591" s="20" t="s">
        <v>3045</v>
      </c>
      <c r="J591" s="20" t="s">
        <v>2860</v>
      </c>
      <c r="K591" s="20" t="s">
        <v>10016</v>
      </c>
      <c r="L591" s="3">
        <v>31</v>
      </c>
      <c r="M591" s="3" t="s">
        <v>7473</v>
      </c>
      <c r="N591" s="3" t="str">
        <f>HYPERLINK("http://ictvonline.org/taxonomyHistory.asp?taxnode_id=20160652","ICTVonline=20160652")</f>
        <v>ICTVonline=20160652</v>
      </c>
    </row>
    <row r="592" spans="1:14" x14ac:dyDescent="0.15">
      <c r="A592" s="3">
        <v>591</v>
      </c>
      <c r="B592" s="1" t="s">
        <v>1366</v>
      </c>
      <c r="C592" s="1" t="s">
        <v>920</v>
      </c>
      <c r="D592" s="1" t="s">
        <v>7471</v>
      </c>
      <c r="E592" s="1" t="s">
        <v>4044</v>
      </c>
      <c r="F592" s="1" t="s">
        <v>8205</v>
      </c>
      <c r="G592" s="3">
        <v>0</v>
      </c>
      <c r="H592" s="20" t="s">
        <v>8206</v>
      </c>
      <c r="I592" s="20" t="s">
        <v>8207</v>
      </c>
      <c r="J592" s="20" t="s">
        <v>2860</v>
      </c>
      <c r="K592" s="20" t="s">
        <v>10013</v>
      </c>
      <c r="L592" s="3">
        <v>31</v>
      </c>
      <c r="M592" s="3" t="s">
        <v>7473</v>
      </c>
      <c r="N592" s="3" t="str">
        <f>HYPERLINK("http://ictvonline.org/taxonomyHistory.asp?taxnode_id=20164957","ICTVonline=20164957")</f>
        <v>ICTVonline=20164957</v>
      </c>
    </row>
    <row r="593" spans="1:14" x14ac:dyDescent="0.15">
      <c r="A593" s="3">
        <v>592</v>
      </c>
      <c r="B593" s="1" t="s">
        <v>1366</v>
      </c>
      <c r="C593" s="1" t="s">
        <v>920</v>
      </c>
      <c r="D593" s="1" t="s">
        <v>7471</v>
      </c>
      <c r="E593" s="1" t="s">
        <v>4044</v>
      </c>
      <c r="F593" s="1" t="s">
        <v>4052</v>
      </c>
      <c r="G593" s="3">
        <v>1</v>
      </c>
      <c r="H593" s="20" t="s">
        <v>3046</v>
      </c>
      <c r="J593" s="20" t="s">
        <v>2860</v>
      </c>
      <c r="K593" s="20" t="s">
        <v>10016</v>
      </c>
      <c r="L593" s="3">
        <v>31</v>
      </c>
      <c r="M593" s="3" t="s">
        <v>7473</v>
      </c>
      <c r="N593" s="3" t="str">
        <f>HYPERLINK("http://ictvonline.org/taxonomyHistory.asp?taxnode_id=20160653","ICTVonline=20160653")</f>
        <v>ICTVonline=20160653</v>
      </c>
    </row>
    <row r="594" spans="1:14" x14ac:dyDescent="0.15">
      <c r="A594" s="3">
        <v>593</v>
      </c>
      <c r="B594" s="1" t="s">
        <v>1366</v>
      </c>
      <c r="C594" s="1" t="s">
        <v>920</v>
      </c>
      <c r="D594" s="1" t="s">
        <v>7471</v>
      </c>
      <c r="E594" s="1" t="s">
        <v>4044</v>
      </c>
      <c r="F594" s="1" t="s">
        <v>8208</v>
      </c>
      <c r="G594" s="3">
        <v>0</v>
      </c>
      <c r="H594" s="20" t="s">
        <v>8209</v>
      </c>
      <c r="I594" s="20" t="s">
        <v>8210</v>
      </c>
      <c r="J594" s="20" t="s">
        <v>2860</v>
      </c>
      <c r="K594" s="20" t="s">
        <v>10013</v>
      </c>
      <c r="L594" s="3">
        <v>31</v>
      </c>
      <c r="M594" s="3" t="s">
        <v>7473</v>
      </c>
      <c r="N594" s="3" t="str">
        <f>HYPERLINK("http://ictvonline.org/taxonomyHistory.asp?taxnode_id=20164958","ICTVonline=20164958")</f>
        <v>ICTVonline=20164958</v>
      </c>
    </row>
    <row r="595" spans="1:14" x14ac:dyDescent="0.15">
      <c r="A595" s="3">
        <v>594</v>
      </c>
      <c r="B595" s="1" t="s">
        <v>1366</v>
      </c>
      <c r="C595" s="1" t="s">
        <v>920</v>
      </c>
      <c r="D595" s="1" t="s">
        <v>7471</v>
      </c>
      <c r="E595" s="1" t="s">
        <v>4044</v>
      </c>
      <c r="F595" s="1" t="s">
        <v>8211</v>
      </c>
      <c r="G595" s="3">
        <v>0</v>
      </c>
      <c r="H595" s="20" t="s">
        <v>8212</v>
      </c>
      <c r="I595" s="20" t="s">
        <v>8213</v>
      </c>
      <c r="J595" s="20" t="s">
        <v>2860</v>
      </c>
      <c r="K595" s="20" t="s">
        <v>10013</v>
      </c>
      <c r="L595" s="3">
        <v>31</v>
      </c>
      <c r="M595" s="3" t="s">
        <v>7473</v>
      </c>
      <c r="N595" s="3" t="str">
        <f>HYPERLINK("http://ictvonline.org/taxonomyHistory.asp?taxnode_id=20164959","ICTVonline=20164959")</f>
        <v>ICTVonline=20164959</v>
      </c>
    </row>
    <row r="596" spans="1:14" x14ac:dyDescent="0.15">
      <c r="A596" s="3">
        <v>595</v>
      </c>
      <c r="B596" s="1" t="s">
        <v>1366</v>
      </c>
      <c r="C596" s="1" t="s">
        <v>920</v>
      </c>
      <c r="D596" s="1" t="s">
        <v>7471</v>
      </c>
      <c r="E596" s="1" t="s">
        <v>7475</v>
      </c>
      <c r="F596" s="1" t="s">
        <v>4046</v>
      </c>
      <c r="G596" s="3">
        <v>0</v>
      </c>
      <c r="H596" s="20" t="s">
        <v>3040</v>
      </c>
      <c r="J596" s="20" t="s">
        <v>2860</v>
      </c>
      <c r="K596" s="20" t="s">
        <v>10016</v>
      </c>
      <c r="L596" s="3">
        <v>31</v>
      </c>
      <c r="M596" s="3" t="s">
        <v>7473</v>
      </c>
      <c r="N596" s="3" t="str">
        <f>HYPERLINK("http://ictvonline.org/taxonomyHistory.asp?taxnode_id=20160647","ICTVonline=20160647")</f>
        <v>ICTVonline=20160647</v>
      </c>
    </row>
    <row r="597" spans="1:14" x14ac:dyDescent="0.15">
      <c r="A597" s="3">
        <v>596</v>
      </c>
      <c r="B597" s="1" t="s">
        <v>1366</v>
      </c>
      <c r="C597" s="1" t="s">
        <v>920</v>
      </c>
      <c r="D597" s="1" t="s">
        <v>7471</v>
      </c>
      <c r="E597" s="1" t="s">
        <v>7475</v>
      </c>
      <c r="F597" s="1" t="s">
        <v>8214</v>
      </c>
      <c r="G597" s="3">
        <v>0</v>
      </c>
      <c r="H597" s="20" t="s">
        <v>8215</v>
      </c>
      <c r="I597" s="20" t="s">
        <v>8216</v>
      </c>
      <c r="J597" s="20" t="s">
        <v>2860</v>
      </c>
      <c r="K597" s="20" t="s">
        <v>10013</v>
      </c>
      <c r="L597" s="3">
        <v>31</v>
      </c>
      <c r="M597" s="3" t="s">
        <v>7473</v>
      </c>
      <c r="N597" s="3" t="str">
        <f>HYPERLINK("http://ictvonline.org/taxonomyHistory.asp?taxnode_id=20164960","ICTVonline=20164960")</f>
        <v>ICTVonline=20164960</v>
      </c>
    </row>
    <row r="598" spans="1:14" x14ac:dyDescent="0.15">
      <c r="A598" s="3">
        <v>597</v>
      </c>
      <c r="B598" s="1" t="s">
        <v>1366</v>
      </c>
      <c r="C598" s="1" t="s">
        <v>920</v>
      </c>
      <c r="D598" s="1" t="s">
        <v>7471</v>
      </c>
      <c r="E598" s="1" t="s">
        <v>7475</v>
      </c>
      <c r="F598" s="1" t="s">
        <v>4049</v>
      </c>
      <c r="G598" s="3">
        <v>0</v>
      </c>
      <c r="H598" s="20" t="s">
        <v>3043</v>
      </c>
      <c r="J598" s="20" t="s">
        <v>2860</v>
      </c>
      <c r="K598" s="20" t="s">
        <v>10016</v>
      </c>
      <c r="L598" s="3">
        <v>31</v>
      </c>
      <c r="M598" s="3" t="s">
        <v>7473</v>
      </c>
      <c r="N598" s="3" t="str">
        <f>HYPERLINK("http://ictvonline.org/taxonomyHistory.asp?taxnode_id=20160650","ICTVonline=20160650")</f>
        <v>ICTVonline=20160650</v>
      </c>
    </row>
    <row r="599" spans="1:14" x14ac:dyDescent="0.15">
      <c r="A599" s="3">
        <v>598</v>
      </c>
      <c r="B599" s="1" t="s">
        <v>1366</v>
      </c>
      <c r="C599" s="1" t="s">
        <v>920</v>
      </c>
      <c r="D599" s="1" t="s">
        <v>7471</v>
      </c>
      <c r="E599" s="1" t="s">
        <v>7475</v>
      </c>
      <c r="F599" s="1" t="s">
        <v>4053</v>
      </c>
      <c r="G599" s="3">
        <v>1</v>
      </c>
      <c r="H599" s="20" t="s">
        <v>3047</v>
      </c>
      <c r="J599" s="20" t="s">
        <v>2860</v>
      </c>
      <c r="K599" s="20" t="s">
        <v>10016</v>
      </c>
      <c r="L599" s="3">
        <v>31</v>
      </c>
      <c r="M599" s="3" t="s">
        <v>7473</v>
      </c>
      <c r="N599" s="3" t="str">
        <f>HYPERLINK("http://ictvonline.org/taxonomyHistory.asp?taxnode_id=20160654","ICTVonline=20160654")</f>
        <v>ICTVonline=20160654</v>
      </c>
    </row>
    <row r="600" spans="1:14" x14ac:dyDescent="0.15">
      <c r="A600" s="3">
        <v>599</v>
      </c>
      <c r="B600" s="1" t="s">
        <v>1366</v>
      </c>
      <c r="C600" s="1" t="s">
        <v>920</v>
      </c>
      <c r="D600" s="1" t="s">
        <v>7471</v>
      </c>
      <c r="E600" s="1" t="s">
        <v>7476</v>
      </c>
      <c r="F600" s="1" t="s">
        <v>8217</v>
      </c>
      <c r="G600" s="3">
        <v>0</v>
      </c>
      <c r="H600" s="20" t="s">
        <v>8218</v>
      </c>
      <c r="I600" s="20" t="s">
        <v>8219</v>
      </c>
      <c r="J600" s="20" t="s">
        <v>2860</v>
      </c>
      <c r="K600" s="20" t="s">
        <v>10013</v>
      </c>
      <c r="L600" s="3">
        <v>31</v>
      </c>
      <c r="M600" s="3" t="s">
        <v>7473</v>
      </c>
      <c r="N600" s="3" t="str">
        <f>HYPERLINK("http://ictvonline.org/taxonomyHistory.asp?taxnode_id=20164961","ICTVonline=20164961")</f>
        <v>ICTVonline=20164961</v>
      </c>
    </row>
    <row r="601" spans="1:14" x14ac:dyDescent="0.15">
      <c r="A601" s="3">
        <v>600</v>
      </c>
      <c r="B601" s="1" t="s">
        <v>1366</v>
      </c>
      <c r="C601" s="1" t="s">
        <v>920</v>
      </c>
      <c r="D601" s="1" t="s">
        <v>7471</v>
      </c>
      <c r="E601" s="1" t="s">
        <v>7476</v>
      </c>
      <c r="F601" s="1" t="s">
        <v>4054</v>
      </c>
      <c r="G601" s="3">
        <v>1</v>
      </c>
      <c r="H601" s="20" t="s">
        <v>3048</v>
      </c>
      <c r="J601" s="20" t="s">
        <v>2860</v>
      </c>
      <c r="K601" s="20" t="s">
        <v>10016</v>
      </c>
      <c r="L601" s="3">
        <v>31</v>
      </c>
      <c r="M601" s="3" t="s">
        <v>7473</v>
      </c>
      <c r="N601" s="3" t="str">
        <f>HYPERLINK("http://ictvonline.org/taxonomyHistory.asp?taxnode_id=20160655","ICTVonline=20160655")</f>
        <v>ICTVonline=20160655</v>
      </c>
    </row>
    <row r="602" spans="1:14" x14ac:dyDescent="0.15">
      <c r="A602" s="3">
        <v>601</v>
      </c>
      <c r="B602" s="1" t="s">
        <v>1366</v>
      </c>
      <c r="C602" s="1" t="s">
        <v>920</v>
      </c>
      <c r="D602" s="1" t="s">
        <v>3748</v>
      </c>
      <c r="E602" s="1" t="s">
        <v>3749</v>
      </c>
      <c r="F602" s="1" t="s">
        <v>3752</v>
      </c>
      <c r="G602" s="3">
        <v>0</v>
      </c>
      <c r="H602" s="20" t="s">
        <v>6637</v>
      </c>
      <c r="I602" s="20" t="s">
        <v>3753</v>
      </c>
      <c r="J602" s="20" t="s">
        <v>2860</v>
      </c>
      <c r="K602" s="20" t="s">
        <v>10013</v>
      </c>
      <c r="L602" s="3">
        <v>30</v>
      </c>
      <c r="M602" s="3" t="s">
        <v>10052</v>
      </c>
      <c r="N602" s="3" t="str">
        <f>HYPERLINK("http://ictvonline.org/taxonomyHistory.asp?taxnode_id=20160383","ICTVonline=20160383")</f>
        <v>ICTVonline=20160383</v>
      </c>
    </row>
    <row r="603" spans="1:14" x14ac:dyDescent="0.15">
      <c r="A603" s="3">
        <v>602</v>
      </c>
      <c r="B603" s="1" t="s">
        <v>1366</v>
      </c>
      <c r="C603" s="1" t="s">
        <v>920</v>
      </c>
      <c r="D603" s="1" t="s">
        <v>3748</v>
      </c>
      <c r="E603" s="1" t="s">
        <v>3749</v>
      </c>
      <c r="F603" s="1" t="s">
        <v>3754</v>
      </c>
      <c r="G603" s="3">
        <v>0</v>
      </c>
      <c r="H603" s="20" t="s">
        <v>2964</v>
      </c>
      <c r="J603" s="20" t="s">
        <v>2860</v>
      </c>
      <c r="K603" s="20" t="s">
        <v>10014</v>
      </c>
      <c r="L603" s="3">
        <v>30</v>
      </c>
      <c r="M603" s="3" t="s">
        <v>10053</v>
      </c>
      <c r="N603" s="3" t="str">
        <f>HYPERLINK("http://ictvonline.org/taxonomyHistory.asp?taxnode_id=20160384","ICTVonline=20160384")</f>
        <v>ICTVonline=20160384</v>
      </c>
    </row>
    <row r="604" spans="1:14" x14ac:dyDescent="0.15">
      <c r="A604" s="3">
        <v>603</v>
      </c>
      <c r="B604" s="1" t="s">
        <v>1366</v>
      </c>
      <c r="C604" s="1" t="s">
        <v>920</v>
      </c>
      <c r="D604" s="1" t="s">
        <v>3748</v>
      </c>
      <c r="E604" s="1" t="s">
        <v>3749</v>
      </c>
      <c r="F604" s="1" t="s">
        <v>7477</v>
      </c>
      <c r="G604" s="3">
        <v>0</v>
      </c>
      <c r="H604" s="20" t="s">
        <v>7478</v>
      </c>
      <c r="I604" s="20" t="s">
        <v>7479</v>
      </c>
      <c r="J604" s="20" t="s">
        <v>2860</v>
      </c>
      <c r="K604" s="20" t="s">
        <v>10013</v>
      </c>
      <c r="L604" s="3">
        <v>31</v>
      </c>
      <c r="M604" s="3" t="s">
        <v>7480</v>
      </c>
      <c r="N604" s="3" t="str">
        <f>HYPERLINK("http://ictvonline.org/taxonomyHistory.asp?taxnode_id=20164762","ICTVonline=20164762")</f>
        <v>ICTVonline=20164762</v>
      </c>
    </row>
    <row r="605" spans="1:14" x14ac:dyDescent="0.15">
      <c r="A605" s="3">
        <v>604</v>
      </c>
      <c r="B605" s="1" t="s">
        <v>1366</v>
      </c>
      <c r="C605" s="1" t="s">
        <v>920</v>
      </c>
      <c r="D605" s="1" t="s">
        <v>3748</v>
      </c>
      <c r="E605" s="1" t="s">
        <v>3749</v>
      </c>
      <c r="F605" s="1" t="s">
        <v>3755</v>
      </c>
      <c r="G605" s="3">
        <v>1</v>
      </c>
      <c r="H605" s="20" t="s">
        <v>2965</v>
      </c>
      <c r="J605" s="20" t="s">
        <v>2860</v>
      </c>
      <c r="K605" s="20" t="s">
        <v>10014</v>
      </c>
      <c r="L605" s="3">
        <v>30</v>
      </c>
      <c r="M605" s="3" t="s">
        <v>10053</v>
      </c>
      <c r="N605" s="3" t="str">
        <f>HYPERLINK("http://ictvonline.org/taxonomyHistory.asp?taxnode_id=20160385","ICTVonline=20160385")</f>
        <v>ICTVonline=20160385</v>
      </c>
    </row>
    <row r="606" spans="1:14" x14ac:dyDescent="0.15">
      <c r="A606" s="3">
        <v>605</v>
      </c>
      <c r="B606" s="1" t="s">
        <v>1366</v>
      </c>
      <c r="C606" s="1" t="s">
        <v>920</v>
      </c>
      <c r="D606" s="1" t="s">
        <v>3748</v>
      </c>
      <c r="E606" s="1" t="s">
        <v>3749</v>
      </c>
      <c r="F606" s="1" t="s">
        <v>10473</v>
      </c>
      <c r="G606" s="3">
        <v>0</v>
      </c>
      <c r="H606" s="20" t="s">
        <v>6635</v>
      </c>
      <c r="I606" s="20" t="s">
        <v>3750</v>
      </c>
      <c r="J606" s="20" t="s">
        <v>2860</v>
      </c>
      <c r="K606" s="20" t="s">
        <v>10021</v>
      </c>
      <c r="L606" s="3">
        <v>31</v>
      </c>
      <c r="M606" s="3" t="s">
        <v>10043</v>
      </c>
      <c r="N606" s="3" t="str">
        <f>HYPERLINK("http://ictvonline.org/taxonomyHistory.asp?taxnode_id=20160381","ICTVonline=20160381")</f>
        <v>ICTVonline=20160381</v>
      </c>
    </row>
    <row r="607" spans="1:14" x14ac:dyDescent="0.15">
      <c r="A607" s="3">
        <v>606</v>
      </c>
      <c r="B607" s="1" t="s">
        <v>1366</v>
      </c>
      <c r="C607" s="1" t="s">
        <v>920</v>
      </c>
      <c r="D607" s="1" t="s">
        <v>3748</v>
      </c>
      <c r="E607" s="1" t="s">
        <v>3749</v>
      </c>
      <c r="F607" s="1" t="s">
        <v>10474</v>
      </c>
      <c r="G607" s="3">
        <v>0</v>
      </c>
      <c r="H607" s="20" t="s">
        <v>6636</v>
      </c>
      <c r="I607" s="20" t="s">
        <v>3751</v>
      </c>
      <c r="J607" s="20" t="s">
        <v>2860</v>
      </c>
      <c r="K607" s="20" t="s">
        <v>10021</v>
      </c>
      <c r="L607" s="3">
        <v>31</v>
      </c>
      <c r="M607" s="3" t="s">
        <v>10043</v>
      </c>
      <c r="N607" s="3" t="str">
        <f>HYPERLINK("http://ictvonline.org/taxonomyHistory.asp?taxnode_id=20160382","ICTVonline=20160382")</f>
        <v>ICTVonline=20160382</v>
      </c>
    </row>
    <row r="608" spans="1:14" x14ac:dyDescent="0.15">
      <c r="A608" s="3">
        <v>607</v>
      </c>
      <c r="B608" s="1" t="s">
        <v>1366</v>
      </c>
      <c r="C608" s="1" t="s">
        <v>920</v>
      </c>
      <c r="D608" s="1" t="s">
        <v>3748</v>
      </c>
      <c r="E608" s="1" t="s">
        <v>3749</v>
      </c>
      <c r="F608" s="1" t="s">
        <v>3756</v>
      </c>
      <c r="G608" s="3">
        <v>0</v>
      </c>
      <c r="H608" s="20" t="s">
        <v>2966</v>
      </c>
      <c r="J608" s="20" t="s">
        <v>2860</v>
      </c>
      <c r="K608" s="20" t="s">
        <v>10014</v>
      </c>
      <c r="L608" s="3">
        <v>30</v>
      </c>
      <c r="M608" s="3" t="s">
        <v>10053</v>
      </c>
      <c r="N608" s="3" t="str">
        <f>HYPERLINK("http://ictvonline.org/taxonomyHistory.asp?taxnode_id=20160386","ICTVonline=20160386")</f>
        <v>ICTVonline=20160386</v>
      </c>
    </row>
    <row r="609" spans="1:14" x14ac:dyDescent="0.15">
      <c r="A609" s="3">
        <v>608</v>
      </c>
      <c r="B609" s="1" t="s">
        <v>1366</v>
      </c>
      <c r="C609" s="1" t="s">
        <v>920</v>
      </c>
      <c r="D609" s="1" t="s">
        <v>3748</v>
      </c>
      <c r="E609" s="1" t="s">
        <v>3749</v>
      </c>
      <c r="F609" s="1" t="s">
        <v>3757</v>
      </c>
      <c r="G609" s="3">
        <v>0</v>
      </c>
      <c r="H609" s="20" t="s">
        <v>2967</v>
      </c>
      <c r="J609" s="20" t="s">
        <v>2860</v>
      </c>
      <c r="K609" s="20" t="s">
        <v>10014</v>
      </c>
      <c r="L609" s="3">
        <v>30</v>
      </c>
      <c r="M609" s="3" t="s">
        <v>10053</v>
      </c>
      <c r="N609" s="3" t="str">
        <f>HYPERLINK("http://ictvonline.org/taxonomyHistory.asp?taxnode_id=20160387","ICTVonline=20160387")</f>
        <v>ICTVonline=20160387</v>
      </c>
    </row>
    <row r="610" spans="1:14" x14ac:dyDescent="0.15">
      <c r="A610" s="3">
        <v>609</v>
      </c>
      <c r="B610" s="1" t="s">
        <v>1366</v>
      </c>
      <c r="C610" s="1" t="s">
        <v>920</v>
      </c>
      <c r="D610" s="1" t="s">
        <v>3748</v>
      </c>
      <c r="E610" s="1" t="s">
        <v>3749</v>
      </c>
      <c r="F610" s="1" t="s">
        <v>3758</v>
      </c>
      <c r="G610" s="3">
        <v>0</v>
      </c>
      <c r="H610" s="20" t="s">
        <v>6638</v>
      </c>
      <c r="I610" s="20" t="s">
        <v>3759</v>
      </c>
      <c r="J610" s="20" t="s">
        <v>2860</v>
      </c>
      <c r="K610" s="20" t="s">
        <v>10013</v>
      </c>
      <c r="L610" s="3">
        <v>30</v>
      </c>
      <c r="M610" s="3" t="s">
        <v>10052</v>
      </c>
      <c r="N610" s="3" t="str">
        <f>HYPERLINK("http://ictvonline.org/taxonomyHistory.asp?taxnode_id=20160388","ICTVonline=20160388")</f>
        <v>ICTVonline=20160388</v>
      </c>
    </row>
    <row r="611" spans="1:14" x14ac:dyDescent="0.15">
      <c r="A611" s="3">
        <v>610</v>
      </c>
      <c r="B611" s="1" t="s">
        <v>1366</v>
      </c>
      <c r="C611" s="1" t="s">
        <v>920</v>
      </c>
      <c r="D611" s="1" t="s">
        <v>3748</v>
      </c>
      <c r="E611" s="1" t="s">
        <v>3749</v>
      </c>
      <c r="F611" s="1" t="s">
        <v>3760</v>
      </c>
      <c r="G611" s="3">
        <v>0</v>
      </c>
      <c r="H611" s="20" t="s">
        <v>6639</v>
      </c>
      <c r="I611" s="20" t="s">
        <v>3761</v>
      </c>
      <c r="J611" s="20" t="s">
        <v>2860</v>
      </c>
      <c r="K611" s="20" t="s">
        <v>10013</v>
      </c>
      <c r="L611" s="3">
        <v>30</v>
      </c>
      <c r="M611" s="3" t="s">
        <v>10052</v>
      </c>
      <c r="N611" s="3" t="str">
        <f>HYPERLINK("http://ictvonline.org/taxonomyHistory.asp?taxnode_id=20160389","ICTVonline=20160389")</f>
        <v>ICTVonline=20160389</v>
      </c>
    </row>
    <row r="612" spans="1:14" x14ac:dyDescent="0.15">
      <c r="A612" s="3">
        <v>611</v>
      </c>
      <c r="B612" s="1" t="s">
        <v>1366</v>
      </c>
      <c r="C612" s="1" t="s">
        <v>920</v>
      </c>
      <c r="D612" s="1" t="s">
        <v>3748</v>
      </c>
      <c r="E612" s="1" t="s">
        <v>3749</v>
      </c>
      <c r="F612" s="1" t="s">
        <v>3762</v>
      </c>
      <c r="G612" s="3">
        <v>0</v>
      </c>
      <c r="H612" s="20" t="s">
        <v>6640</v>
      </c>
      <c r="I612" s="20" t="s">
        <v>3763</v>
      </c>
      <c r="J612" s="20" t="s">
        <v>2860</v>
      </c>
      <c r="K612" s="20" t="s">
        <v>10013</v>
      </c>
      <c r="L612" s="3">
        <v>30</v>
      </c>
      <c r="M612" s="3" t="s">
        <v>10052</v>
      </c>
      <c r="N612" s="3" t="str">
        <f>HYPERLINK("http://ictvonline.org/taxonomyHistory.asp?taxnode_id=20160390","ICTVonline=20160390")</f>
        <v>ICTVonline=20160390</v>
      </c>
    </row>
    <row r="613" spans="1:14" x14ac:dyDescent="0.15">
      <c r="A613" s="3">
        <v>612</v>
      </c>
      <c r="B613" s="1" t="s">
        <v>1366</v>
      </c>
      <c r="C613" s="1" t="s">
        <v>920</v>
      </c>
      <c r="D613" s="1" t="s">
        <v>3748</v>
      </c>
      <c r="E613" s="1" t="s">
        <v>3749</v>
      </c>
      <c r="F613" s="1" t="s">
        <v>3764</v>
      </c>
      <c r="G613" s="3">
        <v>0</v>
      </c>
      <c r="H613" s="20" t="s">
        <v>2968</v>
      </c>
      <c r="J613" s="20" t="s">
        <v>2860</v>
      </c>
      <c r="K613" s="20" t="s">
        <v>10014</v>
      </c>
      <c r="L613" s="3">
        <v>30</v>
      </c>
      <c r="M613" s="3" t="s">
        <v>10053</v>
      </c>
      <c r="N613" s="3" t="str">
        <f>HYPERLINK("http://ictvonline.org/taxonomyHistory.asp?taxnode_id=20160391","ICTVonline=20160391")</f>
        <v>ICTVonline=20160391</v>
      </c>
    </row>
    <row r="614" spans="1:14" x14ac:dyDescent="0.15">
      <c r="A614" s="3">
        <v>613</v>
      </c>
      <c r="B614" s="1" t="s">
        <v>1366</v>
      </c>
      <c r="C614" s="1" t="s">
        <v>920</v>
      </c>
      <c r="D614" s="1" t="s">
        <v>3748</v>
      </c>
      <c r="E614" s="1" t="s">
        <v>3749</v>
      </c>
      <c r="F614" s="1" t="s">
        <v>3765</v>
      </c>
      <c r="G614" s="3">
        <v>0</v>
      </c>
      <c r="H614" s="20" t="s">
        <v>2969</v>
      </c>
      <c r="J614" s="20" t="s">
        <v>2860</v>
      </c>
      <c r="K614" s="20" t="s">
        <v>10014</v>
      </c>
      <c r="L614" s="3">
        <v>30</v>
      </c>
      <c r="M614" s="3" t="s">
        <v>10053</v>
      </c>
      <c r="N614" s="3" t="str">
        <f>HYPERLINK("http://ictvonline.org/taxonomyHistory.asp?taxnode_id=20160392","ICTVonline=20160392")</f>
        <v>ICTVonline=20160392</v>
      </c>
    </row>
    <row r="615" spans="1:14" x14ac:dyDescent="0.15">
      <c r="A615" s="3">
        <v>614</v>
      </c>
      <c r="B615" s="1" t="s">
        <v>1366</v>
      </c>
      <c r="C615" s="1" t="s">
        <v>920</v>
      </c>
      <c r="D615" s="1" t="s">
        <v>3748</v>
      </c>
      <c r="E615" s="1" t="s">
        <v>3766</v>
      </c>
      <c r="F615" s="1" t="s">
        <v>3767</v>
      </c>
      <c r="G615" s="3">
        <v>1</v>
      </c>
      <c r="H615" s="20" t="s">
        <v>6641</v>
      </c>
      <c r="I615" s="20" t="s">
        <v>3768</v>
      </c>
      <c r="J615" s="20" t="s">
        <v>2860</v>
      </c>
      <c r="K615" s="20" t="s">
        <v>10013</v>
      </c>
      <c r="L615" s="3">
        <v>30</v>
      </c>
      <c r="M615" s="3" t="s">
        <v>10052</v>
      </c>
      <c r="N615" s="3" t="str">
        <f>HYPERLINK("http://ictvonline.org/taxonomyHistory.asp?taxnode_id=20160394","ICTVonline=20160394")</f>
        <v>ICTVonline=20160394</v>
      </c>
    </row>
    <row r="616" spans="1:14" x14ac:dyDescent="0.15">
      <c r="A616" s="3">
        <v>615</v>
      </c>
      <c r="B616" s="1" t="s">
        <v>1366</v>
      </c>
      <c r="C616" s="1" t="s">
        <v>920</v>
      </c>
      <c r="D616" s="1" t="s">
        <v>3748</v>
      </c>
      <c r="E616" s="1" t="s">
        <v>3766</v>
      </c>
      <c r="F616" s="1" t="s">
        <v>3769</v>
      </c>
      <c r="G616" s="3">
        <v>0</v>
      </c>
      <c r="H616" s="20" t="s">
        <v>6642</v>
      </c>
      <c r="I616" s="20" t="s">
        <v>3770</v>
      </c>
      <c r="J616" s="20" t="s">
        <v>2860</v>
      </c>
      <c r="K616" s="20" t="s">
        <v>10013</v>
      </c>
      <c r="L616" s="3">
        <v>30</v>
      </c>
      <c r="M616" s="3" t="s">
        <v>10052</v>
      </c>
      <c r="N616" s="3" t="str">
        <f>HYPERLINK("http://ictvonline.org/taxonomyHistory.asp?taxnode_id=20160395","ICTVonline=20160395")</f>
        <v>ICTVonline=20160395</v>
      </c>
    </row>
    <row r="617" spans="1:14" x14ac:dyDescent="0.15">
      <c r="A617" s="3">
        <v>616</v>
      </c>
      <c r="B617" s="1" t="s">
        <v>1366</v>
      </c>
      <c r="C617" s="1" t="s">
        <v>920</v>
      </c>
      <c r="D617" s="1" t="s">
        <v>3748</v>
      </c>
      <c r="E617" s="1" t="s">
        <v>3766</v>
      </c>
      <c r="F617" s="1" t="s">
        <v>3771</v>
      </c>
      <c r="G617" s="3">
        <v>0</v>
      </c>
      <c r="H617" s="20" t="s">
        <v>6643</v>
      </c>
      <c r="I617" s="20" t="s">
        <v>3772</v>
      </c>
      <c r="J617" s="20" t="s">
        <v>2860</v>
      </c>
      <c r="K617" s="20" t="s">
        <v>10013</v>
      </c>
      <c r="L617" s="3">
        <v>30</v>
      </c>
      <c r="M617" s="3" t="s">
        <v>10052</v>
      </c>
      <c r="N617" s="3" t="str">
        <f>HYPERLINK("http://ictvonline.org/taxonomyHistory.asp?taxnode_id=20160396","ICTVonline=20160396")</f>
        <v>ICTVonline=20160396</v>
      </c>
    </row>
    <row r="618" spans="1:14" x14ac:dyDescent="0.15">
      <c r="A618" s="3">
        <v>617</v>
      </c>
      <c r="B618" s="1" t="s">
        <v>1366</v>
      </c>
      <c r="C618" s="1" t="s">
        <v>920</v>
      </c>
      <c r="D618" s="1" t="s">
        <v>3748</v>
      </c>
      <c r="E618" s="1" t="s">
        <v>3766</v>
      </c>
      <c r="F618" s="1" t="s">
        <v>3773</v>
      </c>
      <c r="G618" s="3">
        <v>0</v>
      </c>
      <c r="H618" s="20" t="s">
        <v>6644</v>
      </c>
      <c r="I618" s="20" t="s">
        <v>3774</v>
      </c>
      <c r="J618" s="20" t="s">
        <v>2860</v>
      </c>
      <c r="K618" s="20" t="s">
        <v>10013</v>
      </c>
      <c r="L618" s="3">
        <v>30</v>
      </c>
      <c r="M618" s="3" t="s">
        <v>10052</v>
      </c>
      <c r="N618" s="3" t="str">
        <f>HYPERLINK("http://ictvonline.org/taxonomyHistory.asp?taxnode_id=20160397","ICTVonline=20160397")</f>
        <v>ICTVonline=20160397</v>
      </c>
    </row>
    <row r="619" spans="1:14" x14ac:dyDescent="0.15">
      <c r="A619" s="3">
        <v>618</v>
      </c>
      <c r="B619" s="1" t="s">
        <v>1366</v>
      </c>
      <c r="C619" s="1" t="s">
        <v>920</v>
      </c>
      <c r="D619" s="1" t="s">
        <v>3748</v>
      </c>
      <c r="E619" s="1" t="s">
        <v>3775</v>
      </c>
      <c r="F619" s="1" t="s">
        <v>3776</v>
      </c>
      <c r="G619" s="3">
        <v>1</v>
      </c>
      <c r="H619" s="20" t="s">
        <v>6645</v>
      </c>
      <c r="I619" s="20" t="s">
        <v>3777</v>
      </c>
      <c r="J619" s="20" t="s">
        <v>2860</v>
      </c>
      <c r="K619" s="20" t="s">
        <v>10013</v>
      </c>
      <c r="L619" s="3">
        <v>30</v>
      </c>
      <c r="M619" s="3" t="s">
        <v>10052</v>
      </c>
      <c r="N619" s="3" t="str">
        <f>HYPERLINK("http://ictvonline.org/taxonomyHistory.asp?taxnode_id=20160399","ICTVonline=20160399")</f>
        <v>ICTVonline=20160399</v>
      </c>
    </row>
    <row r="620" spans="1:14" s="22" customFormat="1" x14ac:dyDescent="0.15">
      <c r="A620" s="3">
        <v>619</v>
      </c>
      <c r="B620" s="1" t="s">
        <v>1366</v>
      </c>
      <c r="C620" s="1" t="s">
        <v>920</v>
      </c>
      <c r="D620" s="1" t="s">
        <v>7481</v>
      </c>
      <c r="E620" s="1" t="s">
        <v>7482</v>
      </c>
      <c r="F620" s="1" t="s">
        <v>4115</v>
      </c>
      <c r="G620" s="3">
        <v>1</v>
      </c>
      <c r="H620" s="20" t="s">
        <v>3098</v>
      </c>
      <c r="I620" s="20"/>
      <c r="J620" s="20" t="s">
        <v>2860</v>
      </c>
      <c r="K620" s="20" t="s">
        <v>10016</v>
      </c>
      <c r="L620" s="3">
        <v>31</v>
      </c>
      <c r="M620" s="3" t="s">
        <v>10054</v>
      </c>
      <c r="N620" s="3" t="str">
        <f>HYPERLINK("http://ictvonline.org/taxonomyHistory.asp?taxnode_id=20160714","ICTVonline=20160714")</f>
        <v>ICTVonline=20160714</v>
      </c>
    </row>
    <row r="621" spans="1:14" x14ac:dyDescent="0.15">
      <c r="A621" s="3">
        <v>620</v>
      </c>
      <c r="B621" s="1" t="s">
        <v>1366</v>
      </c>
      <c r="C621" s="1" t="s">
        <v>920</v>
      </c>
      <c r="D621" s="1" t="s">
        <v>7481</v>
      </c>
      <c r="E621" s="1" t="s">
        <v>4114</v>
      </c>
      <c r="F621" s="1" t="s">
        <v>4116</v>
      </c>
      <c r="G621" s="3">
        <v>1</v>
      </c>
      <c r="H621" s="20" t="s">
        <v>3099</v>
      </c>
      <c r="J621" s="20" t="s">
        <v>2860</v>
      </c>
      <c r="K621" s="20" t="s">
        <v>10016</v>
      </c>
      <c r="L621" s="3">
        <v>31</v>
      </c>
      <c r="M621" s="3" t="s">
        <v>10054</v>
      </c>
      <c r="N621" s="3" t="str">
        <f>HYPERLINK("http://ictvonline.org/taxonomyHistory.asp?taxnode_id=20160715","ICTVonline=20160715")</f>
        <v>ICTVonline=20160715</v>
      </c>
    </row>
    <row r="622" spans="1:14" x14ac:dyDescent="0.15">
      <c r="A622" s="3">
        <v>621</v>
      </c>
      <c r="B622" s="1" t="s">
        <v>1366</v>
      </c>
      <c r="C622" s="1" t="s">
        <v>920</v>
      </c>
      <c r="D622" s="1" t="s">
        <v>7483</v>
      </c>
      <c r="E622" s="1" t="s">
        <v>3832</v>
      </c>
      <c r="F622" s="1" t="s">
        <v>3833</v>
      </c>
      <c r="G622" s="3">
        <v>1</v>
      </c>
      <c r="H622" s="20" t="s">
        <v>2888</v>
      </c>
      <c r="J622" s="20" t="s">
        <v>2860</v>
      </c>
      <c r="K622" s="20" t="s">
        <v>10016</v>
      </c>
      <c r="L622" s="3">
        <v>31</v>
      </c>
      <c r="M622" s="3" t="s">
        <v>7484</v>
      </c>
      <c r="N622" s="3" t="str">
        <f>HYPERLINK("http://ictvonline.org/taxonomyHistory.asp?taxnode_id=20160444","ICTVonline=20160444")</f>
        <v>ICTVonline=20160444</v>
      </c>
    </row>
    <row r="623" spans="1:14" x14ac:dyDescent="0.15">
      <c r="A623" s="3">
        <v>622</v>
      </c>
      <c r="B623" s="1" t="s">
        <v>1366</v>
      </c>
      <c r="C623" s="1" t="s">
        <v>920</v>
      </c>
      <c r="D623" s="1" t="s">
        <v>7483</v>
      </c>
      <c r="E623" s="1" t="s">
        <v>7485</v>
      </c>
      <c r="F623" s="1" t="s">
        <v>8220</v>
      </c>
      <c r="G623" s="3">
        <v>0</v>
      </c>
      <c r="H623" s="20" t="s">
        <v>8221</v>
      </c>
      <c r="I623" s="20" t="s">
        <v>8222</v>
      </c>
      <c r="J623" s="20" t="s">
        <v>2860</v>
      </c>
      <c r="K623" s="20" t="s">
        <v>10013</v>
      </c>
      <c r="L623" s="3">
        <v>31</v>
      </c>
      <c r="M623" s="3" t="s">
        <v>7484</v>
      </c>
      <c r="N623" s="3" t="str">
        <f>HYPERLINK("http://ictvonline.org/taxonomyHistory.asp?taxnode_id=20164962","ICTVonline=20164962")</f>
        <v>ICTVonline=20164962</v>
      </c>
    </row>
    <row r="624" spans="1:14" x14ac:dyDescent="0.15">
      <c r="A624" s="3">
        <v>623</v>
      </c>
      <c r="B624" s="1" t="s">
        <v>1366</v>
      </c>
      <c r="C624" s="1" t="s">
        <v>920</v>
      </c>
      <c r="D624" s="1" t="s">
        <v>7483</v>
      </c>
      <c r="E624" s="1" t="s">
        <v>7485</v>
      </c>
      <c r="F624" s="1" t="s">
        <v>8223</v>
      </c>
      <c r="G624" s="3">
        <v>0</v>
      </c>
      <c r="H624" s="20" t="s">
        <v>8224</v>
      </c>
      <c r="I624" s="20" t="s">
        <v>8225</v>
      </c>
      <c r="J624" s="20" t="s">
        <v>2860</v>
      </c>
      <c r="K624" s="20" t="s">
        <v>10013</v>
      </c>
      <c r="L624" s="3">
        <v>31</v>
      </c>
      <c r="M624" s="3" t="s">
        <v>7484</v>
      </c>
      <c r="N624" s="3" t="str">
        <f>HYPERLINK("http://ictvonline.org/taxonomyHistory.asp?taxnode_id=20164963","ICTVonline=20164963")</f>
        <v>ICTVonline=20164963</v>
      </c>
    </row>
    <row r="625" spans="1:14" x14ac:dyDescent="0.15">
      <c r="A625" s="3">
        <v>624</v>
      </c>
      <c r="B625" s="1" t="s">
        <v>1366</v>
      </c>
      <c r="C625" s="1" t="s">
        <v>920</v>
      </c>
      <c r="D625" s="1" t="s">
        <v>7483</v>
      </c>
      <c r="E625" s="1" t="s">
        <v>7485</v>
      </c>
      <c r="F625" s="1" t="s">
        <v>8226</v>
      </c>
      <c r="G625" s="3">
        <v>1</v>
      </c>
      <c r="H625" s="20" t="s">
        <v>8227</v>
      </c>
      <c r="I625" s="20" t="s">
        <v>8228</v>
      </c>
      <c r="J625" s="20" t="s">
        <v>2860</v>
      </c>
      <c r="K625" s="20" t="s">
        <v>10013</v>
      </c>
      <c r="L625" s="3">
        <v>31</v>
      </c>
      <c r="M625" s="3" t="s">
        <v>7484</v>
      </c>
      <c r="N625" s="3" t="str">
        <f>HYPERLINK("http://ictvonline.org/taxonomyHistory.asp?taxnode_id=20164964","ICTVonline=20164964")</f>
        <v>ICTVonline=20164964</v>
      </c>
    </row>
    <row r="626" spans="1:14" x14ac:dyDescent="0.15">
      <c r="A626" s="3">
        <v>625</v>
      </c>
      <c r="B626" s="1" t="s">
        <v>1366</v>
      </c>
      <c r="C626" s="1" t="s">
        <v>920</v>
      </c>
      <c r="D626" s="1" t="s">
        <v>7483</v>
      </c>
      <c r="E626" s="1" t="s">
        <v>7485</v>
      </c>
      <c r="F626" s="1" t="s">
        <v>3834</v>
      </c>
      <c r="G626" s="3">
        <v>0</v>
      </c>
      <c r="H626" s="20" t="s">
        <v>2889</v>
      </c>
      <c r="J626" s="20" t="s">
        <v>2860</v>
      </c>
      <c r="K626" s="20" t="s">
        <v>10016</v>
      </c>
      <c r="L626" s="3">
        <v>31</v>
      </c>
      <c r="M626" s="3" t="s">
        <v>7484</v>
      </c>
      <c r="N626" s="3" t="str">
        <f>HYPERLINK("http://ictvonline.org/taxonomyHistory.asp?taxnode_id=20160445","ICTVonline=20160445")</f>
        <v>ICTVonline=20160445</v>
      </c>
    </row>
    <row r="627" spans="1:14" x14ac:dyDescent="0.15">
      <c r="A627" s="3">
        <v>626</v>
      </c>
      <c r="B627" s="1" t="s">
        <v>1366</v>
      </c>
      <c r="C627" s="1" t="s">
        <v>920</v>
      </c>
      <c r="D627" s="1" t="s">
        <v>7483</v>
      </c>
      <c r="E627" s="1" t="s">
        <v>7485</v>
      </c>
      <c r="F627" s="1" t="s">
        <v>8229</v>
      </c>
      <c r="G627" s="3">
        <v>0</v>
      </c>
      <c r="H627" s="20" t="s">
        <v>8230</v>
      </c>
      <c r="I627" s="20" t="s">
        <v>8231</v>
      </c>
      <c r="J627" s="20" t="s">
        <v>2860</v>
      </c>
      <c r="K627" s="20" t="s">
        <v>10013</v>
      </c>
      <c r="L627" s="3">
        <v>31</v>
      </c>
      <c r="M627" s="3" t="s">
        <v>7484</v>
      </c>
      <c r="N627" s="3" t="str">
        <f>HYPERLINK("http://ictvonline.org/taxonomyHistory.asp?taxnode_id=20164965","ICTVonline=20164965")</f>
        <v>ICTVonline=20164965</v>
      </c>
    </row>
    <row r="628" spans="1:14" x14ac:dyDescent="0.15">
      <c r="A628" s="3">
        <v>627</v>
      </c>
      <c r="B628" s="1" t="s">
        <v>1366</v>
      </c>
      <c r="C628" s="1" t="s">
        <v>920</v>
      </c>
      <c r="D628" s="1" t="s">
        <v>7483</v>
      </c>
      <c r="E628" s="1" t="s">
        <v>8232</v>
      </c>
      <c r="F628" s="1" t="s">
        <v>8233</v>
      </c>
      <c r="G628" s="3">
        <v>1</v>
      </c>
      <c r="H628" s="20" t="s">
        <v>8234</v>
      </c>
      <c r="I628" s="20" t="s">
        <v>8235</v>
      </c>
      <c r="J628" s="20" t="s">
        <v>2860</v>
      </c>
      <c r="K628" s="20" t="s">
        <v>10013</v>
      </c>
      <c r="L628" s="3">
        <v>31</v>
      </c>
      <c r="M628" s="3" t="s">
        <v>7484</v>
      </c>
      <c r="N628" s="3" t="str">
        <f>HYPERLINK("http://ictvonline.org/taxonomyHistory.asp?taxnode_id=20164966","ICTVonline=20164966")</f>
        <v>ICTVonline=20164966</v>
      </c>
    </row>
    <row r="629" spans="1:14" x14ac:dyDescent="0.15">
      <c r="A629" s="3">
        <v>628</v>
      </c>
      <c r="B629" s="1" t="s">
        <v>1366</v>
      </c>
      <c r="C629" s="1" t="s">
        <v>920</v>
      </c>
      <c r="D629" s="1" t="s">
        <v>3778</v>
      </c>
      <c r="E629" s="1" t="s">
        <v>3779</v>
      </c>
      <c r="F629" s="1" t="s">
        <v>3780</v>
      </c>
      <c r="G629" s="3">
        <v>0</v>
      </c>
      <c r="J629" s="20" t="s">
        <v>2860</v>
      </c>
      <c r="K629" s="20" t="s">
        <v>10014</v>
      </c>
      <c r="L629" s="3">
        <v>30</v>
      </c>
      <c r="M629" s="3" t="s">
        <v>10055</v>
      </c>
      <c r="N629" s="3" t="str">
        <f>HYPERLINK("http://ictvonline.org/taxonomyHistory.asp?taxnode_id=20160402","ICTVonline=20160402")</f>
        <v>ICTVonline=20160402</v>
      </c>
    </row>
    <row r="630" spans="1:14" x14ac:dyDescent="0.15">
      <c r="A630" s="3">
        <v>629</v>
      </c>
      <c r="B630" s="1" t="s">
        <v>1366</v>
      </c>
      <c r="C630" s="1" t="s">
        <v>920</v>
      </c>
      <c r="D630" s="1" t="s">
        <v>3778</v>
      </c>
      <c r="E630" s="1" t="s">
        <v>3779</v>
      </c>
      <c r="F630" s="1" t="s">
        <v>3781</v>
      </c>
      <c r="G630" s="3">
        <v>0</v>
      </c>
      <c r="H630" s="20" t="s">
        <v>6646</v>
      </c>
      <c r="I630" s="20" t="s">
        <v>3782</v>
      </c>
      <c r="J630" s="20" t="s">
        <v>2860</v>
      </c>
      <c r="K630" s="20" t="s">
        <v>10013</v>
      </c>
      <c r="L630" s="3">
        <v>30</v>
      </c>
      <c r="M630" s="3" t="s">
        <v>10055</v>
      </c>
      <c r="N630" s="3" t="str">
        <f>HYPERLINK("http://ictvonline.org/taxonomyHistory.asp?taxnode_id=20160403","ICTVonline=20160403")</f>
        <v>ICTVonline=20160403</v>
      </c>
    </row>
    <row r="631" spans="1:14" x14ac:dyDescent="0.15">
      <c r="A631" s="3">
        <v>630</v>
      </c>
      <c r="B631" s="1" t="s">
        <v>1366</v>
      </c>
      <c r="C631" s="1" t="s">
        <v>920</v>
      </c>
      <c r="D631" s="1" t="s">
        <v>3778</v>
      </c>
      <c r="E631" s="1" t="s">
        <v>3779</v>
      </c>
      <c r="F631" s="1" t="s">
        <v>8236</v>
      </c>
      <c r="G631" s="3">
        <v>0</v>
      </c>
      <c r="H631" s="20" t="s">
        <v>8237</v>
      </c>
      <c r="I631" s="20" t="s">
        <v>8238</v>
      </c>
      <c r="J631" s="20" t="s">
        <v>2860</v>
      </c>
      <c r="K631" s="20" t="s">
        <v>10013</v>
      </c>
      <c r="L631" s="3">
        <v>31</v>
      </c>
      <c r="M631" s="3" t="s">
        <v>7480</v>
      </c>
      <c r="N631" s="3" t="str">
        <f>HYPERLINK("http://ictvonline.org/taxonomyHistory.asp?taxnode_id=20164967","ICTVonline=20164967")</f>
        <v>ICTVonline=20164967</v>
      </c>
    </row>
    <row r="632" spans="1:14" x14ac:dyDescent="0.15">
      <c r="A632" s="3">
        <v>631</v>
      </c>
      <c r="B632" s="1" t="s">
        <v>1366</v>
      </c>
      <c r="C632" s="1" t="s">
        <v>920</v>
      </c>
      <c r="D632" s="1" t="s">
        <v>3778</v>
      </c>
      <c r="E632" s="1" t="s">
        <v>3779</v>
      </c>
      <c r="F632" s="1" t="s">
        <v>3783</v>
      </c>
      <c r="G632" s="3">
        <v>1</v>
      </c>
      <c r="H632" s="20" t="s">
        <v>6647</v>
      </c>
      <c r="I632" s="20" t="s">
        <v>3784</v>
      </c>
      <c r="J632" s="20" t="s">
        <v>2860</v>
      </c>
      <c r="K632" s="20" t="s">
        <v>10013</v>
      </c>
      <c r="L632" s="3">
        <v>30</v>
      </c>
      <c r="M632" s="3" t="s">
        <v>10055</v>
      </c>
      <c r="N632" s="3" t="str">
        <f>HYPERLINK("http://ictvonline.org/taxonomyHistory.asp?taxnode_id=20160404","ICTVonline=20160404")</f>
        <v>ICTVonline=20160404</v>
      </c>
    </row>
    <row r="633" spans="1:14" x14ac:dyDescent="0.15">
      <c r="A633" s="3">
        <v>632</v>
      </c>
      <c r="B633" s="1" t="s">
        <v>1366</v>
      </c>
      <c r="C633" s="1" t="s">
        <v>920</v>
      </c>
      <c r="D633" s="1" t="s">
        <v>3778</v>
      </c>
      <c r="E633" s="1" t="s">
        <v>3779</v>
      </c>
      <c r="F633" s="1" t="s">
        <v>8239</v>
      </c>
      <c r="G633" s="3">
        <v>0</v>
      </c>
      <c r="H633" s="20" t="s">
        <v>8240</v>
      </c>
      <c r="I633" s="20" t="s">
        <v>8241</v>
      </c>
      <c r="J633" s="20" t="s">
        <v>2860</v>
      </c>
      <c r="K633" s="20" t="s">
        <v>10013</v>
      </c>
      <c r="L633" s="3">
        <v>31</v>
      </c>
      <c r="M633" s="3" t="s">
        <v>7480</v>
      </c>
      <c r="N633" s="3" t="str">
        <f>HYPERLINK("http://ictvonline.org/taxonomyHistory.asp?taxnode_id=20164968","ICTVonline=20164968")</f>
        <v>ICTVonline=20164968</v>
      </c>
    </row>
    <row r="634" spans="1:14" x14ac:dyDescent="0.15">
      <c r="A634" s="3">
        <v>633</v>
      </c>
      <c r="B634" s="1" t="s">
        <v>1366</v>
      </c>
      <c r="C634" s="1" t="s">
        <v>920</v>
      </c>
      <c r="D634" s="1" t="s">
        <v>3778</v>
      </c>
      <c r="E634" s="1" t="s">
        <v>3779</v>
      </c>
      <c r="F634" s="1" t="s">
        <v>8242</v>
      </c>
      <c r="G634" s="3">
        <v>0</v>
      </c>
      <c r="H634" s="20" t="s">
        <v>8243</v>
      </c>
      <c r="I634" s="20" t="s">
        <v>8244</v>
      </c>
      <c r="J634" s="20" t="s">
        <v>2860</v>
      </c>
      <c r="K634" s="20" t="s">
        <v>10013</v>
      </c>
      <c r="L634" s="3">
        <v>31</v>
      </c>
      <c r="M634" s="3" t="s">
        <v>7480</v>
      </c>
      <c r="N634" s="3" t="str">
        <f>HYPERLINK("http://ictvonline.org/taxonomyHistory.asp?taxnode_id=20164969","ICTVonline=20164969")</f>
        <v>ICTVonline=20164969</v>
      </c>
    </row>
    <row r="635" spans="1:14" x14ac:dyDescent="0.15">
      <c r="A635" s="3">
        <v>634</v>
      </c>
      <c r="B635" s="1" t="s">
        <v>1366</v>
      </c>
      <c r="C635" s="1" t="s">
        <v>920</v>
      </c>
      <c r="D635" s="1" t="s">
        <v>3778</v>
      </c>
      <c r="E635" s="1" t="s">
        <v>3785</v>
      </c>
      <c r="F635" s="1" t="s">
        <v>3786</v>
      </c>
      <c r="G635" s="3">
        <v>0</v>
      </c>
      <c r="H635" s="20" t="s">
        <v>6648</v>
      </c>
      <c r="I635" s="20" t="s">
        <v>3787</v>
      </c>
      <c r="J635" s="20" t="s">
        <v>2860</v>
      </c>
      <c r="K635" s="20" t="s">
        <v>10013</v>
      </c>
      <c r="L635" s="3">
        <v>30</v>
      </c>
      <c r="M635" s="3" t="s">
        <v>10055</v>
      </c>
      <c r="N635" s="3" t="str">
        <f>HYPERLINK("http://ictvonline.org/taxonomyHistory.asp?taxnode_id=20160406","ICTVonline=20160406")</f>
        <v>ICTVonline=20160406</v>
      </c>
    </row>
    <row r="636" spans="1:14" x14ac:dyDescent="0.15">
      <c r="A636" s="3">
        <v>635</v>
      </c>
      <c r="B636" s="1" t="s">
        <v>1366</v>
      </c>
      <c r="C636" s="1" t="s">
        <v>920</v>
      </c>
      <c r="D636" s="1" t="s">
        <v>3778</v>
      </c>
      <c r="E636" s="1" t="s">
        <v>3785</v>
      </c>
      <c r="F636" s="1" t="s">
        <v>3788</v>
      </c>
      <c r="G636" s="3">
        <v>0</v>
      </c>
      <c r="H636" s="20" t="s">
        <v>6649</v>
      </c>
      <c r="I636" s="20" t="s">
        <v>3789</v>
      </c>
      <c r="J636" s="20" t="s">
        <v>2860</v>
      </c>
      <c r="K636" s="20" t="s">
        <v>10013</v>
      </c>
      <c r="L636" s="3">
        <v>30</v>
      </c>
      <c r="M636" s="3" t="s">
        <v>10055</v>
      </c>
      <c r="N636" s="3" t="str">
        <f>HYPERLINK("http://ictvonline.org/taxonomyHistory.asp?taxnode_id=20160407","ICTVonline=20160407")</f>
        <v>ICTVonline=20160407</v>
      </c>
    </row>
    <row r="637" spans="1:14" x14ac:dyDescent="0.15">
      <c r="A637" s="3">
        <v>636</v>
      </c>
      <c r="B637" s="1" t="s">
        <v>1366</v>
      </c>
      <c r="C637" s="1" t="s">
        <v>920</v>
      </c>
      <c r="D637" s="1" t="s">
        <v>3778</v>
      </c>
      <c r="E637" s="1" t="s">
        <v>3785</v>
      </c>
      <c r="F637" s="1" t="s">
        <v>3790</v>
      </c>
      <c r="G637" s="3">
        <v>0</v>
      </c>
      <c r="H637" s="20" t="s">
        <v>6650</v>
      </c>
      <c r="I637" s="20" t="s">
        <v>3791</v>
      </c>
      <c r="J637" s="20" t="s">
        <v>2860</v>
      </c>
      <c r="K637" s="20" t="s">
        <v>10013</v>
      </c>
      <c r="L637" s="3">
        <v>30</v>
      </c>
      <c r="M637" s="3" t="s">
        <v>10055</v>
      </c>
      <c r="N637" s="3" t="str">
        <f>HYPERLINK("http://ictvonline.org/taxonomyHistory.asp?taxnode_id=20160408","ICTVonline=20160408")</f>
        <v>ICTVonline=20160408</v>
      </c>
    </row>
    <row r="638" spans="1:14" x14ac:dyDescent="0.15">
      <c r="A638" s="3">
        <v>637</v>
      </c>
      <c r="B638" s="1" t="s">
        <v>1366</v>
      </c>
      <c r="C638" s="1" t="s">
        <v>920</v>
      </c>
      <c r="D638" s="1" t="s">
        <v>3778</v>
      </c>
      <c r="E638" s="1" t="s">
        <v>3785</v>
      </c>
      <c r="F638" s="1" t="s">
        <v>8245</v>
      </c>
      <c r="G638" s="3">
        <v>0</v>
      </c>
      <c r="H638" s="20" t="s">
        <v>8246</v>
      </c>
      <c r="I638" s="20" t="s">
        <v>8247</v>
      </c>
      <c r="J638" s="20" t="s">
        <v>2860</v>
      </c>
      <c r="K638" s="20" t="s">
        <v>10013</v>
      </c>
      <c r="L638" s="3">
        <v>31</v>
      </c>
      <c r="M638" s="3" t="s">
        <v>7480</v>
      </c>
      <c r="N638" s="3" t="str">
        <f>HYPERLINK("http://ictvonline.org/taxonomyHistory.asp?taxnode_id=20164970","ICTVonline=20164970")</f>
        <v>ICTVonline=20164970</v>
      </c>
    </row>
    <row r="639" spans="1:14" x14ac:dyDescent="0.15">
      <c r="A639" s="3">
        <v>638</v>
      </c>
      <c r="B639" s="1" t="s">
        <v>1366</v>
      </c>
      <c r="C639" s="1" t="s">
        <v>920</v>
      </c>
      <c r="D639" s="1" t="s">
        <v>3778</v>
      </c>
      <c r="E639" s="1" t="s">
        <v>3785</v>
      </c>
      <c r="F639" s="1" t="s">
        <v>3792</v>
      </c>
      <c r="G639" s="3">
        <v>0</v>
      </c>
      <c r="H639" s="20" t="s">
        <v>6651</v>
      </c>
      <c r="I639" s="20" t="s">
        <v>3793</v>
      </c>
      <c r="J639" s="20" t="s">
        <v>2860</v>
      </c>
      <c r="K639" s="20" t="s">
        <v>10013</v>
      </c>
      <c r="L639" s="3">
        <v>30</v>
      </c>
      <c r="M639" s="3" t="s">
        <v>10055</v>
      </c>
      <c r="N639" s="3" t="str">
        <f>HYPERLINK("http://ictvonline.org/taxonomyHistory.asp?taxnode_id=20160409","ICTVonline=20160409")</f>
        <v>ICTVonline=20160409</v>
      </c>
    </row>
    <row r="640" spans="1:14" x14ac:dyDescent="0.15">
      <c r="A640" s="3">
        <v>639</v>
      </c>
      <c r="B640" s="1" t="s">
        <v>1366</v>
      </c>
      <c r="C640" s="1" t="s">
        <v>920</v>
      </c>
      <c r="D640" s="1" t="s">
        <v>3778</v>
      </c>
      <c r="E640" s="1" t="s">
        <v>3785</v>
      </c>
      <c r="F640" s="1" t="s">
        <v>3794</v>
      </c>
      <c r="G640" s="3">
        <v>0</v>
      </c>
      <c r="J640" s="20" t="s">
        <v>2860</v>
      </c>
      <c r="K640" s="20" t="s">
        <v>10014</v>
      </c>
      <c r="L640" s="3">
        <v>30</v>
      </c>
      <c r="M640" s="3" t="s">
        <v>10055</v>
      </c>
      <c r="N640" s="3" t="str">
        <f>HYPERLINK("http://ictvonline.org/taxonomyHistory.asp?taxnode_id=20160410","ICTVonline=20160410")</f>
        <v>ICTVonline=20160410</v>
      </c>
    </row>
    <row r="641" spans="1:14" x14ac:dyDescent="0.15">
      <c r="A641" s="3">
        <v>640</v>
      </c>
      <c r="B641" s="1" t="s">
        <v>1366</v>
      </c>
      <c r="C641" s="1" t="s">
        <v>920</v>
      </c>
      <c r="D641" s="1" t="s">
        <v>3778</v>
      </c>
      <c r="E641" s="1" t="s">
        <v>3785</v>
      </c>
      <c r="F641" s="1" t="s">
        <v>3795</v>
      </c>
      <c r="G641" s="3">
        <v>0</v>
      </c>
      <c r="J641" s="20" t="s">
        <v>2860</v>
      </c>
      <c r="K641" s="20" t="s">
        <v>10014</v>
      </c>
      <c r="L641" s="3">
        <v>30</v>
      </c>
      <c r="M641" s="3" t="s">
        <v>10055</v>
      </c>
      <c r="N641" s="3" t="str">
        <f>HYPERLINK("http://ictvonline.org/taxonomyHistory.asp?taxnode_id=20160411","ICTVonline=20160411")</f>
        <v>ICTVonline=20160411</v>
      </c>
    </row>
    <row r="642" spans="1:14" x14ac:dyDescent="0.15">
      <c r="A642" s="3">
        <v>641</v>
      </c>
      <c r="B642" s="1" t="s">
        <v>1366</v>
      </c>
      <c r="C642" s="1" t="s">
        <v>920</v>
      </c>
      <c r="D642" s="1" t="s">
        <v>3778</v>
      </c>
      <c r="E642" s="1" t="s">
        <v>3785</v>
      </c>
      <c r="F642" s="1" t="s">
        <v>3796</v>
      </c>
      <c r="G642" s="3">
        <v>0</v>
      </c>
      <c r="H642" s="20" t="s">
        <v>6652</v>
      </c>
      <c r="I642" s="20" t="s">
        <v>3797</v>
      </c>
      <c r="J642" s="20" t="s">
        <v>2860</v>
      </c>
      <c r="K642" s="20" t="s">
        <v>10013</v>
      </c>
      <c r="L642" s="3">
        <v>30</v>
      </c>
      <c r="M642" s="3" t="s">
        <v>10055</v>
      </c>
      <c r="N642" s="3" t="str">
        <f>HYPERLINK("http://ictvonline.org/taxonomyHistory.asp?taxnode_id=20160412","ICTVonline=20160412")</f>
        <v>ICTVonline=20160412</v>
      </c>
    </row>
    <row r="643" spans="1:14" x14ac:dyDescent="0.15">
      <c r="A643" s="3">
        <v>642</v>
      </c>
      <c r="B643" s="1" t="s">
        <v>1366</v>
      </c>
      <c r="C643" s="1" t="s">
        <v>920</v>
      </c>
      <c r="D643" s="1" t="s">
        <v>3778</v>
      </c>
      <c r="E643" s="1" t="s">
        <v>3785</v>
      </c>
      <c r="F643" s="1" t="s">
        <v>3798</v>
      </c>
      <c r="G643" s="3">
        <v>1</v>
      </c>
      <c r="H643" s="20" t="s">
        <v>6653</v>
      </c>
      <c r="I643" s="20" t="s">
        <v>2235</v>
      </c>
      <c r="J643" s="20" t="s">
        <v>2860</v>
      </c>
      <c r="K643" s="20" t="s">
        <v>10014</v>
      </c>
      <c r="L643" s="3">
        <v>30</v>
      </c>
      <c r="M643" s="3" t="s">
        <v>10055</v>
      </c>
      <c r="N643" s="3" t="str">
        <f>HYPERLINK("http://ictvonline.org/taxonomyHistory.asp?taxnode_id=20160413","ICTVonline=20160413")</f>
        <v>ICTVonline=20160413</v>
      </c>
    </row>
    <row r="644" spans="1:14" x14ac:dyDescent="0.15">
      <c r="A644" s="3">
        <v>643</v>
      </c>
      <c r="B644" s="1" t="s">
        <v>1366</v>
      </c>
      <c r="C644" s="1" t="s">
        <v>920</v>
      </c>
      <c r="D644" s="1" t="s">
        <v>3778</v>
      </c>
      <c r="E644" s="1" t="s">
        <v>3799</v>
      </c>
      <c r="F644" s="1" t="s">
        <v>3800</v>
      </c>
      <c r="G644" s="3">
        <v>0</v>
      </c>
      <c r="H644" s="20" t="s">
        <v>6654</v>
      </c>
      <c r="I644" s="20" t="s">
        <v>3801</v>
      </c>
      <c r="J644" s="20" t="s">
        <v>2860</v>
      </c>
      <c r="K644" s="20" t="s">
        <v>10013</v>
      </c>
      <c r="L644" s="3">
        <v>30</v>
      </c>
      <c r="M644" s="3" t="s">
        <v>10055</v>
      </c>
      <c r="N644" s="3" t="str">
        <f>HYPERLINK("http://ictvonline.org/taxonomyHistory.asp?taxnode_id=20160415","ICTVonline=20160415")</f>
        <v>ICTVonline=20160415</v>
      </c>
    </row>
    <row r="645" spans="1:14" x14ac:dyDescent="0.15">
      <c r="A645" s="3">
        <v>644</v>
      </c>
      <c r="B645" s="1" t="s">
        <v>1366</v>
      </c>
      <c r="C645" s="1" t="s">
        <v>920</v>
      </c>
      <c r="D645" s="1" t="s">
        <v>3778</v>
      </c>
      <c r="E645" s="1" t="s">
        <v>3799</v>
      </c>
      <c r="F645" s="1" t="s">
        <v>3802</v>
      </c>
      <c r="G645" s="3">
        <v>1</v>
      </c>
      <c r="H645" s="20" t="s">
        <v>6655</v>
      </c>
      <c r="I645" s="20" t="s">
        <v>2236</v>
      </c>
      <c r="J645" s="20" t="s">
        <v>2860</v>
      </c>
      <c r="K645" s="20" t="s">
        <v>10014</v>
      </c>
      <c r="L645" s="3">
        <v>30</v>
      </c>
      <c r="M645" s="3" t="s">
        <v>10055</v>
      </c>
      <c r="N645" s="3" t="str">
        <f>HYPERLINK("http://ictvonline.org/taxonomyHistory.asp?taxnode_id=20160416","ICTVonline=20160416")</f>
        <v>ICTVonline=20160416</v>
      </c>
    </row>
    <row r="646" spans="1:14" x14ac:dyDescent="0.15">
      <c r="A646" s="3">
        <v>645</v>
      </c>
      <c r="B646" s="1" t="s">
        <v>1366</v>
      </c>
      <c r="C646" s="1" t="s">
        <v>920</v>
      </c>
      <c r="D646" s="1" t="s">
        <v>3778</v>
      </c>
      <c r="E646" s="1" t="s">
        <v>3803</v>
      </c>
      <c r="F646" s="1" t="s">
        <v>3804</v>
      </c>
      <c r="G646" s="3">
        <v>0</v>
      </c>
      <c r="H646" s="20" t="s">
        <v>6656</v>
      </c>
      <c r="I646" s="20" t="s">
        <v>3805</v>
      </c>
      <c r="J646" s="20" t="s">
        <v>2860</v>
      </c>
      <c r="K646" s="20" t="s">
        <v>10013</v>
      </c>
      <c r="L646" s="3">
        <v>30</v>
      </c>
      <c r="M646" s="3" t="s">
        <v>10055</v>
      </c>
      <c r="N646" s="3" t="str">
        <f>HYPERLINK("http://ictvonline.org/taxonomyHistory.asp?taxnode_id=20160418","ICTVonline=20160418")</f>
        <v>ICTVonline=20160418</v>
      </c>
    </row>
    <row r="647" spans="1:14" x14ac:dyDescent="0.15">
      <c r="A647" s="3">
        <v>646</v>
      </c>
      <c r="B647" s="1" t="s">
        <v>1366</v>
      </c>
      <c r="C647" s="1" t="s">
        <v>920</v>
      </c>
      <c r="D647" s="1" t="s">
        <v>3778</v>
      </c>
      <c r="E647" s="1" t="s">
        <v>3803</v>
      </c>
      <c r="F647" s="1" t="s">
        <v>8248</v>
      </c>
      <c r="G647" s="3">
        <v>0</v>
      </c>
      <c r="H647" s="20" t="s">
        <v>8249</v>
      </c>
      <c r="I647" s="20" t="s">
        <v>8250</v>
      </c>
      <c r="J647" s="20" t="s">
        <v>2860</v>
      </c>
      <c r="K647" s="20" t="s">
        <v>10013</v>
      </c>
      <c r="L647" s="3">
        <v>31</v>
      </c>
      <c r="M647" s="3" t="s">
        <v>7480</v>
      </c>
      <c r="N647" s="3" t="str">
        <f>HYPERLINK("http://ictvonline.org/taxonomyHistory.asp?taxnode_id=20164971","ICTVonline=20164971")</f>
        <v>ICTVonline=20164971</v>
      </c>
    </row>
    <row r="648" spans="1:14" x14ac:dyDescent="0.15">
      <c r="A648" s="3">
        <v>647</v>
      </c>
      <c r="B648" s="1" t="s">
        <v>1366</v>
      </c>
      <c r="C648" s="1" t="s">
        <v>920</v>
      </c>
      <c r="D648" s="1" t="s">
        <v>3778</v>
      </c>
      <c r="E648" s="1" t="s">
        <v>3803</v>
      </c>
      <c r="F648" s="1" t="s">
        <v>8251</v>
      </c>
      <c r="G648" s="3">
        <v>0</v>
      </c>
      <c r="H648" s="20" t="s">
        <v>8252</v>
      </c>
      <c r="I648" s="20" t="s">
        <v>8253</v>
      </c>
      <c r="J648" s="20" t="s">
        <v>2860</v>
      </c>
      <c r="K648" s="20" t="s">
        <v>10013</v>
      </c>
      <c r="L648" s="3">
        <v>31</v>
      </c>
      <c r="M648" s="3" t="s">
        <v>7480</v>
      </c>
      <c r="N648" s="3" t="str">
        <f>HYPERLINK("http://ictvonline.org/taxonomyHistory.asp?taxnode_id=20164972","ICTVonline=20164972")</f>
        <v>ICTVonline=20164972</v>
      </c>
    </row>
    <row r="649" spans="1:14" x14ac:dyDescent="0.15">
      <c r="A649" s="3">
        <v>648</v>
      </c>
      <c r="B649" s="1" t="s">
        <v>1366</v>
      </c>
      <c r="C649" s="1" t="s">
        <v>920</v>
      </c>
      <c r="D649" s="1" t="s">
        <v>3778</v>
      </c>
      <c r="E649" s="1" t="s">
        <v>3803</v>
      </c>
      <c r="F649" s="1" t="s">
        <v>3806</v>
      </c>
      <c r="G649" s="3">
        <v>1</v>
      </c>
      <c r="J649" s="20" t="s">
        <v>2860</v>
      </c>
      <c r="K649" s="20" t="s">
        <v>10014</v>
      </c>
      <c r="L649" s="3">
        <v>30</v>
      </c>
      <c r="M649" s="3" t="s">
        <v>10017</v>
      </c>
      <c r="N649" s="3" t="str">
        <f>HYPERLINK("http://ictvonline.org/taxonomyHistory.asp?taxnode_id=20160419","ICTVonline=20160419")</f>
        <v>ICTVonline=20160419</v>
      </c>
    </row>
    <row r="650" spans="1:14" x14ac:dyDescent="0.15">
      <c r="A650" s="3">
        <v>649</v>
      </c>
      <c r="B650" s="1" t="s">
        <v>1366</v>
      </c>
      <c r="C650" s="1" t="s">
        <v>920</v>
      </c>
      <c r="D650" s="1" t="s">
        <v>3778</v>
      </c>
      <c r="E650" s="1" t="s">
        <v>3803</v>
      </c>
      <c r="F650" s="1" t="s">
        <v>3808</v>
      </c>
      <c r="G650" s="3">
        <v>0</v>
      </c>
      <c r="H650" s="20" t="s">
        <v>6657</v>
      </c>
      <c r="I650" s="20" t="s">
        <v>3809</v>
      </c>
      <c r="J650" s="20" t="s">
        <v>2860</v>
      </c>
      <c r="K650" s="20" t="s">
        <v>10013</v>
      </c>
      <c r="L650" s="3">
        <v>30</v>
      </c>
      <c r="M650" s="3" t="s">
        <v>10055</v>
      </c>
      <c r="N650" s="3" t="str">
        <f>HYPERLINK("http://ictvonline.org/taxonomyHistory.asp?taxnode_id=20160420","ICTVonline=20160420")</f>
        <v>ICTVonline=20160420</v>
      </c>
    </row>
    <row r="651" spans="1:14" x14ac:dyDescent="0.15">
      <c r="A651" s="3">
        <v>650</v>
      </c>
      <c r="B651" s="1" t="s">
        <v>1366</v>
      </c>
      <c r="C651" s="1" t="s">
        <v>920</v>
      </c>
      <c r="D651" s="1" t="s">
        <v>3778</v>
      </c>
      <c r="E651" s="1" t="s">
        <v>3803</v>
      </c>
      <c r="F651" s="1" t="s">
        <v>3810</v>
      </c>
      <c r="G651" s="3">
        <v>0</v>
      </c>
      <c r="J651" s="20" t="s">
        <v>2860</v>
      </c>
      <c r="K651" s="20" t="s">
        <v>10014</v>
      </c>
      <c r="L651" s="3">
        <v>30</v>
      </c>
      <c r="M651" s="3" t="s">
        <v>10017</v>
      </c>
      <c r="N651" s="3" t="str">
        <f>HYPERLINK("http://ictvonline.org/taxonomyHistory.asp?taxnode_id=20160421","ICTVonline=20160421")</f>
        <v>ICTVonline=20160421</v>
      </c>
    </row>
    <row r="652" spans="1:14" x14ac:dyDescent="0.15">
      <c r="A652" s="3">
        <v>651</v>
      </c>
      <c r="B652" s="1" t="s">
        <v>1366</v>
      </c>
      <c r="C652" s="1" t="s">
        <v>920</v>
      </c>
      <c r="D652" s="1" t="s">
        <v>3778</v>
      </c>
      <c r="E652" s="1" t="s">
        <v>3811</v>
      </c>
      <c r="F652" s="1" t="s">
        <v>3812</v>
      </c>
      <c r="G652" s="3">
        <v>0</v>
      </c>
      <c r="H652" s="20" t="s">
        <v>6658</v>
      </c>
      <c r="I652" s="20" t="s">
        <v>3813</v>
      </c>
      <c r="J652" s="20" t="s">
        <v>2860</v>
      </c>
      <c r="K652" s="20" t="s">
        <v>10013</v>
      </c>
      <c r="L652" s="3">
        <v>30</v>
      </c>
      <c r="M652" s="3" t="s">
        <v>10055</v>
      </c>
      <c r="N652" s="3" t="str">
        <f>HYPERLINK("http://ictvonline.org/taxonomyHistory.asp?taxnode_id=20160423","ICTVonline=20160423")</f>
        <v>ICTVonline=20160423</v>
      </c>
    </row>
    <row r="653" spans="1:14" x14ac:dyDescent="0.15">
      <c r="A653" s="3">
        <v>652</v>
      </c>
      <c r="B653" s="1" t="s">
        <v>1366</v>
      </c>
      <c r="C653" s="1" t="s">
        <v>920</v>
      </c>
      <c r="D653" s="1" t="s">
        <v>3778</v>
      </c>
      <c r="E653" s="1" t="s">
        <v>3811</v>
      </c>
      <c r="F653" s="1" t="s">
        <v>3814</v>
      </c>
      <c r="G653" s="3">
        <v>1</v>
      </c>
      <c r="H653" s="20" t="s">
        <v>6659</v>
      </c>
      <c r="I653" s="20" t="s">
        <v>2237</v>
      </c>
      <c r="J653" s="20" t="s">
        <v>2860</v>
      </c>
      <c r="K653" s="20" t="s">
        <v>10014</v>
      </c>
      <c r="L653" s="3">
        <v>30</v>
      </c>
      <c r="M653" s="3" t="s">
        <v>10055</v>
      </c>
      <c r="N653" s="3" t="str">
        <f>HYPERLINK("http://ictvonline.org/taxonomyHistory.asp?taxnode_id=20160424","ICTVonline=20160424")</f>
        <v>ICTVonline=20160424</v>
      </c>
    </row>
    <row r="654" spans="1:14" x14ac:dyDescent="0.15">
      <c r="A654" s="3">
        <v>653</v>
      </c>
      <c r="B654" s="1" t="s">
        <v>1366</v>
      </c>
      <c r="C654" s="1" t="s">
        <v>920</v>
      </c>
      <c r="D654" s="1" t="s">
        <v>3778</v>
      </c>
      <c r="E654" s="1" t="s">
        <v>3811</v>
      </c>
      <c r="F654" s="1" t="s">
        <v>3815</v>
      </c>
      <c r="G654" s="3">
        <v>0</v>
      </c>
      <c r="H654" s="20" t="s">
        <v>6660</v>
      </c>
      <c r="I654" s="20" t="s">
        <v>3816</v>
      </c>
      <c r="J654" s="20" t="s">
        <v>2860</v>
      </c>
      <c r="K654" s="20" t="s">
        <v>10013</v>
      </c>
      <c r="L654" s="3">
        <v>30</v>
      </c>
      <c r="M654" s="3" t="s">
        <v>10055</v>
      </c>
      <c r="N654" s="3" t="str">
        <f>HYPERLINK("http://ictvonline.org/taxonomyHistory.asp?taxnode_id=20160425","ICTVonline=20160425")</f>
        <v>ICTVonline=20160425</v>
      </c>
    </row>
    <row r="655" spans="1:14" x14ac:dyDescent="0.15">
      <c r="A655" s="3">
        <v>654</v>
      </c>
      <c r="B655" s="1" t="s">
        <v>1366</v>
      </c>
      <c r="C655" s="1" t="s">
        <v>920</v>
      </c>
      <c r="D655" s="1" t="s">
        <v>3778</v>
      </c>
      <c r="E655" s="1" t="s">
        <v>926</v>
      </c>
      <c r="F655" s="1" t="s">
        <v>3817</v>
      </c>
      <c r="G655" s="3">
        <v>0</v>
      </c>
      <c r="J655" s="20" t="s">
        <v>2860</v>
      </c>
      <c r="K655" s="20" t="s">
        <v>10014</v>
      </c>
      <c r="L655" s="3">
        <v>30</v>
      </c>
      <c r="M655" s="3" t="s">
        <v>10055</v>
      </c>
      <c r="N655" s="3" t="str">
        <f>HYPERLINK("http://ictvonline.org/taxonomyHistory.asp?taxnode_id=20160427","ICTVonline=20160427")</f>
        <v>ICTVonline=20160427</v>
      </c>
    </row>
    <row r="656" spans="1:14" x14ac:dyDescent="0.15">
      <c r="A656" s="3">
        <v>655</v>
      </c>
      <c r="B656" s="1" t="s">
        <v>1366</v>
      </c>
      <c r="C656" s="1" t="s">
        <v>920</v>
      </c>
      <c r="E656" s="1" t="s">
        <v>8254</v>
      </c>
      <c r="F656" s="1" t="s">
        <v>8255</v>
      </c>
      <c r="G656" s="3">
        <v>1</v>
      </c>
      <c r="H656" s="20" t="s">
        <v>8256</v>
      </c>
      <c r="I656" s="20" t="s">
        <v>8257</v>
      </c>
      <c r="J656" s="20" t="s">
        <v>2860</v>
      </c>
      <c r="K656" s="20" t="s">
        <v>10013</v>
      </c>
      <c r="L656" s="3">
        <v>31</v>
      </c>
      <c r="M656" s="3" t="s">
        <v>8258</v>
      </c>
      <c r="N656" s="3" t="str">
        <f>HYPERLINK("http://ictvonline.org/taxonomyHistory.asp?taxnode_id=20164973","ICTVonline=20164973")</f>
        <v>ICTVonline=20164973</v>
      </c>
    </row>
    <row r="657" spans="1:14" x14ac:dyDescent="0.15">
      <c r="A657" s="3">
        <v>656</v>
      </c>
      <c r="B657" s="1" t="s">
        <v>1366</v>
      </c>
      <c r="C657" s="1" t="s">
        <v>920</v>
      </c>
      <c r="E657" s="1" t="s">
        <v>8254</v>
      </c>
      <c r="F657" s="1" t="s">
        <v>8259</v>
      </c>
      <c r="G657" s="3">
        <v>0</v>
      </c>
      <c r="H657" s="20" t="s">
        <v>8260</v>
      </c>
      <c r="I657" s="20" t="s">
        <v>8261</v>
      </c>
      <c r="J657" s="20" t="s">
        <v>2860</v>
      </c>
      <c r="K657" s="20" t="s">
        <v>10013</v>
      </c>
      <c r="L657" s="3">
        <v>31</v>
      </c>
      <c r="M657" s="3" t="s">
        <v>8258</v>
      </c>
      <c r="N657" s="3" t="str">
        <f>HYPERLINK("http://ictvonline.org/taxonomyHistory.asp?taxnode_id=20164974","ICTVonline=20164974")</f>
        <v>ICTVonline=20164974</v>
      </c>
    </row>
    <row r="658" spans="1:14" x14ac:dyDescent="0.15">
      <c r="A658" s="3">
        <v>657</v>
      </c>
      <c r="B658" s="1" t="s">
        <v>1366</v>
      </c>
      <c r="C658" s="1" t="s">
        <v>920</v>
      </c>
      <c r="E658" s="1" t="s">
        <v>8254</v>
      </c>
      <c r="F658" s="1" t="s">
        <v>8262</v>
      </c>
      <c r="G658" s="3">
        <v>0</v>
      </c>
      <c r="H658" s="20" t="s">
        <v>8263</v>
      </c>
      <c r="I658" s="20" t="s">
        <v>8264</v>
      </c>
      <c r="J658" s="20" t="s">
        <v>2860</v>
      </c>
      <c r="K658" s="20" t="s">
        <v>10013</v>
      </c>
      <c r="L658" s="3">
        <v>31</v>
      </c>
      <c r="M658" s="3" t="s">
        <v>8258</v>
      </c>
      <c r="N658" s="3" t="str">
        <f>HYPERLINK("http://ictvonline.org/taxonomyHistory.asp?taxnode_id=20164975","ICTVonline=20164975")</f>
        <v>ICTVonline=20164975</v>
      </c>
    </row>
    <row r="659" spans="1:14" x14ac:dyDescent="0.15">
      <c r="A659" s="3">
        <v>658</v>
      </c>
      <c r="B659" s="1" t="s">
        <v>1366</v>
      </c>
      <c r="C659" s="1" t="s">
        <v>920</v>
      </c>
      <c r="E659" s="1" t="s">
        <v>8265</v>
      </c>
      <c r="F659" s="1" t="s">
        <v>8266</v>
      </c>
      <c r="G659" s="3">
        <v>1</v>
      </c>
      <c r="H659" s="20" t="s">
        <v>8267</v>
      </c>
      <c r="I659" s="20" t="s">
        <v>8268</v>
      </c>
      <c r="J659" s="20" t="s">
        <v>2860</v>
      </c>
      <c r="K659" s="20" t="s">
        <v>10013</v>
      </c>
      <c r="L659" s="3">
        <v>31</v>
      </c>
      <c r="M659" s="3" t="s">
        <v>8269</v>
      </c>
      <c r="N659" s="3" t="str">
        <f>HYPERLINK("http://ictvonline.org/taxonomyHistory.asp?taxnode_id=20164976","ICTVonline=20164976")</f>
        <v>ICTVonline=20164976</v>
      </c>
    </row>
    <row r="660" spans="1:14" x14ac:dyDescent="0.15">
      <c r="A660" s="3">
        <v>659</v>
      </c>
      <c r="B660" s="1" t="s">
        <v>1366</v>
      </c>
      <c r="C660" s="1" t="s">
        <v>920</v>
      </c>
      <c r="E660" s="1" t="s">
        <v>3818</v>
      </c>
      <c r="F660" s="1" t="s">
        <v>3819</v>
      </c>
      <c r="G660" s="3">
        <v>1</v>
      </c>
      <c r="H660" s="20" t="s">
        <v>2876</v>
      </c>
      <c r="J660" s="20" t="s">
        <v>2860</v>
      </c>
      <c r="K660" s="20" t="s">
        <v>10014</v>
      </c>
      <c r="L660" s="3">
        <v>30</v>
      </c>
      <c r="M660" s="3" t="s">
        <v>10017</v>
      </c>
      <c r="N660" s="3" t="str">
        <f>HYPERLINK("http://ictvonline.org/taxonomyHistory.asp?taxnode_id=20160430","ICTVonline=20160430")</f>
        <v>ICTVonline=20160430</v>
      </c>
    </row>
    <row r="661" spans="1:14" x14ac:dyDescent="0.15">
      <c r="A661" s="3">
        <v>660</v>
      </c>
      <c r="B661" s="1" t="s">
        <v>1366</v>
      </c>
      <c r="C661" s="1" t="s">
        <v>920</v>
      </c>
      <c r="E661" s="1" t="s">
        <v>3818</v>
      </c>
      <c r="F661" s="1" t="s">
        <v>3820</v>
      </c>
      <c r="G661" s="3">
        <v>0</v>
      </c>
      <c r="H661" s="20" t="s">
        <v>2877</v>
      </c>
      <c r="J661" s="20" t="s">
        <v>2860</v>
      </c>
      <c r="K661" s="20" t="s">
        <v>10014</v>
      </c>
      <c r="L661" s="3">
        <v>30</v>
      </c>
      <c r="M661" s="3" t="s">
        <v>10017</v>
      </c>
      <c r="N661" s="3" t="str">
        <f>HYPERLINK("http://ictvonline.org/taxonomyHistory.asp?taxnode_id=20160431","ICTVonline=20160431")</f>
        <v>ICTVonline=20160431</v>
      </c>
    </row>
    <row r="662" spans="1:14" x14ac:dyDescent="0.15">
      <c r="A662" s="3">
        <v>661</v>
      </c>
      <c r="B662" s="1" t="s">
        <v>1366</v>
      </c>
      <c r="C662" s="1" t="s">
        <v>920</v>
      </c>
      <c r="E662" s="1" t="s">
        <v>3818</v>
      </c>
      <c r="F662" s="1" t="s">
        <v>3821</v>
      </c>
      <c r="G662" s="3">
        <v>0</v>
      </c>
      <c r="H662" s="20" t="s">
        <v>2878</v>
      </c>
      <c r="J662" s="20" t="s">
        <v>2860</v>
      </c>
      <c r="K662" s="20" t="s">
        <v>10014</v>
      </c>
      <c r="L662" s="3">
        <v>30</v>
      </c>
      <c r="M662" s="3" t="s">
        <v>10017</v>
      </c>
      <c r="N662" s="3" t="str">
        <f>HYPERLINK("http://ictvonline.org/taxonomyHistory.asp?taxnode_id=20160432","ICTVonline=20160432")</f>
        <v>ICTVonline=20160432</v>
      </c>
    </row>
    <row r="663" spans="1:14" x14ac:dyDescent="0.15">
      <c r="A663" s="3">
        <v>662</v>
      </c>
      <c r="B663" s="1" t="s">
        <v>1366</v>
      </c>
      <c r="C663" s="1" t="s">
        <v>920</v>
      </c>
      <c r="E663" s="1" t="s">
        <v>3818</v>
      </c>
      <c r="F663" s="1" t="s">
        <v>3822</v>
      </c>
      <c r="G663" s="3">
        <v>0</v>
      </c>
      <c r="H663" s="20" t="s">
        <v>2879</v>
      </c>
      <c r="J663" s="20" t="s">
        <v>2860</v>
      </c>
      <c r="K663" s="20" t="s">
        <v>10014</v>
      </c>
      <c r="L663" s="3">
        <v>30</v>
      </c>
      <c r="M663" s="3" t="s">
        <v>10017</v>
      </c>
      <c r="N663" s="3" t="str">
        <f>HYPERLINK("http://ictvonline.org/taxonomyHistory.asp?taxnode_id=20160433","ICTVonline=20160433")</f>
        <v>ICTVonline=20160433</v>
      </c>
    </row>
    <row r="664" spans="1:14" x14ac:dyDescent="0.15">
      <c r="A664" s="3">
        <v>663</v>
      </c>
      <c r="B664" s="1" t="s">
        <v>1366</v>
      </c>
      <c r="C664" s="1" t="s">
        <v>920</v>
      </c>
      <c r="E664" s="1" t="s">
        <v>3818</v>
      </c>
      <c r="F664" s="1" t="s">
        <v>3823</v>
      </c>
      <c r="G664" s="3">
        <v>0</v>
      </c>
      <c r="H664" s="20" t="s">
        <v>2880</v>
      </c>
      <c r="J664" s="20" t="s">
        <v>2860</v>
      </c>
      <c r="K664" s="20" t="s">
        <v>10014</v>
      </c>
      <c r="L664" s="3">
        <v>30</v>
      </c>
      <c r="M664" s="3" t="s">
        <v>10017</v>
      </c>
      <c r="N664" s="3" t="str">
        <f>HYPERLINK("http://ictvonline.org/taxonomyHistory.asp?taxnode_id=20160434","ICTVonline=20160434")</f>
        <v>ICTVonline=20160434</v>
      </c>
    </row>
    <row r="665" spans="1:14" x14ac:dyDescent="0.15">
      <c r="A665" s="3">
        <v>664</v>
      </c>
      <c r="B665" s="1" t="s">
        <v>1366</v>
      </c>
      <c r="C665" s="1" t="s">
        <v>920</v>
      </c>
      <c r="E665" s="1" t="s">
        <v>3818</v>
      </c>
      <c r="F665" s="1" t="s">
        <v>3824</v>
      </c>
      <c r="G665" s="3">
        <v>0</v>
      </c>
      <c r="H665" s="20" t="s">
        <v>2881</v>
      </c>
      <c r="J665" s="20" t="s">
        <v>2860</v>
      </c>
      <c r="K665" s="20" t="s">
        <v>10014</v>
      </c>
      <c r="L665" s="3">
        <v>30</v>
      </c>
      <c r="M665" s="3" t="s">
        <v>10017</v>
      </c>
      <c r="N665" s="3" t="str">
        <f>HYPERLINK("http://ictvonline.org/taxonomyHistory.asp?taxnode_id=20160435","ICTVonline=20160435")</f>
        <v>ICTVonline=20160435</v>
      </c>
    </row>
    <row r="666" spans="1:14" x14ac:dyDescent="0.15">
      <c r="A666" s="3">
        <v>665</v>
      </c>
      <c r="B666" s="1" t="s">
        <v>1366</v>
      </c>
      <c r="C666" s="1" t="s">
        <v>920</v>
      </c>
      <c r="E666" s="1" t="s">
        <v>3818</v>
      </c>
      <c r="F666" s="1" t="s">
        <v>3825</v>
      </c>
      <c r="G666" s="3">
        <v>0</v>
      </c>
      <c r="H666" s="20" t="s">
        <v>2882</v>
      </c>
      <c r="J666" s="20" t="s">
        <v>2860</v>
      </c>
      <c r="K666" s="20" t="s">
        <v>10014</v>
      </c>
      <c r="L666" s="3">
        <v>30</v>
      </c>
      <c r="M666" s="3" t="s">
        <v>10017</v>
      </c>
      <c r="N666" s="3" t="str">
        <f>HYPERLINK("http://ictvonline.org/taxonomyHistory.asp?taxnode_id=20160436","ICTVonline=20160436")</f>
        <v>ICTVonline=20160436</v>
      </c>
    </row>
    <row r="667" spans="1:14" x14ac:dyDescent="0.15">
      <c r="A667" s="3">
        <v>666</v>
      </c>
      <c r="B667" s="1" t="s">
        <v>1366</v>
      </c>
      <c r="C667" s="1" t="s">
        <v>920</v>
      </c>
      <c r="E667" s="1" t="s">
        <v>3818</v>
      </c>
      <c r="F667" s="1" t="s">
        <v>3826</v>
      </c>
      <c r="G667" s="3">
        <v>0</v>
      </c>
      <c r="H667" s="20" t="s">
        <v>2883</v>
      </c>
      <c r="J667" s="20" t="s">
        <v>2860</v>
      </c>
      <c r="K667" s="20" t="s">
        <v>10014</v>
      </c>
      <c r="L667" s="3">
        <v>30</v>
      </c>
      <c r="M667" s="3" t="s">
        <v>10017</v>
      </c>
      <c r="N667" s="3" t="str">
        <f>HYPERLINK("http://ictvonline.org/taxonomyHistory.asp?taxnode_id=20160437","ICTVonline=20160437")</f>
        <v>ICTVonline=20160437</v>
      </c>
    </row>
    <row r="668" spans="1:14" x14ac:dyDescent="0.15">
      <c r="A668" s="3">
        <v>667</v>
      </c>
      <c r="B668" s="1" t="s">
        <v>1366</v>
      </c>
      <c r="C668" s="1" t="s">
        <v>920</v>
      </c>
      <c r="E668" s="1" t="s">
        <v>3827</v>
      </c>
      <c r="F668" s="1" t="s">
        <v>3828</v>
      </c>
      <c r="G668" s="3">
        <v>1</v>
      </c>
      <c r="H668" s="20" t="s">
        <v>2884</v>
      </c>
      <c r="J668" s="20" t="s">
        <v>2860</v>
      </c>
      <c r="K668" s="20" t="s">
        <v>10014</v>
      </c>
      <c r="L668" s="3">
        <v>30</v>
      </c>
      <c r="M668" s="3" t="s">
        <v>10017</v>
      </c>
      <c r="N668" s="3" t="str">
        <f>HYPERLINK("http://ictvonline.org/taxonomyHistory.asp?taxnode_id=20160439","ICTVonline=20160439")</f>
        <v>ICTVonline=20160439</v>
      </c>
    </row>
    <row r="669" spans="1:14" x14ac:dyDescent="0.15">
      <c r="A669" s="3">
        <v>668</v>
      </c>
      <c r="B669" s="1" t="s">
        <v>1366</v>
      </c>
      <c r="C669" s="1" t="s">
        <v>920</v>
      </c>
      <c r="E669" s="1" t="s">
        <v>3827</v>
      </c>
      <c r="F669" s="1" t="s">
        <v>3829</v>
      </c>
      <c r="G669" s="3">
        <v>0</v>
      </c>
      <c r="H669" s="20" t="s">
        <v>2885</v>
      </c>
      <c r="J669" s="20" t="s">
        <v>2860</v>
      </c>
      <c r="K669" s="20" t="s">
        <v>10014</v>
      </c>
      <c r="L669" s="3">
        <v>30</v>
      </c>
      <c r="M669" s="3" t="s">
        <v>10017</v>
      </c>
      <c r="N669" s="3" t="str">
        <f>HYPERLINK("http://ictvonline.org/taxonomyHistory.asp?taxnode_id=20160440","ICTVonline=20160440")</f>
        <v>ICTVonline=20160440</v>
      </c>
    </row>
    <row r="670" spans="1:14" x14ac:dyDescent="0.15">
      <c r="A670" s="3">
        <v>669</v>
      </c>
      <c r="B670" s="1" t="s">
        <v>1366</v>
      </c>
      <c r="C670" s="1" t="s">
        <v>920</v>
      </c>
      <c r="E670" s="1" t="s">
        <v>3827</v>
      </c>
      <c r="F670" s="1" t="s">
        <v>3831</v>
      </c>
      <c r="G670" s="3">
        <v>0</v>
      </c>
      <c r="H670" s="20" t="s">
        <v>2887</v>
      </c>
      <c r="J670" s="20" t="s">
        <v>2860</v>
      </c>
      <c r="K670" s="20" t="s">
        <v>10014</v>
      </c>
      <c r="L670" s="3">
        <v>30</v>
      </c>
      <c r="M670" s="3" t="s">
        <v>10017</v>
      </c>
      <c r="N670" s="3" t="str">
        <f>HYPERLINK("http://ictvonline.org/taxonomyHistory.asp?taxnode_id=20160442","ICTVonline=20160442")</f>
        <v>ICTVonline=20160442</v>
      </c>
    </row>
    <row r="671" spans="1:14" x14ac:dyDescent="0.15">
      <c r="A671" s="3">
        <v>670</v>
      </c>
      <c r="B671" s="1" t="s">
        <v>1366</v>
      </c>
      <c r="C671" s="1" t="s">
        <v>920</v>
      </c>
      <c r="E671" s="1" t="s">
        <v>8270</v>
      </c>
      <c r="F671" s="1" t="s">
        <v>8271</v>
      </c>
      <c r="G671" s="3">
        <v>1</v>
      </c>
      <c r="H671" s="20" t="s">
        <v>8272</v>
      </c>
      <c r="I671" s="20" t="s">
        <v>8273</v>
      </c>
      <c r="J671" s="20" t="s">
        <v>2860</v>
      </c>
      <c r="K671" s="20" t="s">
        <v>10013</v>
      </c>
      <c r="L671" s="3">
        <v>31</v>
      </c>
      <c r="M671" s="3" t="s">
        <v>8274</v>
      </c>
      <c r="N671" s="3" t="str">
        <f>HYPERLINK("http://ictvonline.org/taxonomyHistory.asp?taxnode_id=20164977","ICTVonline=20164977")</f>
        <v>ICTVonline=20164977</v>
      </c>
    </row>
    <row r="672" spans="1:14" x14ac:dyDescent="0.15">
      <c r="A672" s="3">
        <v>671</v>
      </c>
      <c r="B672" s="1" t="s">
        <v>1366</v>
      </c>
      <c r="C672" s="1" t="s">
        <v>920</v>
      </c>
      <c r="E672" s="1" t="s">
        <v>3835</v>
      </c>
      <c r="F672" s="1" t="s">
        <v>3836</v>
      </c>
      <c r="G672" s="3">
        <v>0</v>
      </c>
      <c r="H672" s="20" t="s">
        <v>2873</v>
      </c>
      <c r="J672" s="20" t="s">
        <v>2860</v>
      </c>
      <c r="K672" s="20" t="s">
        <v>10014</v>
      </c>
      <c r="L672" s="3">
        <v>30</v>
      </c>
      <c r="M672" s="3" t="s">
        <v>10017</v>
      </c>
      <c r="N672" s="3" t="str">
        <f>HYPERLINK("http://ictvonline.org/taxonomyHistory.asp?taxnode_id=20160447","ICTVonline=20160447")</f>
        <v>ICTVonline=20160447</v>
      </c>
    </row>
    <row r="673" spans="1:14" x14ac:dyDescent="0.15">
      <c r="A673" s="3">
        <v>672</v>
      </c>
      <c r="B673" s="1" t="s">
        <v>1366</v>
      </c>
      <c r="C673" s="1" t="s">
        <v>920</v>
      </c>
      <c r="E673" s="1" t="s">
        <v>3835</v>
      </c>
      <c r="F673" s="1" t="s">
        <v>3837</v>
      </c>
      <c r="G673" s="3">
        <v>1</v>
      </c>
      <c r="H673" s="20" t="s">
        <v>2874</v>
      </c>
      <c r="J673" s="20" t="s">
        <v>2860</v>
      </c>
      <c r="K673" s="20" t="s">
        <v>10014</v>
      </c>
      <c r="L673" s="3">
        <v>30</v>
      </c>
      <c r="M673" s="3" t="s">
        <v>10017</v>
      </c>
      <c r="N673" s="3" t="str">
        <f>HYPERLINK("http://ictvonline.org/taxonomyHistory.asp?taxnode_id=20160448","ICTVonline=20160448")</f>
        <v>ICTVonline=20160448</v>
      </c>
    </row>
    <row r="674" spans="1:14" x14ac:dyDescent="0.15">
      <c r="A674" s="3">
        <v>673</v>
      </c>
      <c r="B674" s="1" t="s">
        <v>1366</v>
      </c>
      <c r="C674" s="1" t="s">
        <v>920</v>
      </c>
      <c r="E674" s="1" t="s">
        <v>3835</v>
      </c>
      <c r="F674" s="1" t="s">
        <v>3838</v>
      </c>
      <c r="G674" s="3">
        <v>0</v>
      </c>
      <c r="H674" s="20" t="s">
        <v>2875</v>
      </c>
      <c r="J674" s="20" t="s">
        <v>2860</v>
      </c>
      <c r="K674" s="20" t="s">
        <v>10014</v>
      </c>
      <c r="L674" s="3">
        <v>30</v>
      </c>
      <c r="M674" s="3" t="s">
        <v>10017</v>
      </c>
      <c r="N674" s="3" t="str">
        <f>HYPERLINK("http://ictvonline.org/taxonomyHistory.asp?taxnode_id=20160449","ICTVonline=20160449")</f>
        <v>ICTVonline=20160449</v>
      </c>
    </row>
    <row r="675" spans="1:14" x14ac:dyDescent="0.15">
      <c r="A675" s="3">
        <v>674</v>
      </c>
      <c r="B675" s="1" t="s">
        <v>1366</v>
      </c>
      <c r="C675" s="1" t="s">
        <v>920</v>
      </c>
      <c r="E675" s="1" t="s">
        <v>3839</v>
      </c>
      <c r="F675" s="1" t="s">
        <v>3840</v>
      </c>
      <c r="G675" s="3">
        <v>1</v>
      </c>
      <c r="H675" s="20" t="s">
        <v>2890</v>
      </c>
      <c r="J675" s="20" t="s">
        <v>2860</v>
      </c>
      <c r="K675" s="20" t="s">
        <v>10014</v>
      </c>
      <c r="L675" s="3">
        <v>30</v>
      </c>
      <c r="M675" s="3" t="s">
        <v>10017</v>
      </c>
      <c r="N675" s="3" t="str">
        <f>HYPERLINK("http://ictvonline.org/taxonomyHistory.asp?taxnode_id=20160451","ICTVonline=20160451")</f>
        <v>ICTVonline=20160451</v>
      </c>
    </row>
    <row r="676" spans="1:14" x14ac:dyDescent="0.15">
      <c r="A676" s="3">
        <v>675</v>
      </c>
      <c r="B676" s="1" t="s">
        <v>1366</v>
      </c>
      <c r="C676" s="1" t="s">
        <v>920</v>
      </c>
      <c r="E676" s="1" t="s">
        <v>3839</v>
      </c>
      <c r="F676" s="1" t="s">
        <v>3841</v>
      </c>
      <c r="G676" s="3">
        <v>0</v>
      </c>
      <c r="H676" s="20" t="s">
        <v>2891</v>
      </c>
      <c r="J676" s="20" t="s">
        <v>2860</v>
      </c>
      <c r="K676" s="20" t="s">
        <v>10014</v>
      </c>
      <c r="L676" s="3">
        <v>30</v>
      </c>
      <c r="M676" s="3" t="s">
        <v>10017</v>
      </c>
      <c r="N676" s="3" t="str">
        <f>HYPERLINK("http://ictvonline.org/taxonomyHistory.asp?taxnode_id=20160452","ICTVonline=20160452")</f>
        <v>ICTVonline=20160452</v>
      </c>
    </row>
    <row r="677" spans="1:14" x14ac:dyDescent="0.15">
      <c r="A677" s="3">
        <v>676</v>
      </c>
      <c r="B677" s="1" t="s">
        <v>1366</v>
      </c>
      <c r="C677" s="1" t="s">
        <v>920</v>
      </c>
      <c r="E677" s="1" t="s">
        <v>3839</v>
      </c>
      <c r="F677" s="1" t="s">
        <v>3842</v>
      </c>
      <c r="G677" s="3">
        <v>0</v>
      </c>
      <c r="H677" s="20" t="s">
        <v>2892</v>
      </c>
      <c r="J677" s="20" t="s">
        <v>2860</v>
      </c>
      <c r="K677" s="20" t="s">
        <v>10014</v>
      </c>
      <c r="L677" s="3">
        <v>30</v>
      </c>
      <c r="M677" s="3" t="s">
        <v>10017</v>
      </c>
      <c r="N677" s="3" t="str">
        <f>HYPERLINK("http://ictvonline.org/taxonomyHistory.asp?taxnode_id=20160453","ICTVonline=20160453")</f>
        <v>ICTVonline=20160453</v>
      </c>
    </row>
    <row r="678" spans="1:14" x14ac:dyDescent="0.15">
      <c r="A678" s="3">
        <v>677</v>
      </c>
      <c r="B678" s="1" t="s">
        <v>1366</v>
      </c>
      <c r="C678" s="1" t="s">
        <v>920</v>
      </c>
      <c r="E678" s="1" t="s">
        <v>3839</v>
      </c>
      <c r="F678" s="1" t="s">
        <v>3843</v>
      </c>
      <c r="G678" s="3">
        <v>0</v>
      </c>
      <c r="H678" s="20" t="s">
        <v>2893</v>
      </c>
      <c r="J678" s="20" t="s">
        <v>2860</v>
      </c>
      <c r="K678" s="20" t="s">
        <v>10014</v>
      </c>
      <c r="L678" s="3">
        <v>30</v>
      </c>
      <c r="M678" s="3" t="s">
        <v>10017</v>
      </c>
      <c r="N678" s="3" t="str">
        <f>HYPERLINK("http://ictvonline.org/taxonomyHistory.asp?taxnode_id=20160454","ICTVonline=20160454")</f>
        <v>ICTVonline=20160454</v>
      </c>
    </row>
    <row r="679" spans="1:14" x14ac:dyDescent="0.15">
      <c r="A679" s="3">
        <v>678</v>
      </c>
      <c r="B679" s="1" t="s">
        <v>1366</v>
      </c>
      <c r="C679" s="1" t="s">
        <v>920</v>
      </c>
      <c r="E679" s="1" t="s">
        <v>3844</v>
      </c>
      <c r="F679" s="1" t="s">
        <v>3845</v>
      </c>
      <c r="G679" s="3">
        <v>0</v>
      </c>
      <c r="J679" s="20" t="s">
        <v>2860</v>
      </c>
      <c r="K679" s="20" t="s">
        <v>10014</v>
      </c>
      <c r="L679" s="3">
        <v>30</v>
      </c>
      <c r="M679" s="3" t="s">
        <v>10017</v>
      </c>
      <c r="N679" s="3" t="str">
        <f>HYPERLINK("http://ictvonline.org/taxonomyHistory.asp?taxnode_id=20160456","ICTVonline=20160456")</f>
        <v>ICTVonline=20160456</v>
      </c>
    </row>
    <row r="680" spans="1:14" x14ac:dyDescent="0.15">
      <c r="A680" s="3">
        <v>679</v>
      </c>
      <c r="B680" s="1" t="s">
        <v>1366</v>
      </c>
      <c r="C680" s="1" t="s">
        <v>920</v>
      </c>
      <c r="E680" s="1" t="s">
        <v>3844</v>
      </c>
      <c r="F680" s="1" t="s">
        <v>3846</v>
      </c>
      <c r="G680" s="3">
        <v>1</v>
      </c>
      <c r="J680" s="20" t="s">
        <v>2860</v>
      </c>
      <c r="K680" s="20" t="s">
        <v>10014</v>
      </c>
      <c r="L680" s="3">
        <v>30</v>
      </c>
      <c r="M680" s="3" t="s">
        <v>10017</v>
      </c>
      <c r="N680" s="3" t="str">
        <f>HYPERLINK("http://ictvonline.org/taxonomyHistory.asp?taxnode_id=20160457","ICTVonline=20160457")</f>
        <v>ICTVonline=20160457</v>
      </c>
    </row>
    <row r="681" spans="1:14" x14ac:dyDescent="0.15">
      <c r="A681" s="3">
        <v>680</v>
      </c>
      <c r="B681" s="1" t="s">
        <v>1366</v>
      </c>
      <c r="C681" s="1" t="s">
        <v>920</v>
      </c>
      <c r="E681" s="1" t="s">
        <v>3847</v>
      </c>
      <c r="F681" s="1" t="s">
        <v>3848</v>
      </c>
      <c r="G681" s="3">
        <v>1</v>
      </c>
      <c r="H681" s="20" t="s">
        <v>2894</v>
      </c>
      <c r="J681" s="20" t="s">
        <v>2860</v>
      </c>
      <c r="K681" s="20" t="s">
        <v>10014</v>
      </c>
      <c r="L681" s="3">
        <v>30</v>
      </c>
      <c r="M681" s="3" t="s">
        <v>10017</v>
      </c>
      <c r="N681" s="3" t="str">
        <f>HYPERLINK("http://ictvonline.org/taxonomyHistory.asp?taxnode_id=20160459","ICTVonline=20160459")</f>
        <v>ICTVonline=20160459</v>
      </c>
    </row>
    <row r="682" spans="1:14" x14ac:dyDescent="0.15">
      <c r="A682" s="3">
        <v>681</v>
      </c>
      <c r="B682" s="1" t="s">
        <v>1366</v>
      </c>
      <c r="C682" s="1" t="s">
        <v>920</v>
      </c>
      <c r="E682" s="1" t="s">
        <v>3847</v>
      </c>
      <c r="F682" s="1" t="s">
        <v>8275</v>
      </c>
      <c r="G682" s="3">
        <v>0</v>
      </c>
      <c r="H682" s="20" t="s">
        <v>8276</v>
      </c>
      <c r="I682" s="20" t="s">
        <v>8277</v>
      </c>
      <c r="J682" s="20" t="s">
        <v>2860</v>
      </c>
      <c r="K682" s="20" t="s">
        <v>10013</v>
      </c>
      <c r="L682" s="3">
        <v>31</v>
      </c>
      <c r="M682" s="3" t="s">
        <v>7480</v>
      </c>
      <c r="N682" s="3" t="str">
        <f>HYPERLINK("http://ictvonline.org/taxonomyHistory.asp?taxnode_id=20164980","ICTVonline=20164980")</f>
        <v>ICTVonline=20164980</v>
      </c>
    </row>
    <row r="683" spans="1:14" x14ac:dyDescent="0.15">
      <c r="A683" s="3">
        <v>682</v>
      </c>
      <c r="B683" s="1" t="s">
        <v>1366</v>
      </c>
      <c r="C683" s="1" t="s">
        <v>920</v>
      </c>
      <c r="E683" s="1" t="s">
        <v>3847</v>
      </c>
      <c r="F683" s="1" t="s">
        <v>8278</v>
      </c>
      <c r="G683" s="3">
        <v>0</v>
      </c>
      <c r="H683" s="20" t="s">
        <v>8279</v>
      </c>
      <c r="I683" s="20" t="s">
        <v>8280</v>
      </c>
      <c r="J683" s="20" t="s">
        <v>2860</v>
      </c>
      <c r="K683" s="20" t="s">
        <v>10013</v>
      </c>
      <c r="L683" s="3">
        <v>31</v>
      </c>
      <c r="M683" s="3" t="s">
        <v>7480</v>
      </c>
      <c r="N683" s="3" t="str">
        <f>HYPERLINK("http://ictvonline.org/taxonomyHistory.asp?taxnode_id=20164978","ICTVonline=20164978")</f>
        <v>ICTVonline=20164978</v>
      </c>
    </row>
    <row r="684" spans="1:14" x14ac:dyDescent="0.15">
      <c r="A684" s="3">
        <v>683</v>
      </c>
      <c r="B684" s="1" t="s">
        <v>1366</v>
      </c>
      <c r="C684" s="1" t="s">
        <v>920</v>
      </c>
      <c r="E684" s="1" t="s">
        <v>3847</v>
      </c>
      <c r="F684" s="1" t="s">
        <v>8281</v>
      </c>
      <c r="G684" s="3">
        <v>0</v>
      </c>
      <c r="H684" s="20" t="s">
        <v>8282</v>
      </c>
      <c r="I684" s="20" t="s">
        <v>8283</v>
      </c>
      <c r="J684" s="20" t="s">
        <v>2860</v>
      </c>
      <c r="K684" s="20" t="s">
        <v>10013</v>
      </c>
      <c r="L684" s="3">
        <v>31</v>
      </c>
      <c r="M684" s="3" t="s">
        <v>7480</v>
      </c>
      <c r="N684" s="3" t="str">
        <f>HYPERLINK("http://ictvonline.org/taxonomyHistory.asp?taxnode_id=20164979","ICTVonline=20164979")</f>
        <v>ICTVonline=20164979</v>
      </c>
    </row>
    <row r="685" spans="1:14" x14ac:dyDescent="0.15">
      <c r="A685" s="3">
        <v>684</v>
      </c>
      <c r="B685" s="1" t="s">
        <v>1366</v>
      </c>
      <c r="C685" s="1" t="s">
        <v>920</v>
      </c>
      <c r="E685" s="1" t="s">
        <v>3847</v>
      </c>
      <c r="F685" s="1" t="s">
        <v>3849</v>
      </c>
      <c r="G685" s="3">
        <v>0</v>
      </c>
      <c r="H685" s="20" t="s">
        <v>2895</v>
      </c>
      <c r="J685" s="20" t="s">
        <v>2860</v>
      </c>
      <c r="K685" s="20" t="s">
        <v>10014</v>
      </c>
      <c r="L685" s="3">
        <v>30</v>
      </c>
      <c r="M685" s="3" t="s">
        <v>10017</v>
      </c>
      <c r="N685" s="3" t="str">
        <f>HYPERLINK("http://ictvonline.org/taxonomyHistory.asp?taxnode_id=20160460","ICTVonline=20160460")</f>
        <v>ICTVonline=20160460</v>
      </c>
    </row>
    <row r="686" spans="1:14" x14ac:dyDescent="0.15">
      <c r="A686" s="3">
        <v>685</v>
      </c>
      <c r="B686" s="1" t="s">
        <v>1366</v>
      </c>
      <c r="C686" s="1" t="s">
        <v>920</v>
      </c>
      <c r="E686" s="1" t="s">
        <v>3847</v>
      </c>
      <c r="F686" s="1" t="s">
        <v>8284</v>
      </c>
      <c r="G686" s="3">
        <v>0</v>
      </c>
      <c r="H686" s="20" t="s">
        <v>8285</v>
      </c>
      <c r="I686" s="20" t="s">
        <v>8286</v>
      </c>
      <c r="J686" s="20" t="s">
        <v>2860</v>
      </c>
      <c r="K686" s="20" t="s">
        <v>10013</v>
      </c>
      <c r="L686" s="3">
        <v>31</v>
      </c>
      <c r="M686" s="3" t="s">
        <v>7480</v>
      </c>
      <c r="N686" s="3" t="str">
        <f>HYPERLINK("http://ictvonline.org/taxonomyHistory.asp?taxnode_id=20164981","ICTVonline=20164981")</f>
        <v>ICTVonline=20164981</v>
      </c>
    </row>
    <row r="687" spans="1:14" x14ac:dyDescent="0.15">
      <c r="A687" s="3">
        <v>686</v>
      </c>
      <c r="B687" s="1" t="s">
        <v>1366</v>
      </c>
      <c r="C687" s="1" t="s">
        <v>920</v>
      </c>
      <c r="E687" s="1" t="s">
        <v>3850</v>
      </c>
      <c r="F687" s="1" t="s">
        <v>3851</v>
      </c>
      <c r="G687" s="3">
        <v>0</v>
      </c>
      <c r="H687" s="20" t="s">
        <v>6661</v>
      </c>
      <c r="I687" s="20" t="s">
        <v>3852</v>
      </c>
      <c r="J687" s="20" t="s">
        <v>2860</v>
      </c>
      <c r="K687" s="20" t="s">
        <v>10013</v>
      </c>
      <c r="L687" s="3">
        <v>30</v>
      </c>
      <c r="M687" s="3" t="s">
        <v>10056</v>
      </c>
      <c r="N687" s="3" t="str">
        <f>HYPERLINK("http://ictvonline.org/taxonomyHistory.asp?taxnode_id=20160462","ICTVonline=20160462")</f>
        <v>ICTVonline=20160462</v>
      </c>
    </row>
    <row r="688" spans="1:14" x14ac:dyDescent="0.15">
      <c r="A688" s="3">
        <v>687</v>
      </c>
      <c r="B688" s="1" t="s">
        <v>1366</v>
      </c>
      <c r="C688" s="1" t="s">
        <v>920</v>
      </c>
      <c r="E688" s="1" t="s">
        <v>3850</v>
      </c>
      <c r="F688" s="1" t="s">
        <v>3853</v>
      </c>
      <c r="G688" s="3">
        <v>0</v>
      </c>
      <c r="H688" s="20" t="s">
        <v>6662</v>
      </c>
      <c r="I688" s="20" t="s">
        <v>3854</v>
      </c>
      <c r="J688" s="20" t="s">
        <v>2860</v>
      </c>
      <c r="K688" s="20" t="s">
        <v>10013</v>
      </c>
      <c r="L688" s="3">
        <v>30</v>
      </c>
      <c r="M688" s="3" t="s">
        <v>10056</v>
      </c>
      <c r="N688" s="3" t="str">
        <f>HYPERLINK("http://ictvonline.org/taxonomyHistory.asp?taxnode_id=20160463","ICTVonline=20160463")</f>
        <v>ICTVonline=20160463</v>
      </c>
    </row>
    <row r="689" spans="1:14" x14ac:dyDescent="0.15">
      <c r="A689" s="3">
        <v>688</v>
      </c>
      <c r="B689" s="1" t="s">
        <v>1366</v>
      </c>
      <c r="C689" s="1" t="s">
        <v>920</v>
      </c>
      <c r="E689" s="1" t="s">
        <v>3850</v>
      </c>
      <c r="F689" s="1" t="s">
        <v>3855</v>
      </c>
      <c r="G689" s="3">
        <v>1</v>
      </c>
      <c r="H689" s="20" t="s">
        <v>6663</v>
      </c>
      <c r="I689" s="20" t="s">
        <v>3856</v>
      </c>
      <c r="J689" s="20" t="s">
        <v>2860</v>
      </c>
      <c r="K689" s="20" t="s">
        <v>10013</v>
      </c>
      <c r="L689" s="3">
        <v>30</v>
      </c>
      <c r="M689" s="3" t="s">
        <v>10056</v>
      </c>
      <c r="N689" s="3" t="str">
        <f>HYPERLINK("http://ictvonline.org/taxonomyHistory.asp?taxnode_id=20160464","ICTVonline=20160464")</f>
        <v>ICTVonline=20160464</v>
      </c>
    </row>
    <row r="690" spans="1:14" x14ac:dyDescent="0.15">
      <c r="A690" s="3">
        <v>689</v>
      </c>
      <c r="B690" s="1" t="s">
        <v>1366</v>
      </c>
      <c r="C690" s="1" t="s">
        <v>920</v>
      </c>
      <c r="E690" s="1" t="s">
        <v>3857</v>
      </c>
      <c r="F690" s="1" t="s">
        <v>3858</v>
      </c>
      <c r="G690" s="3">
        <v>1</v>
      </c>
      <c r="H690" s="20" t="s">
        <v>6664</v>
      </c>
      <c r="I690" s="20" t="s">
        <v>3859</v>
      </c>
      <c r="J690" s="20" t="s">
        <v>2860</v>
      </c>
      <c r="K690" s="20" t="s">
        <v>10013</v>
      </c>
      <c r="L690" s="3">
        <v>30</v>
      </c>
      <c r="M690" s="3" t="s">
        <v>10057</v>
      </c>
      <c r="N690" s="3" t="str">
        <f>HYPERLINK("http://ictvonline.org/taxonomyHistory.asp?taxnode_id=20160466","ICTVonline=20160466")</f>
        <v>ICTVonline=20160466</v>
      </c>
    </row>
    <row r="691" spans="1:14" x14ac:dyDescent="0.15">
      <c r="A691" s="3">
        <v>690</v>
      </c>
      <c r="B691" s="1" t="s">
        <v>1366</v>
      </c>
      <c r="C691" s="1" t="s">
        <v>920</v>
      </c>
      <c r="E691" s="1" t="s">
        <v>3860</v>
      </c>
      <c r="F691" s="1" t="s">
        <v>3861</v>
      </c>
      <c r="G691" s="3">
        <v>0</v>
      </c>
      <c r="H691" s="20" t="s">
        <v>2962</v>
      </c>
      <c r="J691" s="20" t="s">
        <v>2860</v>
      </c>
      <c r="K691" s="20" t="s">
        <v>10014</v>
      </c>
      <c r="L691" s="3">
        <v>30</v>
      </c>
      <c r="M691" s="3" t="s">
        <v>10017</v>
      </c>
      <c r="N691" s="3" t="str">
        <f>HYPERLINK("http://ictvonline.org/taxonomyHistory.asp?taxnode_id=20160468","ICTVonline=20160468")</f>
        <v>ICTVonline=20160468</v>
      </c>
    </row>
    <row r="692" spans="1:14" x14ac:dyDescent="0.15">
      <c r="A692" s="3">
        <v>691</v>
      </c>
      <c r="B692" s="1" t="s">
        <v>1366</v>
      </c>
      <c r="C692" s="1" t="s">
        <v>920</v>
      </c>
      <c r="E692" s="1" t="s">
        <v>3860</v>
      </c>
      <c r="F692" s="1" t="s">
        <v>3862</v>
      </c>
      <c r="G692" s="3">
        <v>1</v>
      </c>
      <c r="H692" s="20" t="s">
        <v>2963</v>
      </c>
      <c r="J692" s="20" t="s">
        <v>2860</v>
      </c>
      <c r="K692" s="20" t="s">
        <v>10014</v>
      </c>
      <c r="L692" s="3">
        <v>30</v>
      </c>
      <c r="M692" s="3" t="s">
        <v>10017</v>
      </c>
      <c r="N692" s="3" t="str">
        <f>HYPERLINK("http://ictvonline.org/taxonomyHistory.asp?taxnode_id=20160469","ICTVonline=20160469")</f>
        <v>ICTVonline=20160469</v>
      </c>
    </row>
    <row r="693" spans="1:14" x14ac:dyDescent="0.15">
      <c r="A693" s="3">
        <v>692</v>
      </c>
      <c r="B693" s="1" t="s">
        <v>1366</v>
      </c>
      <c r="C693" s="1" t="s">
        <v>920</v>
      </c>
      <c r="E693" s="1" t="s">
        <v>3863</v>
      </c>
      <c r="F693" s="1" t="s">
        <v>3864</v>
      </c>
      <c r="G693" s="3">
        <v>1</v>
      </c>
      <c r="H693" s="20" t="s">
        <v>2896</v>
      </c>
      <c r="J693" s="20" t="s">
        <v>2860</v>
      </c>
      <c r="K693" s="20" t="s">
        <v>10014</v>
      </c>
      <c r="L693" s="3">
        <v>30</v>
      </c>
      <c r="M693" s="3" t="s">
        <v>10017</v>
      </c>
      <c r="N693" s="3" t="str">
        <f>HYPERLINK("http://ictvonline.org/taxonomyHistory.asp?taxnode_id=20160471","ICTVonline=20160471")</f>
        <v>ICTVonline=20160471</v>
      </c>
    </row>
    <row r="694" spans="1:14" x14ac:dyDescent="0.15">
      <c r="A694" s="3">
        <v>693</v>
      </c>
      <c r="B694" s="1" t="s">
        <v>1366</v>
      </c>
      <c r="C694" s="1" t="s">
        <v>920</v>
      </c>
      <c r="E694" s="1" t="s">
        <v>3863</v>
      </c>
      <c r="F694" s="1" t="s">
        <v>3865</v>
      </c>
      <c r="G694" s="3">
        <v>0</v>
      </c>
      <c r="H694" s="20" t="s">
        <v>2897</v>
      </c>
      <c r="J694" s="20" t="s">
        <v>2860</v>
      </c>
      <c r="K694" s="20" t="s">
        <v>10014</v>
      </c>
      <c r="L694" s="3">
        <v>30</v>
      </c>
      <c r="M694" s="3" t="s">
        <v>10017</v>
      </c>
      <c r="N694" s="3" t="str">
        <f>HYPERLINK("http://ictvonline.org/taxonomyHistory.asp?taxnode_id=20160472","ICTVonline=20160472")</f>
        <v>ICTVonline=20160472</v>
      </c>
    </row>
    <row r="695" spans="1:14" x14ac:dyDescent="0.15">
      <c r="A695" s="3">
        <v>694</v>
      </c>
      <c r="B695" s="1" t="s">
        <v>1366</v>
      </c>
      <c r="C695" s="1" t="s">
        <v>920</v>
      </c>
      <c r="E695" s="1" t="s">
        <v>3866</v>
      </c>
      <c r="F695" s="1" t="s">
        <v>3867</v>
      </c>
      <c r="G695" s="3">
        <v>0</v>
      </c>
      <c r="H695" s="20" t="s">
        <v>2898</v>
      </c>
      <c r="J695" s="20" t="s">
        <v>2860</v>
      </c>
      <c r="K695" s="20" t="s">
        <v>10014</v>
      </c>
      <c r="L695" s="3">
        <v>30</v>
      </c>
      <c r="M695" s="3" t="s">
        <v>10017</v>
      </c>
      <c r="N695" s="3" t="str">
        <f>HYPERLINK("http://ictvonline.org/taxonomyHistory.asp?taxnode_id=20160474","ICTVonline=20160474")</f>
        <v>ICTVonline=20160474</v>
      </c>
    </row>
    <row r="696" spans="1:14" x14ac:dyDescent="0.15">
      <c r="A696" s="3">
        <v>695</v>
      </c>
      <c r="B696" s="1" t="s">
        <v>1366</v>
      </c>
      <c r="C696" s="1" t="s">
        <v>920</v>
      </c>
      <c r="E696" s="1" t="s">
        <v>3866</v>
      </c>
      <c r="F696" s="1" t="s">
        <v>3868</v>
      </c>
      <c r="G696" s="3">
        <v>0</v>
      </c>
      <c r="H696" s="20" t="s">
        <v>2899</v>
      </c>
      <c r="J696" s="20" t="s">
        <v>2860</v>
      </c>
      <c r="K696" s="20" t="s">
        <v>10014</v>
      </c>
      <c r="L696" s="3">
        <v>30</v>
      </c>
      <c r="M696" s="3" t="s">
        <v>10017</v>
      </c>
      <c r="N696" s="3" t="str">
        <f>HYPERLINK("http://ictvonline.org/taxonomyHistory.asp?taxnode_id=20160475","ICTVonline=20160475")</f>
        <v>ICTVonline=20160475</v>
      </c>
    </row>
    <row r="697" spans="1:14" x14ac:dyDescent="0.15">
      <c r="A697" s="3">
        <v>696</v>
      </c>
      <c r="B697" s="1" t="s">
        <v>1366</v>
      </c>
      <c r="C697" s="1" t="s">
        <v>920</v>
      </c>
      <c r="E697" s="1" t="s">
        <v>3866</v>
      </c>
      <c r="F697" s="1" t="s">
        <v>3869</v>
      </c>
      <c r="G697" s="3">
        <v>0</v>
      </c>
      <c r="H697" s="20" t="s">
        <v>2900</v>
      </c>
      <c r="J697" s="20" t="s">
        <v>2860</v>
      </c>
      <c r="K697" s="20" t="s">
        <v>10014</v>
      </c>
      <c r="L697" s="3">
        <v>30</v>
      </c>
      <c r="M697" s="3" t="s">
        <v>10017</v>
      </c>
      <c r="N697" s="3" t="str">
        <f>HYPERLINK("http://ictvonline.org/taxonomyHistory.asp?taxnode_id=20160476","ICTVonline=20160476")</f>
        <v>ICTVonline=20160476</v>
      </c>
    </row>
    <row r="698" spans="1:14" x14ac:dyDescent="0.15">
      <c r="A698" s="3">
        <v>697</v>
      </c>
      <c r="B698" s="1" t="s">
        <v>1366</v>
      </c>
      <c r="C698" s="1" t="s">
        <v>920</v>
      </c>
      <c r="E698" s="1" t="s">
        <v>3866</v>
      </c>
      <c r="F698" s="1" t="s">
        <v>3870</v>
      </c>
      <c r="G698" s="3">
        <v>1</v>
      </c>
      <c r="H698" s="20" t="s">
        <v>2901</v>
      </c>
      <c r="J698" s="20" t="s">
        <v>2860</v>
      </c>
      <c r="K698" s="20" t="s">
        <v>10014</v>
      </c>
      <c r="L698" s="3">
        <v>30</v>
      </c>
      <c r="M698" s="3" t="s">
        <v>10017</v>
      </c>
      <c r="N698" s="3" t="str">
        <f>HYPERLINK("http://ictvonline.org/taxonomyHistory.asp?taxnode_id=20160477","ICTVonline=20160477")</f>
        <v>ICTVonline=20160477</v>
      </c>
    </row>
    <row r="699" spans="1:14" x14ac:dyDescent="0.15">
      <c r="A699" s="3">
        <v>698</v>
      </c>
      <c r="B699" s="1" t="s">
        <v>1366</v>
      </c>
      <c r="C699" s="1" t="s">
        <v>920</v>
      </c>
      <c r="E699" s="1" t="s">
        <v>3866</v>
      </c>
      <c r="F699" s="1" t="s">
        <v>3871</v>
      </c>
      <c r="G699" s="3">
        <v>0</v>
      </c>
      <c r="H699" s="20" t="s">
        <v>2902</v>
      </c>
      <c r="J699" s="20" t="s">
        <v>2860</v>
      </c>
      <c r="K699" s="20" t="s">
        <v>10014</v>
      </c>
      <c r="L699" s="3">
        <v>30</v>
      </c>
      <c r="M699" s="3" t="s">
        <v>10017</v>
      </c>
      <c r="N699" s="3" t="str">
        <f>HYPERLINK("http://ictvonline.org/taxonomyHistory.asp?taxnode_id=20160478","ICTVonline=20160478")</f>
        <v>ICTVonline=20160478</v>
      </c>
    </row>
    <row r="700" spans="1:14" x14ac:dyDescent="0.15">
      <c r="A700" s="3">
        <v>699</v>
      </c>
      <c r="B700" s="1" t="s">
        <v>1366</v>
      </c>
      <c r="C700" s="1" t="s">
        <v>920</v>
      </c>
      <c r="E700" s="1" t="s">
        <v>3866</v>
      </c>
      <c r="F700" s="1" t="s">
        <v>3872</v>
      </c>
      <c r="G700" s="3">
        <v>0</v>
      </c>
      <c r="H700" s="20" t="s">
        <v>2903</v>
      </c>
      <c r="J700" s="20" t="s">
        <v>2860</v>
      </c>
      <c r="K700" s="20" t="s">
        <v>10014</v>
      </c>
      <c r="L700" s="3">
        <v>30</v>
      </c>
      <c r="M700" s="3" t="s">
        <v>10017</v>
      </c>
      <c r="N700" s="3" t="str">
        <f>HYPERLINK("http://ictvonline.org/taxonomyHistory.asp?taxnode_id=20160479","ICTVonline=20160479")</f>
        <v>ICTVonline=20160479</v>
      </c>
    </row>
    <row r="701" spans="1:14" x14ac:dyDescent="0.15">
      <c r="A701" s="3">
        <v>700</v>
      </c>
      <c r="B701" s="1" t="s">
        <v>1366</v>
      </c>
      <c r="C701" s="1" t="s">
        <v>920</v>
      </c>
      <c r="E701" s="1" t="s">
        <v>3866</v>
      </c>
      <c r="F701" s="1" t="s">
        <v>3873</v>
      </c>
      <c r="G701" s="3">
        <v>0</v>
      </c>
      <c r="H701" s="20" t="s">
        <v>2904</v>
      </c>
      <c r="J701" s="20" t="s">
        <v>2860</v>
      </c>
      <c r="K701" s="20" t="s">
        <v>10014</v>
      </c>
      <c r="L701" s="3">
        <v>30</v>
      </c>
      <c r="M701" s="3" t="s">
        <v>10017</v>
      </c>
      <c r="N701" s="3" t="str">
        <f>HYPERLINK("http://ictvonline.org/taxonomyHistory.asp?taxnode_id=20160480","ICTVonline=20160480")</f>
        <v>ICTVonline=20160480</v>
      </c>
    </row>
    <row r="702" spans="1:14" x14ac:dyDescent="0.15">
      <c r="A702" s="3">
        <v>701</v>
      </c>
      <c r="B702" s="1" t="s">
        <v>1366</v>
      </c>
      <c r="C702" s="1" t="s">
        <v>920</v>
      </c>
      <c r="E702" s="1" t="s">
        <v>3866</v>
      </c>
      <c r="F702" s="1" t="s">
        <v>3874</v>
      </c>
      <c r="G702" s="3">
        <v>0</v>
      </c>
      <c r="H702" s="20" t="s">
        <v>2905</v>
      </c>
      <c r="J702" s="20" t="s">
        <v>2860</v>
      </c>
      <c r="K702" s="20" t="s">
        <v>10014</v>
      </c>
      <c r="L702" s="3">
        <v>30</v>
      </c>
      <c r="M702" s="3" t="s">
        <v>10017</v>
      </c>
      <c r="N702" s="3" t="str">
        <f>HYPERLINK("http://ictvonline.org/taxonomyHistory.asp?taxnode_id=20160481","ICTVonline=20160481")</f>
        <v>ICTVonline=20160481</v>
      </c>
    </row>
    <row r="703" spans="1:14" x14ac:dyDescent="0.15">
      <c r="A703" s="3">
        <v>702</v>
      </c>
      <c r="B703" s="1" t="s">
        <v>1366</v>
      </c>
      <c r="C703" s="1" t="s">
        <v>920</v>
      </c>
      <c r="E703" s="1" t="s">
        <v>3866</v>
      </c>
      <c r="F703" s="1" t="s">
        <v>3875</v>
      </c>
      <c r="G703" s="3">
        <v>0</v>
      </c>
      <c r="H703" s="20" t="s">
        <v>2906</v>
      </c>
      <c r="J703" s="20" t="s">
        <v>2860</v>
      </c>
      <c r="K703" s="20" t="s">
        <v>10014</v>
      </c>
      <c r="L703" s="3">
        <v>30</v>
      </c>
      <c r="M703" s="3" t="s">
        <v>10017</v>
      </c>
      <c r="N703" s="3" t="str">
        <f>HYPERLINK("http://ictvonline.org/taxonomyHistory.asp?taxnode_id=20160482","ICTVonline=20160482")</f>
        <v>ICTVonline=20160482</v>
      </c>
    </row>
    <row r="704" spans="1:14" x14ac:dyDescent="0.15">
      <c r="A704" s="3">
        <v>703</v>
      </c>
      <c r="B704" s="1" t="s">
        <v>1366</v>
      </c>
      <c r="C704" s="1" t="s">
        <v>920</v>
      </c>
      <c r="E704" s="1" t="s">
        <v>3866</v>
      </c>
      <c r="F704" s="1" t="s">
        <v>3876</v>
      </c>
      <c r="G704" s="3">
        <v>0</v>
      </c>
      <c r="H704" s="20" t="s">
        <v>2907</v>
      </c>
      <c r="J704" s="20" t="s">
        <v>2860</v>
      </c>
      <c r="K704" s="20" t="s">
        <v>10014</v>
      </c>
      <c r="L704" s="3">
        <v>30</v>
      </c>
      <c r="M704" s="3" t="s">
        <v>10017</v>
      </c>
      <c r="N704" s="3" t="str">
        <f>HYPERLINK("http://ictvonline.org/taxonomyHistory.asp?taxnode_id=20160483","ICTVonline=20160483")</f>
        <v>ICTVonline=20160483</v>
      </c>
    </row>
    <row r="705" spans="1:14" x14ac:dyDescent="0.15">
      <c r="A705" s="3">
        <v>704</v>
      </c>
      <c r="B705" s="1" t="s">
        <v>1366</v>
      </c>
      <c r="C705" s="1" t="s">
        <v>920</v>
      </c>
      <c r="E705" s="1" t="s">
        <v>3866</v>
      </c>
      <c r="F705" s="1" t="s">
        <v>3877</v>
      </c>
      <c r="G705" s="3">
        <v>0</v>
      </c>
      <c r="H705" s="20" t="s">
        <v>2908</v>
      </c>
      <c r="J705" s="20" t="s">
        <v>2860</v>
      </c>
      <c r="K705" s="20" t="s">
        <v>10014</v>
      </c>
      <c r="L705" s="3">
        <v>30</v>
      </c>
      <c r="M705" s="3" t="s">
        <v>10017</v>
      </c>
      <c r="N705" s="3" t="str">
        <f>HYPERLINK("http://ictvonline.org/taxonomyHistory.asp?taxnode_id=20160484","ICTVonline=20160484")</f>
        <v>ICTVonline=20160484</v>
      </c>
    </row>
    <row r="706" spans="1:14" x14ac:dyDescent="0.15">
      <c r="A706" s="3">
        <v>705</v>
      </c>
      <c r="B706" s="1" t="s">
        <v>1366</v>
      </c>
      <c r="C706" s="1" t="s">
        <v>920</v>
      </c>
      <c r="E706" s="1" t="s">
        <v>3866</v>
      </c>
      <c r="F706" s="1" t="s">
        <v>3878</v>
      </c>
      <c r="G706" s="3">
        <v>0</v>
      </c>
      <c r="H706" s="20" t="s">
        <v>2909</v>
      </c>
      <c r="J706" s="20" t="s">
        <v>2860</v>
      </c>
      <c r="K706" s="20" t="s">
        <v>10014</v>
      </c>
      <c r="L706" s="3">
        <v>30</v>
      </c>
      <c r="M706" s="3" t="s">
        <v>10017</v>
      </c>
      <c r="N706" s="3" t="str">
        <f>HYPERLINK("http://ictvonline.org/taxonomyHistory.asp?taxnode_id=20160485","ICTVonline=20160485")</f>
        <v>ICTVonline=20160485</v>
      </c>
    </row>
    <row r="707" spans="1:14" x14ac:dyDescent="0.15">
      <c r="A707" s="3">
        <v>706</v>
      </c>
      <c r="B707" s="1" t="s">
        <v>1366</v>
      </c>
      <c r="C707" s="1" t="s">
        <v>920</v>
      </c>
      <c r="E707" s="1" t="s">
        <v>3866</v>
      </c>
      <c r="F707" s="1" t="s">
        <v>3879</v>
      </c>
      <c r="G707" s="3">
        <v>0</v>
      </c>
      <c r="H707" s="20" t="s">
        <v>2910</v>
      </c>
      <c r="J707" s="20" t="s">
        <v>2860</v>
      </c>
      <c r="K707" s="20" t="s">
        <v>10014</v>
      </c>
      <c r="L707" s="3">
        <v>30</v>
      </c>
      <c r="M707" s="3" t="s">
        <v>10017</v>
      </c>
      <c r="N707" s="3" t="str">
        <f>HYPERLINK("http://ictvonline.org/taxonomyHistory.asp?taxnode_id=20160486","ICTVonline=20160486")</f>
        <v>ICTVonline=20160486</v>
      </c>
    </row>
    <row r="708" spans="1:14" x14ac:dyDescent="0.15">
      <c r="A708" s="3">
        <v>707</v>
      </c>
      <c r="B708" s="1" t="s">
        <v>1366</v>
      </c>
      <c r="C708" s="1" t="s">
        <v>920</v>
      </c>
      <c r="E708" s="1" t="s">
        <v>3866</v>
      </c>
      <c r="F708" s="1" t="s">
        <v>3880</v>
      </c>
      <c r="G708" s="3">
        <v>0</v>
      </c>
      <c r="H708" s="20" t="s">
        <v>2911</v>
      </c>
      <c r="J708" s="20" t="s">
        <v>2860</v>
      </c>
      <c r="K708" s="20" t="s">
        <v>10014</v>
      </c>
      <c r="L708" s="3">
        <v>30</v>
      </c>
      <c r="M708" s="3" t="s">
        <v>10017</v>
      </c>
      <c r="N708" s="3" t="str">
        <f>HYPERLINK("http://ictvonline.org/taxonomyHistory.asp?taxnode_id=20160487","ICTVonline=20160487")</f>
        <v>ICTVonline=20160487</v>
      </c>
    </row>
    <row r="709" spans="1:14" x14ac:dyDescent="0.15">
      <c r="A709" s="3">
        <v>708</v>
      </c>
      <c r="B709" s="1" t="s">
        <v>1366</v>
      </c>
      <c r="C709" s="1" t="s">
        <v>920</v>
      </c>
      <c r="E709" s="1" t="s">
        <v>3866</v>
      </c>
      <c r="F709" s="1" t="s">
        <v>3881</v>
      </c>
      <c r="G709" s="3">
        <v>0</v>
      </c>
      <c r="H709" s="20" t="s">
        <v>2912</v>
      </c>
      <c r="J709" s="20" t="s">
        <v>2860</v>
      </c>
      <c r="K709" s="20" t="s">
        <v>10014</v>
      </c>
      <c r="L709" s="3">
        <v>30</v>
      </c>
      <c r="M709" s="3" t="s">
        <v>10017</v>
      </c>
      <c r="N709" s="3" t="str">
        <f>HYPERLINK("http://ictvonline.org/taxonomyHistory.asp?taxnode_id=20160488","ICTVonline=20160488")</f>
        <v>ICTVonline=20160488</v>
      </c>
    </row>
    <row r="710" spans="1:14" x14ac:dyDescent="0.15">
      <c r="A710" s="3">
        <v>709</v>
      </c>
      <c r="B710" s="1" t="s">
        <v>1366</v>
      </c>
      <c r="C710" s="1" t="s">
        <v>920</v>
      </c>
      <c r="E710" s="1" t="s">
        <v>3866</v>
      </c>
      <c r="F710" s="1" t="s">
        <v>3882</v>
      </c>
      <c r="G710" s="3">
        <v>0</v>
      </c>
      <c r="H710" s="20" t="s">
        <v>2913</v>
      </c>
      <c r="J710" s="20" t="s">
        <v>2860</v>
      </c>
      <c r="K710" s="20" t="s">
        <v>10014</v>
      </c>
      <c r="L710" s="3">
        <v>30</v>
      </c>
      <c r="M710" s="3" t="s">
        <v>10017</v>
      </c>
      <c r="N710" s="3" t="str">
        <f>HYPERLINK("http://ictvonline.org/taxonomyHistory.asp?taxnode_id=20160489","ICTVonline=20160489")</f>
        <v>ICTVonline=20160489</v>
      </c>
    </row>
    <row r="711" spans="1:14" x14ac:dyDescent="0.15">
      <c r="A711" s="3">
        <v>710</v>
      </c>
      <c r="B711" s="1" t="s">
        <v>1366</v>
      </c>
      <c r="C711" s="1" t="s">
        <v>920</v>
      </c>
      <c r="E711" s="1" t="s">
        <v>3866</v>
      </c>
      <c r="F711" s="1" t="s">
        <v>3883</v>
      </c>
      <c r="G711" s="3">
        <v>0</v>
      </c>
      <c r="H711" s="20" t="s">
        <v>2914</v>
      </c>
      <c r="J711" s="20" t="s">
        <v>2860</v>
      </c>
      <c r="K711" s="20" t="s">
        <v>10014</v>
      </c>
      <c r="L711" s="3">
        <v>30</v>
      </c>
      <c r="M711" s="3" t="s">
        <v>10017</v>
      </c>
      <c r="N711" s="3" t="str">
        <f>HYPERLINK("http://ictvonline.org/taxonomyHistory.asp?taxnode_id=20160490","ICTVonline=20160490")</f>
        <v>ICTVonline=20160490</v>
      </c>
    </row>
    <row r="712" spans="1:14" x14ac:dyDescent="0.15">
      <c r="A712" s="3">
        <v>711</v>
      </c>
      <c r="B712" s="1" t="s">
        <v>1366</v>
      </c>
      <c r="C712" s="1" t="s">
        <v>920</v>
      </c>
      <c r="E712" s="1" t="s">
        <v>3866</v>
      </c>
      <c r="F712" s="1" t="s">
        <v>3884</v>
      </c>
      <c r="G712" s="3">
        <v>0</v>
      </c>
      <c r="H712" s="20" t="s">
        <v>2915</v>
      </c>
      <c r="J712" s="20" t="s">
        <v>2860</v>
      </c>
      <c r="K712" s="20" t="s">
        <v>10014</v>
      </c>
      <c r="L712" s="3">
        <v>30</v>
      </c>
      <c r="M712" s="3" t="s">
        <v>10017</v>
      </c>
      <c r="N712" s="3" t="str">
        <f>HYPERLINK("http://ictvonline.org/taxonomyHistory.asp?taxnode_id=20160491","ICTVonline=20160491")</f>
        <v>ICTVonline=20160491</v>
      </c>
    </row>
    <row r="713" spans="1:14" x14ac:dyDescent="0.15">
      <c r="A713" s="3">
        <v>712</v>
      </c>
      <c r="B713" s="1" t="s">
        <v>1366</v>
      </c>
      <c r="C713" s="1" t="s">
        <v>920</v>
      </c>
      <c r="E713" s="1" t="s">
        <v>3866</v>
      </c>
      <c r="F713" s="1" t="s">
        <v>3885</v>
      </c>
      <c r="G713" s="3">
        <v>0</v>
      </c>
      <c r="H713" s="20" t="s">
        <v>2916</v>
      </c>
      <c r="J713" s="20" t="s">
        <v>2860</v>
      </c>
      <c r="K713" s="20" t="s">
        <v>10014</v>
      </c>
      <c r="L713" s="3">
        <v>30</v>
      </c>
      <c r="M713" s="3" t="s">
        <v>10017</v>
      </c>
      <c r="N713" s="3" t="str">
        <f>HYPERLINK("http://ictvonline.org/taxonomyHistory.asp?taxnode_id=20160492","ICTVonline=20160492")</f>
        <v>ICTVonline=20160492</v>
      </c>
    </row>
    <row r="714" spans="1:14" x14ac:dyDescent="0.15">
      <c r="A714" s="3">
        <v>713</v>
      </c>
      <c r="B714" s="1" t="s">
        <v>1366</v>
      </c>
      <c r="C714" s="1" t="s">
        <v>920</v>
      </c>
      <c r="E714" s="1" t="s">
        <v>3866</v>
      </c>
      <c r="F714" s="1" t="s">
        <v>3886</v>
      </c>
      <c r="G714" s="3">
        <v>0</v>
      </c>
      <c r="H714" s="20" t="s">
        <v>2917</v>
      </c>
      <c r="J714" s="20" t="s">
        <v>2860</v>
      </c>
      <c r="K714" s="20" t="s">
        <v>10014</v>
      </c>
      <c r="L714" s="3">
        <v>30</v>
      </c>
      <c r="M714" s="3" t="s">
        <v>10017</v>
      </c>
      <c r="N714" s="3" t="str">
        <f>HYPERLINK("http://ictvonline.org/taxonomyHistory.asp?taxnode_id=20160493","ICTVonline=20160493")</f>
        <v>ICTVonline=20160493</v>
      </c>
    </row>
    <row r="715" spans="1:14" x14ac:dyDescent="0.15">
      <c r="A715" s="3">
        <v>714</v>
      </c>
      <c r="B715" s="1" t="s">
        <v>1366</v>
      </c>
      <c r="C715" s="1" t="s">
        <v>920</v>
      </c>
      <c r="E715" s="1" t="s">
        <v>3866</v>
      </c>
      <c r="F715" s="1" t="s">
        <v>3887</v>
      </c>
      <c r="G715" s="3">
        <v>0</v>
      </c>
      <c r="H715" s="20" t="s">
        <v>2918</v>
      </c>
      <c r="J715" s="20" t="s">
        <v>2860</v>
      </c>
      <c r="K715" s="20" t="s">
        <v>10014</v>
      </c>
      <c r="L715" s="3">
        <v>30</v>
      </c>
      <c r="M715" s="3" t="s">
        <v>10017</v>
      </c>
      <c r="N715" s="3" t="str">
        <f>HYPERLINK("http://ictvonline.org/taxonomyHistory.asp?taxnode_id=20160494","ICTVonline=20160494")</f>
        <v>ICTVonline=20160494</v>
      </c>
    </row>
    <row r="716" spans="1:14" x14ac:dyDescent="0.15">
      <c r="A716" s="3">
        <v>715</v>
      </c>
      <c r="B716" s="1" t="s">
        <v>1366</v>
      </c>
      <c r="C716" s="1" t="s">
        <v>920</v>
      </c>
      <c r="E716" s="1" t="s">
        <v>3866</v>
      </c>
      <c r="F716" s="1" t="s">
        <v>3888</v>
      </c>
      <c r="G716" s="3">
        <v>0</v>
      </c>
      <c r="H716" s="20" t="s">
        <v>2919</v>
      </c>
      <c r="J716" s="20" t="s">
        <v>2860</v>
      </c>
      <c r="K716" s="20" t="s">
        <v>10014</v>
      </c>
      <c r="L716" s="3">
        <v>30</v>
      </c>
      <c r="M716" s="3" t="s">
        <v>10017</v>
      </c>
      <c r="N716" s="3" t="str">
        <f>HYPERLINK("http://ictvonline.org/taxonomyHistory.asp?taxnode_id=20160495","ICTVonline=20160495")</f>
        <v>ICTVonline=20160495</v>
      </c>
    </row>
    <row r="717" spans="1:14" x14ac:dyDescent="0.15">
      <c r="A717" s="3">
        <v>716</v>
      </c>
      <c r="B717" s="1" t="s">
        <v>1366</v>
      </c>
      <c r="C717" s="1" t="s">
        <v>920</v>
      </c>
      <c r="E717" s="1" t="s">
        <v>3866</v>
      </c>
      <c r="F717" s="1" t="s">
        <v>3889</v>
      </c>
      <c r="G717" s="3">
        <v>0</v>
      </c>
      <c r="H717" s="20" t="s">
        <v>2920</v>
      </c>
      <c r="J717" s="20" t="s">
        <v>2860</v>
      </c>
      <c r="K717" s="20" t="s">
        <v>10014</v>
      </c>
      <c r="L717" s="3">
        <v>30</v>
      </c>
      <c r="M717" s="3" t="s">
        <v>10017</v>
      </c>
      <c r="N717" s="3" t="str">
        <f>HYPERLINK("http://ictvonline.org/taxonomyHistory.asp?taxnode_id=20160496","ICTVonline=20160496")</f>
        <v>ICTVonline=20160496</v>
      </c>
    </row>
    <row r="718" spans="1:14" x14ac:dyDescent="0.15">
      <c r="A718" s="3">
        <v>717</v>
      </c>
      <c r="B718" s="1" t="s">
        <v>1366</v>
      </c>
      <c r="C718" s="1" t="s">
        <v>920</v>
      </c>
      <c r="E718" s="1" t="s">
        <v>3866</v>
      </c>
      <c r="F718" s="1" t="s">
        <v>3890</v>
      </c>
      <c r="G718" s="3">
        <v>0</v>
      </c>
      <c r="H718" s="20" t="s">
        <v>2921</v>
      </c>
      <c r="J718" s="20" t="s">
        <v>2860</v>
      </c>
      <c r="K718" s="20" t="s">
        <v>10014</v>
      </c>
      <c r="L718" s="3">
        <v>30</v>
      </c>
      <c r="M718" s="3" t="s">
        <v>10017</v>
      </c>
      <c r="N718" s="3" t="str">
        <f>HYPERLINK("http://ictvonline.org/taxonomyHistory.asp?taxnode_id=20160497","ICTVonline=20160497")</f>
        <v>ICTVonline=20160497</v>
      </c>
    </row>
    <row r="719" spans="1:14" x14ac:dyDescent="0.15">
      <c r="A719" s="3">
        <v>718</v>
      </c>
      <c r="B719" s="1" t="s">
        <v>1366</v>
      </c>
      <c r="C719" s="1" t="s">
        <v>920</v>
      </c>
      <c r="E719" s="1" t="s">
        <v>3866</v>
      </c>
      <c r="F719" s="1" t="s">
        <v>3891</v>
      </c>
      <c r="G719" s="3">
        <v>0</v>
      </c>
      <c r="H719" s="20" t="s">
        <v>2922</v>
      </c>
      <c r="J719" s="20" t="s">
        <v>2860</v>
      </c>
      <c r="K719" s="20" t="s">
        <v>10014</v>
      </c>
      <c r="L719" s="3">
        <v>30</v>
      </c>
      <c r="M719" s="3" t="s">
        <v>10017</v>
      </c>
      <c r="N719" s="3" t="str">
        <f>HYPERLINK("http://ictvonline.org/taxonomyHistory.asp?taxnode_id=20160498","ICTVonline=20160498")</f>
        <v>ICTVonline=20160498</v>
      </c>
    </row>
    <row r="720" spans="1:14" x14ac:dyDescent="0.15">
      <c r="A720" s="3">
        <v>719</v>
      </c>
      <c r="B720" s="1" t="s">
        <v>1366</v>
      </c>
      <c r="C720" s="1" t="s">
        <v>920</v>
      </c>
      <c r="E720" s="1" t="s">
        <v>3866</v>
      </c>
      <c r="F720" s="1" t="s">
        <v>3892</v>
      </c>
      <c r="G720" s="3">
        <v>0</v>
      </c>
      <c r="H720" s="20" t="s">
        <v>2923</v>
      </c>
      <c r="J720" s="20" t="s">
        <v>2860</v>
      </c>
      <c r="K720" s="20" t="s">
        <v>10014</v>
      </c>
      <c r="L720" s="3">
        <v>30</v>
      </c>
      <c r="M720" s="3" t="s">
        <v>10017</v>
      </c>
      <c r="N720" s="3" t="str">
        <f>HYPERLINK("http://ictvonline.org/taxonomyHistory.asp?taxnode_id=20160499","ICTVonline=20160499")</f>
        <v>ICTVonline=20160499</v>
      </c>
    </row>
    <row r="721" spans="1:14" x14ac:dyDescent="0.15">
      <c r="A721" s="3">
        <v>720</v>
      </c>
      <c r="B721" s="1" t="s">
        <v>1366</v>
      </c>
      <c r="C721" s="1" t="s">
        <v>920</v>
      </c>
      <c r="E721" s="1" t="s">
        <v>3866</v>
      </c>
      <c r="F721" s="1" t="s">
        <v>3893</v>
      </c>
      <c r="G721" s="3">
        <v>0</v>
      </c>
      <c r="H721" s="20" t="s">
        <v>2924</v>
      </c>
      <c r="J721" s="20" t="s">
        <v>2860</v>
      </c>
      <c r="K721" s="20" t="s">
        <v>10014</v>
      </c>
      <c r="L721" s="3">
        <v>30</v>
      </c>
      <c r="M721" s="3" t="s">
        <v>10017</v>
      </c>
      <c r="N721" s="3" t="str">
        <f>HYPERLINK("http://ictvonline.org/taxonomyHistory.asp?taxnode_id=20160500","ICTVonline=20160500")</f>
        <v>ICTVonline=20160500</v>
      </c>
    </row>
    <row r="722" spans="1:14" x14ac:dyDescent="0.15">
      <c r="A722" s="3">
        <v>721</v>
      </c>
      <c r="B722" s="1" t="s">
        <v>1366</v>
      </c>
      <c r="C722" s="1" t="s">
        <v>920</v>
      </c>
      <c r="E722" s="1" t="s">
        <v>3866</v>
      </c>
      <c r="F722" s="1" t="s">
        <v>3894</v>
      </c>
      <c r="G722" s="3">
        <v>0</v>
      </c>
      <c r="H722" s="20" t="s">
        <v>2925</v>
      </c>
      <c r="J722" s="20" t="s">
        <v>2860</v>
      </c>
      <c r="K722" s="20" t="s">
        <v>10014</v>
      </c>
      <c r="L722" s="3">
        <v>30</v>
      </c>
      <c r="M722" s="3" t="s">
        <v>10017</v>
      </c>
      <c r="N722" s="3" t="str">
        <f>HYPERLINK("http://ictvonline.org/taxonomyHistory.asp?taxnode_id=20160501","ICTVonline=20160501")</f>
        <v>ICTVonline=20160501</v>
      </c>
    </row>
    <row r="723" spans="1:14" x14ac:dyDescent="0.15">
      <c r="A723" s="3">
        <v>722</v>
      </c>
      <c r="B723" s="1" t="s">
        <v>1366</v>
      </c>
      <c r="C723" s="1" t="s">
        <v>920</v>
      </c>
      <c r="E723" s="1" t="s">
        <v>3895</v>
      </c>
      <c r="F723" s="1" t="s">
        <v>3896</v>
      </c>
      <c r="G723" s="3">
        <v>0</v>
      </c>
      <c r="H723" s="20" t="s">
        <v>2926</v>
      </c>
      <c r="J723" s="20" t="s">
        <v>2860</v>
      </c>
      <c r="K723" s="20" t="s">
        <v>10014</v>
      </c>
      <c r="L723" s="3">
        <v>30</v>
      </c>
      <c r="M723" s="3" t="s">
        <v>10017</v>
      </c>
      <c r="N723" s="3" t="str">
        <f>HYPERLINK("http://ictvonline.org/taxonomyHistory.asp?taxnode_id=20160503","ICTVonline=20160503")</f>
        <v>ICTVonline=20160503</v>
      </c>
    </row>
    <row r="724" spans="1:14" x14ac:dyDescent="0.15">
      <c r="A724" s="3">
        <v>723</v>
      </c>
      <c r="B724" s="1" t="s">
        <v>1366</v>
      </c>
      <c r="C724" s="1" t="s">
        <v>920</v>
      </c>
      <c r="E724" s="1" t="s">
        <v>3895</v>
      </c>
      <c r="F724" s="1" t="s">
        <v>3897</v>
      </c>
      <c r="G724" s="3">
        <v>0</v>
      </c>
      <c r="H724" s="20" t="s">
        <v>2927</v>
      </c>
      <c r="J724" s="20" t="s">
        <v>2860</v>
      </c>
      <c r="K724" s="20" t="s">
        <v>10014</v>
      </c>
      <c r="L724" s="3">
        <v>30</v>
      </c>
      <c r="M724" s="3" t="s">
        <v>10017</v>
      </c>
      <c r="N724" s="3" t="str">
        <f>HYPERLINK("http://ictvonline.org/taxonomyHistory.asp?taxnode_id=20160504","ICTVonline=20160504")</f>
        <v>ICTVonline=20160504</v>
      </c>
    </row>
    <row r="725" spans="1:14" x14ac:dyDescent="0.15">
      <c r="A725" s="3">
        <v>724</v>
      </c>
      <c r="B725" s="1" t="s">
        <v>1366</v>
      </c>
      <c r="C725" s="1" t="s">
        <v>920</v>
      </c>
      <c r="E725" s="1" t="s">
        <v>3895</v>
      </c>
      <c r="F725" s="1" t="s">
        <v>3898</v>
      </c>
      <c r="G725" s="3">
        <v>1</v>
      </c>
      <c r="H725" s="20" t="s">
        <v>2928</v>
      </c>
      <c r="J725" s="20" t="s">
        <v>2860</v>
      </c>
      <c r="K725" s="20" t="s">
        <v>10014</v>
      </c>
      <c r="L725" s="3">
        <v>30</v>
      </c>
      <c r="M725" s="3" t="s">
        <v>10017</v>
      </c>
      <c r="N725" s="3" t="str">
        <f>HYPERLINK("http://ictvonline.org/taxonomyHistory.asp?taxnode_id=20160505","ICTVonline=20160505")</f>
        <v>ICTVonline=20160505</v>
      </c>
    </row>
    <row r="726" spans="1:14" x14ac:dyDescent="0.15">
      <c r="A726" s="3">
        <v>725</v>
      </c>
      <c r="B726" s="1" t="s">
        <v>1366</v>
      </c>
      <c r="C726" s="1" t="s">
        <v>920</v>
      </c>
      <c r="E726" s="1" t="s">
        <v>3899</v>
      </c>
      <c r="F726" s="1" t="s">
        <v>3900</v>
      </c>
      <c r="G726" s="3">
        <v>1</v>
      </c>
      <c r="H726" s="20" t="s">
        <v>2929</v>
      </c>
      <c r="J726" s="20" t="s">
        <v>2860</v>
      </c>
      <c r="K726" s="20" t="s">
        <v>10014</v>
      </c>
      <c r="L726" s="3">
        <v>30</v>
      </c>
      <c r="M726" s="3" t="s">
        <v>10017</v>
      </c>
      <c r="N726" s="3" t="str">
        <f>HYPERLINK("http://ictvonline.org/taxonomyHistory.asp?taxnode_id=20160507","ICTVonline=20160507")</f>
        <v>ICTVonline=20160507</v>
      </c>
    </row>
    <row r="727" spans="1:14" x14ac:dyDescent="0.15">
      <c r="A727" s="3">
        <v>726</v>
      </c>
      <c r="B727" s="1" t="s">
        <v>1366</v>
      </c>
      <c r="C727" s="1" t="s">
        <v>920</v>
      </c>
      <c r="E727" s="1" t="s">
        <v>3899</v>
      </c>
      <c r="F727" s="1" t="s">
        <v>3901</v>
      </c>
      <c r="G727" s="3">
        <v>0</v>
      </c>
      <c r="H727" s="20" t="s">
        <v>2930</v>
      </c>
      <c r="J727" s="20" t="s">
        <v>2860</v>
      </c>
      <c r="K727" s="20" t="s">
        <v>10014</v>
      </c>
      <c r="L727" s="3">
        <v>30</v>
      </c>
      <c r="M727" s="3" t="s">
        <v>10017</v>
      </c>
      <c r="N727" s="3" t="str">
        <f>HYPERLINK("http://ictvonline.org/taxonomyHistory.asp?taxnode_id=20160508","ICTVonline=20160508")</f>
        <v>ICTVonline=20160508</v>
      </c>
    </row>
    <row r="728" spans="1:14" x14ac:dyDescent="0.15">
      <c r="A728" s="3">
        <v>727</v>
      </c>
      <c r="B728" s="1" t="s">
        <v>1366</v>
      </c>
      <c r="C728" s="1" t="s">
        <v>920</v>
      </c>
      <c r="E728" s="1" t="s">
        <v>3899</v>
      </c>
      <c r="F728" s="1" t="s">
        <v>3902</v>
      </c>
      <c r="G728" s="3">
        <v>0</v>
      </c>
      <c r="H728" s="20" t="s">
        <v>2931</v>
      </c>
      <c r="J728" s="20" t="s">
        <v>2860</v>
      </c>
      <c r="K728" s="20" t="s">
        <v>10014</v>
      </c>
      <c r="L728" s="3">
        <v>30</v>
      </c>
      <c r="M728" s="3" t="s">
        <v>10017</v>
      </c>
      <c r="N728" s="3" t="str">
        <f>HYPERLINK("http://ictvonline.org/taxonomyHistory.asp?taxnode_id=20160509","ICTVonline=20160509")</f>
        <v>ICTVonline=20160509</v>
      </c>
    </row>
    <row r="729" spans="1:14" x14ac:dyDescent="0.15">
      <c r="A729" s="3">
        <v>728</v>
      </c>
      <c r="B729" s="1" t="s">
        <v>1366</v>
      </c>
      <c r="C729" s="1" t="s">
        <v>920</v>
      </c>
      <c r="E729" s="1" t="s">
        <v>3899</v>
      </c>
      <c r="F729" s="1" t="s">
        <v>3903</v>
      </c>
      <c r="G729" s="3">
        <v>0</v>
      </c>
      <c r="H729" s="20" t="s">
        <v>2932</v>
      </c>
      <c r="J729" s="20" t="s">
        <v>2860</v>
      </c>
      <c r="K729" s="20" t="s">
        <v>10014</v>
      </c>
      <c r="L729" s="3">
        <v>30</v>
      </c>
      <c r="M729" s="3" t="s">
        <v>10017</v>
      </c>
      <c r="N729" s="3" t="str">
        <f>HYPERLINK("http://ictvonline.org/taxonomyHistory.asp?taxnode_id=20160510","ICTVonline=20160510")</f>
        <v>ICTVonline=20160510</v>
      </c>
    </row>
    <row r="730" spans="1:14" x14ac:dyDescent="0.15">
      <c r="A730" s="3">
        <v>729</v>
      </c>
      <c r="B730" s="1" t="s">
        <v>1366</v>
      </c>
      <c r="C730" s="1" t="s">
        <v>920</v>
      </c>
      <c r="E730" s="1" t="s">
        <v>3899</v>
      </c>
      <c r="F730" s="1" t="s">
        <v>3904</v>
      </c>
      <c r="G730" s="3">
        <v>0</v>
      </c>
      <c r="H730" s="20" t="s">
        <v>2933</v>
      </c>
      <c r="J730" s="20" t="s">
        <v>2860</v>
      </c>
      <c r="K730" s="20" t="s">
        <v>10014</v>
      </c>
      <c r="L730" s="3">
        <v>30</v>
      </c>
      <c r="M730" s="3" t="s">
        <v>10017</v>
      </c>
      <c r="N730" s="3" t="str">
        <f>HYPERLINK("http://ictvonline.org/taxonomyHistory.asp?taxnode_id=20160511","ICTVonline=20160511")</f>
        <v>ICTVonline=20160511</v>
      </c>
    </row>
    <row r="731" spans="1:14" x14ac:dyDescent="0.15">
      <c r="A731" s="3">
        <v>730</v>
      </c>
      <c r="B731" s="1" t="s">
        <v>1366</v>
      </c>
      <c r="C731" s="1" t="s">
        <v>920</v>
      </c>
      <c r="E731" s="1" t="s">
        <v>3905</v>
      </c>
      <c r="F731" s="1" t="s">
        <v>3906</v>
      </c>
      <c r="G731" s="3">
        <v>0</v>
      </c>
      <c r="H731" s="20" t="s">
        <v>2934</v>
      </c>
      <c r="J731" s="20" t="s">
        <v>2860</v>
      </c>
      <c r="K731" s="20" t="s">
        <v>10014</v>
      </c>
      <c r="L731" s="3">
        <v>30</v>
      </c>
      <c r="M731" s="3" t="s">
        <v>10017</v>
      </c>
      <c r="N731" s="3" t="str">
        <f>HYPERLINK("http://ictvonline.org/taxonomyHistory.asp?taxnode_id=20160513","ICTVonline=20160513")</f>
        <v>ICTVonline=20160513</v>
      </c>
    </row>
    <row r="732" spans="1:14" x14ac:dyDescent="0.15">
      <c r="A732" s="3">
        <v>731</v>
      </c>
      <c r="B732" s="1" t="s">
        <v>1366</v>
      </c>
      <c r="C732" s="1" t="s">
        <v>920</v>
      </c>
      <c r="E732" s="1" t="s">
        <v>3905</v>
      </c>
      <c r="F732" s="1" t="s">
        <v>3907</v>
      </c>
      <c r="G732" s="3">
        <v>0</v>
      </c>
      <c r="H732" s="20" t="s">
        <v>2935</v>
      </c>
      <c r="J732" s="20" t="s">
        <v>2860</v>
      </c>
      <c r="K732" s="20" t="s">
        <v>10014</v>
      </c>
      <c r="L732" s="3">
        <v>30</v>
      </c>
      <c r="M732" s="3" t="s">
        <v>10017</v>
      </c>
      <c r="N732" s="3" t="str">
        <f>HYPERLINK("http://ictvonline.org/taxonomyHistory.asp?taxnode_id=20160514","ICTVonline=20160514")</f>
        <v>ICTVonline=20160514</v>
      </c>
    </row>
    <row r="733" spans="1:14" x14ac:dyDescent="0.15">
      <c r="A733" s="3">
        <v>732</v>
      </c>
      <c r="B733" s="1" t="s">
        <v>1366</v>
      </c>
      <c r="C733" s="1" t="s">
        <v>920</v>
      </c>
      <c r="E733" s="1" t="s">
        <v>3905</v>
      </c>
      <c r="F733" s="1" t="s">
        <v>3908</v>
      </c>
      <c r="G733" s="3">
        <v>1</v>
      </c>
      <c r="H733" s="20" t="s">
        <v>2936</v>
      </c>
      <c r="J733" s="20" t="s">
        <v>2860</v>
      </c>
      <c r="K733" s="20" t="s">
        <v>10014</v>
      </c>
      <c r="L733" s="3">
        <v>30</v>
      </c>
      <c r="M733" s="3" t="s">
        <v>10017</v>
      </c>
      <c r="N733" s="3" t="str">
        <f>HYPERLINK("http://ictvonline.org/taxonomyHistory.asp?taxnode_id=20160515","ICTVonline=20160515")</f>
        <v>ICTVonline=20160515</v>
      </c>
    </row>
    <row r="734" spans="1:14" x14ac:dyDescent="0.15">
      <c r="A734" s="3">
        <v>733</v>
      </c>
      <c r="B734" s="1" t="s">
        <v>1366</v>
      </c>
      <c r="C734" s="1" t="s">
        <v>920</v>
      </c>
      <c r="E734" s="1" t="s">
        <v>3905</v>
      </c>
      <c r="F734" s="1" t="s">
        <v>3909</v>
      </c>
      <c r="G734" s="3">
        <v>0</v>
      </c>
      <c r="H734" s="20" t="s">
        <v>2937</v>
      </c>
      <c r="J734" s="20" t="s">
        <v>2860</v>
      </c>
      <c r="K734" s="20" t="s">
        <v>10014</v>
      </c>
      <c r="L734" s="3">
        <v>30</v>
      </c>
      <c r="M734" s="3" t="s">
        <v>10017</v>
      </c>
      <c r="N734" s="3" t="str">
        <f>HYPERLINK("http://ictvonline.org/taxonomyHistory.asp?taxnode_id=20160516","ICTVonline=20160516")</f>
        <v>ICTVonline=20160516</v>
      </c>
    </row>
    <row r="735" spans="1:14" x14ac:dyDescent="0.15">
      <c r="A735" s="3">
        <v>734</v>
      </c>
      <c r="B735" s="1" t="s">
        <v>1366</v>
      </c>
      <c r="C735" s="1" t="s">
        <v>920</v>
      </c>
      <c r="E735" s="1" t="s">
        <v>3905</v>
      </c>
      <c r="F735" s="1" t="s">
        <v>3910</v>
      </c>
      <c r="G735" s="3">
        <v>0</v>
      </c>
      <c r="H735" s="20" t="s">
        <v>2938</v>
      </c>
      <c r="J735" s="20" t="s">
        <v>2860</v>
      </c>
      <c r="K735" s="20" t="s">
        <v>10014</v>
      </c>
      <c r="L735" s="3">
        <v>30</v>
      </c>
      <c r="M735" s="3" t="s">
        <v>10017</v>
      </c>
      <c r="N735" s="3" t="str">
        <f>HYPERLINK("http://ictvonline.org/taxonomyHistory.asp?taxnode_id=20160517","ICTVonline=20160517")</f>
        <v>ICTVonline=20160517</v>
      </c>
    </row>
    <row r="736" spans="1:14" x14ac:dyDescent="0.15">
      <c r="A736" s="3">
        <v>735</v>
      </c>
      <c r="B736" s="1" t="s">
        <v>1366</v>
      </c>
      <c r="C736" s="1" t="s">
        <v>920</v>
      </c>
      <c r="E736" s="1" t="s">
        <v>3905</v>
      </c>
      <c r="F736" s="1" t="s">
        <v>3911</v>
      </c>
      <c r="G736" s="3">
        <v>0</v>
      </c>
      <c r="H736" s="20" t="s">
        <v>2939</v>
      </c>
      <c r="J736" s="20" t="s">
        <v>2860</v>
      </c>
      <c r="K736" s="20" t="s">
        <v>10014</v>
      </c>
      <c r="L736" s="3">
        <v>30</v>
      </c>
      <c r="M736" s="3" t="s">
        <v>10017</v>
      </c>
      <c r="N736" s="3" t="str">
        <f>HYPERLINK("http://ictvonline.org/taxonomyHistory.asp?taxnode_id=20160518","ICTVonline=20160518")</f>
        <v>ICTVonline=20160518</v>
      </c>
    </row>
    <row r="737" spans="1:14" x14ac:dyDescent="0.15">
      <c r="A737" s="3">
        <v>736</v>
      </c>
      <c r="B737" s="1" t="s">
        <v>1366</v>
      </c>
      <c r="C737" s="1" t="s">
        <v>920</v>
      </c>
      <c r="E737" s="1" t="s">
        <v>3905</v>
      </c>
      <c r="F737" s="1" t="s">
        <v>3912</v>
      </c>
      <c r="G737" s="3">
        <v>0</v>
      </c>
      <c r="H737" s="20" t="s">
        <v>2940</v>
      </c>
      <c r="J737" s="20" t="s">
        <v>2860</v>
      </c>
      <c r="K737" s="20" t="s">
        <v>10014</v>
      </c>
      <c r="L737" s="3">
        <v>30</v>
      </c>
      <c r="M737" s="3" t="s">
        <v>10017</v>
      </c>
      <c r="N737" s="3" t="str">
        <f>HYPERLINK("http://ictvonline.org/taxonomyHistory.asp?taxnode_id=20160519","ICTVonline=20160519")</f>
        <v>ICTVonline=20160519</v>
      </c>
    </row>
    <row r="738" spans="1:14" x14ac:dyDescent="0.15">
      <c r="A738" s="3">
        <v>737</v>
      </c>
      <c r="B738" s="1" t="s">
        <v>1366</v>
      </c>
      <c r="C738" s="1" t="s">
        <v>920</v>
      </c>
      <c r="E738" s="1" t="s">
        <v>3905</v>
      </c>
      <c r="F738" s="1" t="s">
        <v>3913</v>
      </c>
      <c r="G738" s="3">
        <v>0</v>
      </c>
      <c r="H738" s="20" t="s">
        <v>2941</v>
      </c>
      <c r="J738" s="20" t="s">
        <v>2860</v>
      </c>
      <c r="K738" s="20" t="s">
        <v>10014</v>
      </c>
      <c r="L738" s="3">
        <v>30</v>
      </c>
      <c r="M738" s="3" t="s">
        <v>10017</v>
      </c>
      <c r="N738" s="3" t="str">
        <f>HYPERLINK("http://ictvonline.org/taxonomyHistory.asp?taxnode_id=20160520","ICTVonline=20160520")</f>
        <v>ICTVonline=20160520</v>
      </c>
    </row>
    <row r="739" spans="1:14" x14ac:dyDescent="0.15">
      <c r="A739" s="3">
        <v>738</v>
      </c>
      <c r="B739" s="1" t="s">
        <v>1366</v>
      </c>
      <c r="C739" s="1" t="s">
        <v>920</v>
      </c>
      <c r="E739" s="1" t="s">
        <v>3905</v>
      </c>
      <c r="F739" s="1" t="s">
        <v>3914</v>
      </c>
      <c r="G739" s="3">
        <v>0</v>
      </c>
      <c r="H739" s="20" t="s">
        <v>2942</v>
      </c>
      <c r="J739" s="20" t="s">
        <v>2860</v>
      </c>
      <c r="K739" s="20" t="s">
        <v>10014</v>
      </c>
      <c r="L739" s="3">
        <v>30</v>
      </c>
      <c r="M739" s="3" t="s">
        <v>10017</v>
      </c>
      <c r="N739" s="3" t="str">
        <f>HYPERLINK("http://ictvonline.org/taxonomyHistory.asp?taxnode_id=20160521","ICTVonline=20160521")</f>
        <v>ICTVonline=20160521</v>
      </c>
    </row>
    <row r="740" spans="1:14" x14ac:dyDescent="0.15">
      <c r="A740" s="3">
        <v>739</v>
      </c>
      <c r="B740" s="1" t="s">
        <v>1366</v>
      </c>
      <c r="C740" s="1" t="s">
        <v>920</v>
      </c>
      <c r="E740" s="1" t="s">
        <v>3915</v>
      </c>
      <c r="F740" s="1" t="s">
        <v>3916</v>
      </c>
      <c r="G740" s="3">
        <v>1</v>
      </c>
      <c r="H740" s="20" t="s">
        <v>2943</v>
      </c>
      <c r="J740" s="20" t="s">
        <v>2860</v>
      </c>
      <c r="K740" s="20" t="s">
        <v>10014</v>
      </c>
      <c r="L740" s="3">
        <v>30</v>
      </c>
      <c r="M740" s="3" t="s">
        <v>10017</v>
      </c>
      <c r="N740" s="3" t="str">
        <f>HYPERLINK("http://ictvonline.org/taxonomyHistory.asp?taxnode_id=20160523","ICTVonline=20160523")</f>
        <v>ICTVonline=20160523</v>
      </c>
    </row>
    <row r="741" spans="1:14" x14ac:dyDescent="0.15">
      <c r="A741" s="3">
        <v>740</v>
      </c>
      <c r="B741" s="1" t="s">
        <v>1366</v>
      </c>
      <c r="C741" s="1" t="s">
        <v>920</v>
      </c>
      <c r="E741" s="1" t="s">
        <v>3915</v>
      </c>
      <c r="F741" s="1" t="s">
        <v>3917</v>
      </c>
      <c r="G741" s="3">
        <v>0</v>
      </c>
      <c r="H741" s="20" t="s">
        <v>2944</v>
      </c>
      <c r="J741" s="20" t="s">
        <v>2860</v>
      </c>
      <c r="K741" s="20" t="s">
        <v>10014</v>
      </c>
      <c r="L741" s="3">
        <v>30</v>
      </c>
      <c r="M741" s="3" t="s">
        <v>10017</v>
      </c>
      <c r="N741" s="3" t="str">
        <f>HYPERLINK("http://ictvonline.org/taxonomyHistory.asp?taxnode_id=20160524","ICTVonline=20160524")</f>
        <v>ICTVonline=20160524</v>
      </c>
    </row>
    <row r="742" spans="1:14" x14ac:dyDescent="0.15">
      <c r="A742" s="3">
        <v>741</v>
      </c>
      <c r="B742" s="1" t="s">
        <v>1366</v>
      </c>
      <c r="C742" s="1" t="s">
        <v>920</v>
      </c>
      <c r="E742" s="1" t="s">
        <v>8287</v>
      </c>
      <c r="F742" s="1" t="s">
        <v>8288</v>
      </c>
      <c r="G742" s="3">
        <v>1</v>
      </c>
      <c r="H742" s="20" t="s">
        <v>8289</v>
      </c>
      <c r="I742" s="20" t="s">
        <v>8290</v>
      </c>
      <c r="J742" s="20" t="s">
        <v>2860</v>
      </c>
      <c r="K742" s="20" t="s">
        <v>10013</v>
      </c>
      <c r="L742" s="3">
        <v>31</v>
      </c>
      <c r="M742" s="3" t="s">
        <v>8291</v>
      </c>
      <c r="N742" s="3" t="str">
        <f>HYPERLINK("http://ictvonline.org/taxonomyHistory.asp?taxnode_id=20164982","ICTVonline=20164982")</f>
        <v>ICTVonline=20164982</v>
      </c>
    </row>
    <row r="743" spans="1:14" x14ac:dyDescent="0.15">
      <c r="A743" s="3">
        <v>742</v>
      </c>
      <c r="B743" s="1" t="s">
        <v>1366</v>
      </c>
      <c r="C743" s="1" t="s">
        <v>920</v>
      </c>
      <c r="E743" s="1" t="s">
        <v>3918</v>
      </c>
      <c r="F743" s="1" t="s">
        <v>3919</v>
      </c>
      <c r="G743" s="3">
        <v>1</v>
      </c>
      <c r="H743" s="20" t="s">
        <v>2945</v>
      </c>
      <c r="J743" s="20" t="s">
        <v>2860</v>
      </c>
      <c r="K743" s="20" t="s">
        <v>10014</v>
      </c>
      <c r="L743" s="3">
        <v>30</v>
      </c>
      <c r="M743" s="3" t="s">
        <v>10017</v>
      </c>
      <c r="N743" s="3" t="str">
        <f>HYPERLINK("http://ictvonline.org/taxonomyHistory.asp?taxnode_id=20160526","ICTVonline=20160526")</f>
        <v>ICTVonline=20160526</v>
      </c>
    </row>
    <row r="744" spans="1:14" x14ac:dyDescent="0.15">
      <c r="A744" s="3">
        <v>743</v>
      </c>
      <c r="B744" s="1" t="s">
        <v>1366</v>
      </c>
      <c r="C744" s="1" t="s">
        <v>920</v>
      </c>
      <c r="E744" s="1" t="s">
        <v>3918</v>
      </c>
      <c r="F744" s="1" t="s">
        <v>3920</v>
      </c>
      <c r="G744" s="3">
        <v>0</v>
      </c>
      <c r="H744" s="20" t="s">
        <v>2946</v>
      </c>
      <c r="J744" s="20" t="s">
        <v>2860</v>
      </c>
      <c r="K744" s="20" t="s">
        <v>10014</v>
      </c>
      <c r="L744" s="3">
        <v>30</v>
      </c>
      <c r="M744" s="3" t="s">
        <v>10017</v>
      </c>
      <c r="N744" s="3" t="str">
        <f>HYPERLINK("http://ictvonline.org/taxonomyHistory.asp?taxnode_id=20160527","ICTVonline=20160527")</f>
        <v>ICTVonline=20160527</v>
      </c>
    </row>
    <row r="745" spans="1:14" x14ac:dyDescent="0.15">
      <c r="A745" s="3">
        <v>744</v>
      </c>
      <c r="B745" s="1" t="s">
        <v>1366</v>
      </c>
      <c r="C745" s="1" t="s">
        <v>920</v>
      </c>
      <c r="E745" s="1" t="s">
        <v>3918</v>
      </c>
      <c r="F745" s="1" t="s">
        <v>3921</v>
      </c>
      <c r="G745" s="3">
        <v>0</v>
      </c>
      <c r="H745" s="20" t="s">
        <v>2947</v>
      </c>
      <c r="J745" s="20" t="s">
        <v>2860</v>
      </c>
      <c r="K745" s="20" t="s">
        <v>10014</v>
      </c>
      <c r="L745" s="3">
        <v>30</v>
      </c>
      <c r="M745" s="3" t="s">
        <v>10017</v>
      </c>
      <c r="N745" s="3" t="str">
        <f>HYPERLINK("http://ictvonline.org/taxonomyHistory.asp?taxnode_id=20160528","ICTVonline=20160528")</f>
        <v>ICTVonline=20160528</v>
      </c>
    </row>
    <row r="746" spans="1:14" x14ac:dyDescent="0.15">
      <c r="A746" s="3">
        <v>745</v>
      </c>
      <c r="B746" s="1" t="s">
        <v>1366</v>
      </c>
      <c r="C746" s="1" t="s">
        <v>920</v>
      </c>
      <c r="E746" s="1" t="s">
        <v>3918</v>
      </c>
      <c r="F746" s="1" t="s">
        <v>3922</v>
      </c>
      <c r="G746" s="3">
        <v>0</v>
      </c>
      <c r="H746" s="20" t="s">
        <v>2948</v>
      </c>
      <c r="J746" s="20" t="s">
        <v>2860</v>
      </c>
      <c r="K746" s="20" t="s">
        <v>10014</v>
      </c>
      <c r="L746" s="3">
        <v>30</v>
      </c>
      <c r="M746" s="3" t="s">
        <v>10017</v>
      </c>
      <c r="N746" s="3" t="str">
        <f>HYPERLINK("http://ictvonline.org/taxonomyHistory.asp?taxnode_id=20160529","ICTVonline=20160529")</f>
        <v>ICTVonline=20160529</v>
      </c>
    </row>
    <row r="747" spans="1:14" x14ac:dyDescent="0.15">
      <c r="A747" s="3">
        <v>746</v>
      </c>
      <c r="B747" s="1" t="s">
        <v>1366</v>
      </c>
      <c r="C747" s="1" t="s">
        <v>920</v>
      </c>
      <c r="E747" s="1" t="s">
        <v>3918</v>
      </c>
      <c r="F747" s="1" t="s">
        <v>3923</v>
      </c>
      <c r="G747" s="3">
        <v>0</v>
      </c>
      <c r="H747" s="20" t="s">
        <v>2949</v>
      </c>
      <c r="J747" s="20" t="s">
        <v>2860</v>
      </c>
      <c r="K747" s="20" t="s">
        <v>10014</v>
      </c>
      <c r="L747" s="3">
        <v>30</v>
      </c>
      <c r="M747" s="3" t="s">
        <v>10017</v>
      </c>
      <c r="N747" s="3" t="str">
        <f>HYPERLINK("http://ictvonline.org/taxonomyHistory.asp?taxnode_id=20160530","ICTVonline=20160530")</f>
        <v>ICTVonline=20160530</v>
      </c>
    </row>
    <row r="748" spans="1:14" x14ac:dyDescent="0.15">
      <c r="A748" s="3">
        <v>747</v>
      </c>
      <c r="B748" s="1" t="s">
        <v>1366</v>
      </c>
      <c r="C748" s="1" t="s">
        <v>920</v>
      </c>
      <c r="E748" s="1" t="s">
        <v>3918</v>
      </c>
      <c r="F748" s="1" t="s">
        <v>3924</v>
      </c>
      <c r="G748" s="3">
        <v>0</v>
      </c>
      <c r="H748" s="20" t="s">
        <v>2950</v>
      </c>
      <c r="J748" s="20" t="s">
        <v>2860</v>
      </c>
      <c r="K748" s="20" t="s">
        <v>10014</v>
      </c>
      <c r="L748" s="3">
        <v>30</v>
      </c>
      <c r="M748" s="3" t="s">
        <v>10017</v>
      </c>
      <c r="N748" s="3" t="str">
        <f>HYPERLINK("http://ictvonline.org/taxonomyHistory.asp?taxnode_id=20160531","ICTVonline=20160531")</f>
        <v>ICTVonline=20160531</v>
      </c>
    </row>
    <row r="749" spans="1:14" x14ac:dyDescent="0.15">
      <c r="A749" s="3">
        <v>748</v>
      </c>
      <c r="B749" s="1" t="s">
        <v>1366</v>
      </c>
      <c r="C749" s="1" t="s">
        <v>920</v>
      </c>
      <c r="E749" s="1" t="s">
        <v>3918</v>
      </c>
      <c r="F749" s="1" t="s">
        <v>3925</v>
      </c>
      <c r="G749" s="3">
        <v>0</v>
      </c>
      <c r="H749" s="20" t="s">
        <v>2951</v>
      </c>
      <c r="J749" s="20" t="s">
        <v>2860</v>
      </c>
      <c r="K749" s="20" t="s">
        <v>10014</v>
      </c>
      <c r="L749" s="3">
        <v>30</v>
      </c>
      <c r="M749" s="3" t="s">
        <v>10017</v>
      </c>
      <c r="N749" s="3" t="str">
        <f>HYPERLINK("http://ictvonline.org/taxonomyHistory.asp?taxnode_id=20160532","ICTVonline=20160532")</f>
        <v>ICTVonline=20160532</v>
      </c>
    </row>
    <row r="750" spans="1:14" x14ac:dyDescent="0.15">
      <c r="A750" s="3">
        <v>749</v>
      </c>
      <c r="B750" s="1" t="s">
        <v>1366</v>
      </c>
      <c r="C750" s="1" t="s">
        <v>920</v>
      </c>
      <c r="E750" s="1" t="s">
        <v>3918</v>
      </c>
      <c r="F750" s="1" t="s">
        <v>3926</v>
      </c>
      <c r="G750" s="3">
        <v>0</v>
      </c>
      <c r="H750" s="20" t="s">
        <v>2952</v>
      </c>
      <c r="J750" s="20" t="s">
        <v>2860</v>
      </c>
      <c r="K750" s="20" t="s">
        <v>10014</v>
      </c>
      <c r="L750" s="3">
        <v>30</v>
      </c>
      <c r="M750" s="3" t="s">
        <v>10017</v>
      </c>
      <c r="N750" s="3" t="str">
        <f>HYPERLINK("http://ictvonline.org/taxonomyHistory.asp?taxnode_id=20160533","ICTVonline=20160533")</f>
        <v>ICTVonline=20160533</v>
      </c>
    </row>
    <row r="751" spans="1:14" x14ac:dyDescent="0.15">
      <c r="A751" s="3">
        <v>750</v>
      </c>
      <c r="B751" s="1" t="s">
        <v>1366</v>
      </c>
      <c r="C751" s="1" t="s">
        <v>920</v>
      </c>
      <c r="E751" s="1" t="s">
        <v>3927</v>
      </c>
      <c r="F751" s="1" t="s">
        <v>3928</v>
      </c>
      <c r="G751" s="3">
        <v>1</v>
      </c>
      <c r="H751" s="20" t="s">
        <v>2953</v>
      </c>
      <c r="J751" s="20" t="s">
        <v>2860</v>
      </c>
      <c r="K751" s="20" t="s">
        <v>10014</v>
      </c>
      <c r="L751" s="3">
        <v>30</v>
      </c>
      <c r="M751" s="3" t="s">
        <v>10017</v>
      </c>
      <c r="N751" s="3" t="str">
        <f>HYPERLINK("http://ictvonline.org/taxonomyHistory.asp?taxnode_id=20160535","ICTVonline=20160535")</f>
        <v>ICTVonline=20160535</v>
      </c>
    </row>
    <row r="752" spans="1:14" x14ac:dyDescent="0.15">
      <c r="A752" s="3">
        <v>751</v>
      </c>
      <c r="B752" s="1" t="s">
        <v>1366</v>
      </c>
      <c r="C752" s="1" t="s">
        <v>920</v>
      </c>
      <c r="E752" s="1" t="s">
        <v>3927</v>
      </c>
      <c r="F752" s="1" t="s">
        <v>3929</v>
      </c>
      <c r="G752" s="3">
        <v>0</v>
      </c>
      <c r="H752" s="20" t="s">
        <v>2954</v>
      </c>
      <c r="J752" s="20" t="s">
        <v>2860</v>
      </c>
      <c r="K752" s="20" t="s">
        <v>10014</v>
      </c>
      <c r="L752" s="3">
        <v>30</v>
      </c>
      <c r="M752" s="3" t="s">
        <v>10017</v>
      </c>
      <c r="N752" s="3" t="str">
        <f>HYPERLINK("http://ictvonline.org/taxonomyHistory.asp?taxnode_id=20160536","ICTVonline=20160536")</f>
        <v>ICTVonline=20160536</v>
      </c>
    </row>
    <row r="753" spans="1:14" x14ac:dyDescent="0.15">
      <c r="A753" s="3">
        <v>752</v>
      </c>
      <c r="B753" s="1" t="s">
        <v>1366</v>
      </c>
      <c r="C753" s="1" t="s">
        <v>920</v>
      </c>
      <c r="E753" s="1" t="s">
        <v>8292</v>
      </c>
      <c r="F753" s="1" t="s">
        <v>8293</v>
      </c>
      <c r="G753" s="3">
        <v>1</v>
      </c>
      <c r="H753" s="20" t="s">
        <v>8294</v>
      </c>
      <c r="I753" s="20" t="s">
        <v>8295</v>
      </c>
      <c r="J753" s="20" t="s">
        <v>2860</v>
      </c>
      <c r="K753" s="20" t="s">
        <v>10013</v>
      </c>
      <c r="L753" s="3">
        <v>31</v>
      </c>
      <c r="M753" s="3" t="s">
        <v>8296</v>
      </c>
      <c r="N753" s="3" t="str">
        <f>HYPERLINK("http://ictvonline.org/taxonomyHistory.asp?taxnode_id=20164983","ICTVonline=20164983")</f>
        <v>ICTVonline=20164983</v>
      </c>
    </row>
    <row r="754" spans="1:14" x14ac:dyDescent="0.15">
      <c r="A754" s="3">
        <v>753</v>
      </c>
      <c r="B754" s="1" t="s">
        <v>1366</v>
      </c>
      <c r="C754" s="1" t="s">
        <v>920</v>
      </c>
      <c r="E754" s="1" t="s">
        <v>8297</v>
      </c>
      <c r="F754" s="1" t="s">
        <v>8298</v>
      </c>
      <c r="G754" s="3">
        <v>1</v>
      </c>
      <c r="H754" s="20" t="s">
        <v>8299</v>
      </c>
      <c r="I754" s="20" t="s">
        <v>8300</v>
      </c>
      <c r="J754" s="20" t="s">
        <v>2860</v>
      </c>
      <c r="K754" s="20" t="s">
        <v>10013</v>
      </c>
      <c r="L754" s="3">
        <v>31</v>
      </c>
      <c r="M754" s="3" t="s">
        <v>8301</v>
      </c>
      <c r="N754" s="3" t="str">
        <f>HYPERLINK("http://ictvonline.org/taxonomyHistory.asp?taxnode_id=20164984","ICTVonline=20164984")</f>
        <v>ICTVonline=20164984</v>
      </c>
    </row>
    <row r="755" spans="1:14" x14ac:dyDescent="0.15">
      <c r="A755" s="3">
        <v>754</v>
      </c>
      <c r="B755" s="1" t="s">
        <v>1366</v>
      </c>
      <c r="C755" s="1" t="s">
        <v>920</v>
      </c>
      <c r="E755" s="1" t="s">
        <v>8297</v>
      </c>
      <c r="F755" s="1" t="s">
        <v>8302</v>
      </c>
      <c r="G755" s="3">
        <v>0</v>
      </c>
      <c r="H755" s="20" t="s">
        <v>8303</v>
      </c>
      <c r="I755" s="20" t="s">
        <v>8304</v>
      </c>
      <c r="J755" s="20" t="s">
        <v>2860</v>
      </c>
      <c r="K755" s="20" t="s">
        <v>10013</v>
      </c>
      <c r="L755" s="3">
        <v>31</v>
      </c>
      <c r="M755" s="3" t="s">
        <v>8301</v>
      </c>
      <c r="N755" s="3" t="str">
        <f>HYPERLINK("http://ictvonline.org/taxonomyHistory.asp?taxnode_id=20164985","ICTVonline=20164985")</f>
        <v>ICTVonline=20164985</v>
      </c>
    </row>
    <row r="756" spans="1:14" x14ac:dyDescent="0.15">
      <c r="A756" s="3">
        <v>755</v>
      </c>
      <c r="B756" s="1" t="s">
        <v>1366</v>
      </c>
      <c r="C756" s="1" t="s">
        <v>920</v>
      </c>
      <c r="E756" s="1" t="s">
        <v>8297</v>
      </c>
      <c r="F756" s="1" t="s">
        <v>8305</v>
      </c>
      <c r="G756" s="3">
        <v>0</v>
      </c>
      <c r="H756" s="20" t="s">
        <v>8306</v>
      </c>
      <c r="I756" s="20" t="s">
        <v>8307</v>
      </c>
      <c r="J756" s="20" t="s">
        <v>2860</v>
      </c>
      <c r="K756" s="20" t="s">
        <v>10013</v>
      </c>
      <c r="L756" s="3">
        <v>31</v>
      </c>
      <c r="M756" s="3" t="s">
        <v>8301</v>
      </c>
      <c r="N756" s="3" t="str">
        <f>HYPERLINK("http://ictvonline.org/taxonomyHistory.asp?taxnode_id=20164986","ICTVonline=20164986")</f>
        <v>ICTVonline=20164986</v>
      </c>
    </row>
    <row r="757" spans="1:14" x14ac:dyDescent="0.15">
      <c r="A757" s="3">
        <v>756</v>
      </c>
      <c r="B757" s="1" t="s">
        <v>1366</v>
      </c>
      <c r="C757" s="1" t="s">
        <v>920</v>
      </c>
      <c r="E757" s="1" t="s">
        <v>3930</v>
      </c>
      <c r="F757" s="1" t="s">
        <v>3931</v>
      </c>
      <c r="G757" s="3">
        <v>0</v>
      </c>
      <c r="H757" s="20" t="s">
        <v>3058</v>
      </c>
      <c r="J757" s="20" t="s">
        <v>2860</v>
      </c>
      <c r="K757" s="20" t="s">
        <v>10014</v>
      </c>
      <c r="L757" s="3">
        <v>30</v>
      </c>
      <c r="M757" s="3" t="s">
        <v>10017</v>
      </c>
      <c r="N757" s="3" t="str">
        <f>HYPERLINK("http://ictvonline.org/taxonomyHistory.asp?taxnode_id=20160538","ICTVonline=20160538")</f>
        <v>ICTVonline=20160538</v>
      </c>
    </row>
    <row r="758" spans="1:14" x14ac:dyDescent="0.15">
      <c r="A758" s="3">
        <v>757</v>
      </c>
      <c r="B758" s="1" t="s">
        <v>1366</v>
      </c>
      <c r="C758" s="1" t="s">
        <v>920</v>
      </c>
      <c r="E758" s="1" t="s">
        <v>3930</v>
      </c>
      <c r="F758" s="1" t="s">
        <v>3932</v>
      </c>
      <c r="G758" s="3">
        <v>0</v>
      </c>
      <c r="H758" s="20" t="s">
        <v>3059</v>
      </c>
      <c r="J758" s="20" t="s">
        <v>2860</v>
      </c>
      <c r="K758" s="20" t="s">
        <v>10014</v>
      </c>
      <c r="L758" s="3">
        <v>30</v>
      </c>
      <c r="M758" s="3" t="s">
        <v>10017</v>
      </c>
      <c r="N758" s="3" t="str">
        <f>HYPERLINK("http://ictvonline.org/taxonomyHistory.asp?taxnode_id=20160539","ICTVonline=20160539")</f>
        <v>ICTVonline=20160539</v>
      </c>
    </row>
    <row r="759" spans="1:14" x14ac:dyDescent="0.15">
      <c r="A759" s="3">
        <v>758</v>
      </c>
      <c r="B759" s="1" t="s">
        <v>1366</v>
      </c>
      <c r="C759" s="1" t="s">
        <v>920</v>
      </c>
      <c r="E759" s="1" t="s">
        <v>3930</v>
      </c>
      <c r="F759" s="1" t="s">
        <v>3933</v>
      </c>
      <c r="G759" s="3">
        <v>1</v>
      </c>
      <c r="H759" s="20" t="s">
        <v>3060</v>
      </c>
      <c r="J759" s="20" t="s">
        <v>2860</v>
      </c>
      <c r="K759" s="20" t="s">
        <v>10014</v>
      </c>
      <c r="L759" s="3">
        <v>30</v>
      </c>
      <c r="M759" s="3" t="s">
        <v>10017</v>
      </c>
      <c r="N759" s="3" t="str">
        <f>HYPERLINK("http://ictvonline.org/taxonomyHistory.asp?taxnode_id=20160540","ICTVonline=20160540")</f>
        <v>ICTVonline=20160540</v>
      </c>
    </row>
    <row r="760" spans="1:14" x14ac:dyDescent="0.15">
      <c r="A760" s="3">
        <v>759</v>
      </c>
      <c r="B760" s="1" t="s">
        <v>1366</v>
      </c>
      <c r="C760" s="1" t="s">
        <v>920</v>
      </c>
      <c r="E760" s="1" t="s">
        <v>8308</v>
      </c>
      <c r="F760" s="1" t="s">
        <v>8309</v>
      </c>
      <c r="G760" s="3">
        <v>1</v>
      </c>
      <c r="H760" s="20" t="s">
        <v>8310</v>
      </c>
      <c r="I760" s="20" t="s">
        <v>8311</v>
      </c>
      <c r="J760" s="20" t="s">
        <v>2860</v>
      </c>
      <c r="K760" s="20" t="s">
        <v>10013</v>
      </c>
      <c r="L760" s="3">
        <v>31</v>
      </c>
      <c r="M760" s="3" t="s">
        <v>8312</v>
      </c>
      <c r="N760" s="3" t="str">
        <f>HYPERLINK("http://ictvonline.org/taxonomyHistory.asp?taxnode_id=20164987","ICTVonline=20164987")</f>
        <v>ICTVonline=20164987</v>
      </c>
    </row>
    <row r="761" spans="1:14" x14ac:dyDescent="0.15">
      <c r="A761" s="3">
        <v>760</v>
      </c>
      <c r="B761" s="1" t="s">
        <v>1366</v>
      </c>
      <c r="C761" s="1" t="s">
        <v>920</v>
      </c>
      <c r="E761" s="1" t="s">
        <v>3660</v>
      </c>
      <c r="F761" s="1" t="s">
        <v>3661</v>
      </c>
      <c r="G761" s="3">
        <v>1</v>
      </c>
      <c r="H761" s="20" t="s">
        <v>6665</v>
      </c>
      <c r="I761" s="20" t="s">
        <v>3662</v>
      </c>
      <c r="J761" s="20" t="s">
        <v>2860</v>
      </c>
      <c r="K761" s="20" t="s">
        <v>10013</v>
      </c>
      <c r="L761" s="3">
        <v>30</v>
      </c>
      <c r="M761" s="3" t="s">
        <v>10058</v>
      </c>
      <c r="N761" s="3" t="str">
        <f>HYPERLINK("http://ictvonline.org/taxonomyHistory.asp?taxnode_id=20160542","ICTVonline=20160542")</f>
        <v>ICTVonline=20160542</v>
      </c>
    </row>
    <row r="762" spans="1:14" x14ac:dyDescent="0.15">
      <c r="A762" s="3">
        <v>761</v>
      </c>
      <c r="B762" s="1" t="s">
        <v>1366</v>
      </c>
      <c r="C762" s="1" t="s">
        <v>920</v>
      </c>
      <c r="E762" s="1" t="s">
        <v>3660</v>
      </c>
      <c r="F762" s="1" t="s">
        <v>3663</v>
      </c>
      <c r="G762" s="3">
        <v>0</v>
      </c>
      <c r="H762" s="20" t="s">
        <v>6666</v>
      </c>
      <c r="I762" s="20" t="s">
        <v>3663</v>
      </c>
      <c r="J762" s="20" t="s">
        <v>2860</v>
      </c>
      <c r="K762" s="20" t="s">
        <v>10013</v>
      </c>
      <c r="L762" s="3">
        <v>30</v>
      </c>
      <c r="M762" s="3" t="s">
        <v>10058</v>
      </c>
      <c r="N762" s="3" t="str">
        <f>HYPERLINK("http://ictvonline.org/taxonomyHistory.asp?taxnode_id=20160543","ICTVonline=20160543")</f>
        <v>ICTVonline=20160543</v>
      </c>
    </row>
    <row r="763" spans="1:14" x14ac:dyDescent="0.15">
      <c r="A763" s="3">
        <v>762</v>
      </c>
      <c r="B763" s="1" t="s">
        <v>1366</v>
      </c>
      <c r="C763" s="1" t="s">
        <v>920</v>
      </c>
      <c r="E763" s="1" t="s">
        <v>8313</v>
      </c>
      <c r="F763" s="1" t="s">
        <v>8314</v>
      </c>
      <c r="G763" s="3">
        <v>1</v>
      </c>
      <c r="H763" s="20" t="s">
        <v>8315</v>
      </c>
      <c r="I763" s="20" t="s">
        <v>8314</v>
      </c>
      <c r="J763" s="20" t="s">
        <v>2860</v>
      </c>
      <c r="K763" s="20" t="s">
        <v>10013</v>
      </c>
      <c r="L763" s="3">
        <v>31</v>
      </c>
      <c r="M763" s="3" t="s">
        <v>8316</v>
      </c>
      <c r="N763" s="3" t="str">
        <f>HYPERLINK("http://ictvonline.org/taxonomyHistory.asp?taxnode_id=20164988","ICTVonline=20164988")</f>
        <v>ICTVonline=20164988</v>
      </c>
    </row>
    <row r="764" spans="1:14" x14ac:dyDescent="0.15">
      <c r="A764" s="3">
        <v>763</v>
      </c>
      <c r="B764" s="1" t="s">
        <v>1366</v>
      </c>
      <c r="C764" s="1" t="s">
        <v>920</v>
      </c>
      <c r="E764" s="1" t="s">
        <v>8317</v>
      </c>
      <c r="F764" s="1" t="s">
        <v>8318</v>
      </c>
      <c r="G764" s="3">
        <v>1</v>
      </c>
      <c r="H764" s="20" t="s">
        <v>8319</v>
      </c>
      <c r="I764" s="20" t="s">
        <v>8318</v>
      </c>
      <c r="J764" s="20" t="s">
        <v>2860</v>
      </c>
      <c r="K764" s="20" t="s">
        <v>10013</v>
      </c>
      <c r="L764" s="3">
        <v>31</v>
      </c>
      <c r="M764" s="3" t="s">
        <v>8320</v>
      </c>
      <c r="N764" s="3" t="str">
        <f>HYPERLINK("http://ictvonline.org/taxonomyHistory.asp?taxnode_id=20164989","ICTVonline=20164989")</f>
        <v>ICTVonline=20164989</v>
      </c>
    </row>
    <row r="765" spans="1:14" x14ac:dyDescent="0.15">
      <c r="A765" s="3">
        <v>764</v>
      </c>
      <c r="B765" s="1" t="s">
        <v>1366</v>
      </c>
      <c r="C765" s="1" t="s">
        <v>920</v>
      </c>
      <c r="E765" s="1" t="s">
        <v>8321</v>
      </c>
      <c r="F765" s="1" t="s">
        <v>8322</v>
      </c>
      <c r="G765" s="3">
        <v>0</v>
      </c>
      <c r="H765" s="20" t="s">
        <v>8323</v>
      </c>
      <c r="I765" s="20" t="s">
        <v>8324</v>
      </c>
      <c r="J765" s="20" t="s">
        <v>2860</v>
      </c>
      <c r="K765" s="20" t="s">
        <v>10013</v>
      </c>
      <c r="L765" s="3">
        <v>31</v>
      </c>
      <c r="M765" s="3" t="s">
        <v>8325</v>
      </c>
      <c r="N765" s="3" t="str">
        <f>HYPERLINK("http://ictvonline.org/taxonomyHistory.asp?taxnode_id=20164990","ICTVonline=20164990")</f>
        <v>ICTVonline=20164990</v>
      </c>
    </row>
    <row r="766" spans="1:14" x14ac:dyDescent="0.15">
      <c r="A766" s="3">
        <v>765</v>
      </c>
      <c r="B766" s="1" t="s">
        <v>1366</v>
      </c>
      <c r="C766" s="1" t="s">
        <v>920</v>
      </c>
      <c r="E766" s="1" t="s">
        <v>8321</v>
      </c>
      <c r="F766" s="1" t="s">
        <v>8326</v>
      </c>
      <c r="G766" s="3">
        <v>1</v>
      </c>
      <c r="H766" s="20" t="s">
        <v>8327</v>
      </c>
      <c r="I766" s="20" t="s">
        <v>8328</v>
      </c>
      <c r="J766" s="20" t="s">
        <v>2860</v>
      </c>
      <c r="K766" s="20" t="s">
        <v>10013</v>
      </c>
      <c r="L766" s="3">
        <v>31</v>
      </c>
      <c r="M766" s="3" t="s">
        <v>8325</v>
      </c>
      <c r="N766" s="3" t="str">
        <f>HYPERLINK("http://ictvonline.org/taxonomyHistory.asp?taxnode_id=20164991","ICTVonline=20164991")</f>
        <v>ICTVonline=20164991</v>
      </c>
    </row>
    <row r="767" spans="1:14" x14ac:dyDescent="0.15">
      <c r="A767" s="3">
        <v>766</v>
      </c>
      <c r="B767" s="1" t="s">
        <v>1366</v>
      </c>
      <c r="C767" s="1" t="s">
        <v>920</v>
      </c>
      <c r="E767" s="1" t="s">
        <v>8329</v>
      </c>
      <c r="F767" s="1" t="s">
        <v>8330</v>
      </c>
      <c r="G767" s="3">
        <v>1</v>
      </c>
      <c r="H767" s="20" t="s">
        <v>8331</v>
      </c>
      <c r="I767" s="20" t="s">
        <v>8332</v>
      </c>
      <c r="J767" s="20" t="s">
        <v>2860</v>
      </c>
      <c r="K767" s="20" t="s">
        <v>10013</v>
      </c>
      <c r="L767" s="3">
        <v>31</v>
      </c>
      <c r="M767" s="3" t="s">
        <v>8333</v>
      </c>
      <c r="N767" s="3" t="str">
        <f>HYPERLINK("http://ictvonline.org/taxonomyHistory.asp?taxnode_id=20164992","ICTVonline=20164992")</f>
        <v>ICTVonline=20164992</v>
      </c>
    </row>
    <row r="768" spans="1:14" x14ac:dyDescent="0.15">
      <c r="A768" s="3">
        <v>767</v>
      </c>
      <c r="B768" s="1" t="s">
        <v>1366</v>
      </c>
      <c r="C768" s="1" t="s">
        <v>920</v>
      </c>
      <c r="E768" s="1" t="s">
        <v>8334</v>
      </c>
      <c r="F768" s="1" t="s">
        <v>8335</v>
      </c>
      <c r="G768" s="3">
        <v>1</v>
      </c>
      <c r="H768" s="20" t="s">
        <v>8336</v>
      </c>
      <c r="I768" s="20" t="s">
        <v>8337</v>
      </c>
      <c r="J768" s="20" t="s">
        <v>2860</v>
      </c>
      <c r="K768" s="20" t="s">
        <v>10013</v>
      </c>
      <c r="L768" s="3">
        <v>31</v>
      </c>
      <c r="M768" s="3" t="s">
        <v>8338</v>
      </c>
      <c r="N768" s="3" t="str">
        <f>HYPERLINK("http://ictvonline.org/taxonomyHistory.asp?taxnode_id=20164993","ICTVonline=20164993")</f>
        <v>ICTVonline=20164993</v>
      </c>
    </row>
    <row r="769" spans="1:14" x14ac:dyDescent="0.15">
      <c r="A769" s="3">
        <v>768</v>
      </c>
      <c r="B769" s="1" t="s">
        <v>1366</v>
      </c>
      <c r="C769" s="1" t="s">
        <v>920</v>
      </c>
      <c r="E769" s="1" t="s">
        <v>3934</v>
      </c>
      <c r="F769" s="1" t="s">
        <v>8339</v>
      </c>
      <c r="G769" s="3">
        <v>0</v>
      </c>
      <c r="H769" s="20" t="s">
        <v>8340</v>
      </c>
      <c r="I769" s="20" t="s">
        <v>8341</v>
      </c>
      <c r="J769" s="20" t="s">
        <v>2860</v>
      </c>
      <c r="K769" s="20" t="s">
        <v>10013</v>
      </c>
      <c r="L769" s="3">
        <v>31</v>
      </c>
      <c r="M769" s="3" t="s">
        <v>7480</v>
      </c>
      <c r="N769" s="3" t="str">
        <f>HYPERLINK("http://ictvonline.org/taxonomyHistory.asp?taxnode_id=20164994","ICTVonline=20164994")</f>
        <v>ICTVonline=20164994</v>
      </c>
    </row>
    <row r="770" spans="1:14" x14ac:dyDescent="0.15">
      <c r="A770" s="3">
        <v>769</v>
      </c>
      <c r="B770" s="1" t="s">
        <v>1366</v>
      </c>
      <c r="C770" s="1" t="s">
        <v>920</v>
      </c>
      <c r="E770" s="1" t="s">
        <v>3934</v>
      </c>
      <c r="F770" s="1" t="s">
        <v>3935</v>
      </c>
      <c r="G770" s="3">
        <v>1</v>
      </c>
      <c r="H770" s="20" t="s">
        <v>2959</v>
      </c>
      <c r="J770" s="20" t="s">
        <v>2860</v>
      </c>
      <c r="K770" s="20" t="s">
        <v>10014</v>
      </c>
      <c r="L770" s="3">
        <v>30</v>
      </c>
      <c r="M770" s="3" t="s">
        <v>10017</v>
      </c>
      <c r="N770" s="3" t="str">
        <f>HYPERLINK("http://ictvonline.org/taxonomyHistory.asp?taxnode_id=20160545","ICTVonline=20160545")</f>
        <v>ICTVonline=20160545</v>
      </c>
    </row>
    <row r="771" spans="1:14" x14ac:dyDescent="0.15">
      <c r="A771" s="3">
        <v>770</v>
      </c>
      <c r="B771" s="1" t="s">
        <v>1366</v>
      </c>
      <c r="C771" s="1" t="s">
        <v>920</v>
      </c>
      <c r="E771" s="1" t="s">
        <v>3934</v>
      </c>
      <c r="F771" s="1" t="s">
        <v>3936</v>
      </c>
      <c r="G771" s="3">
        <v>0</v>
      </c>
      <c r="H771" s="20" t="s">
        <v>2957</v>
      </c>
      <c r="J771" s="20" t="s">
        <v>2860</v>
      </c>
      <c r="K771" s="20" t="s">
        <v>10014</v>
      </c>
      <c r="L771" s="3">
        <v>30</v>
      </c>
      <c r="M771" s="3" t="s">
        <v>10017</v>
      </c>
      <c r="N771" s="3" t="str">
        <f>HYPERLINK("http://ictvonline.org/taxonomyHistory.asp?taxnode_id=20160546","ICTVonline=20160546")</f>
        <v>ICTVonline=20160546</v>
      </c>
    </row>
    <row r="772" spans="1:14" x14ac:dyDescent="0.15">
      <c r="A772" s="3">
        <v>771</v>
      </c>
      <c r="B772" s="1" t="s">
        <v>1366</v>
      </c>
      <c r="C772" s="1" t="s">
        <v>920</v>
      </c>
      <c r="E772" s="1" t="s">
        <v>3934</v>
      </c>
      <c r="F772" s="1" t="s">
        <v>3937</v>
      </c>
      <c r="G772" s="3">
        <v>0</v>
      </c>
      <c r="H772" s="20" t="s">
        <v>2958</v>
      </c>
      <c r="J772" s="20" t="s">
        <v>2860</v>
      </c>
      <c r="K772" s="20" t="s">
        <v>10014</v>
      </c>
      <c r="L772" s="3">
        <v>30</v>
      </c>
      <c r="M772" s="3" t="s">
        <v>10017</v>
      </c>
      <c r="N772" s="3" t="str">
        <f>HYPERLINK("http://ictvonline.org/taxonomyHistory.asp?taxnode_id=20160547","ICTVonline=20160547")</f>
        <v>ICTVonline=20160547</v>
      </c>
    </row>
    <row r="773" spans="1:14" x14ac:dyDescent="0.15">
      <c r="A773" s="3">
        <v>772</v>
      </c>
      <c r="B773" s="1" t="s">
        <v>1366</v>
      </c>
      <c r="C773" s="1" t="s">
        <v>920</v>
      </c>
      <c r="E773" s="1" t="s">
        <v>3934</v>
      </c>
      <c r="F773" s="1" t="s">
        <v>8342</v>
      </c>
      <c r="G773" s="3">
        <v>0</v>
      </c>
      <c r="H773" s="20" t="s">
        <v>8343</v>
      </c>
      <c r="I773" s="20" t="s">
        <v>8344</v>
      </c>
      <c r="J773" s="20" t="s">
        <v>2860</v>
      </c>
      <c r="K773" s="20" t="s">
        <v>10013</v>
      </c>
      <c r="L773" s="3">
        <v>31</v>
      </c>
      <c r="M773" s="3" t="s">
        <v>7480</v>
      </c>
      <c r="N773" s="3" t="str">
        <f>HYPERLINK("http://ictvonline.org/taxonomyHistory.asp?taxnode_id=20164995","ICTVonline=20164995")</f>
        <v>ICTVonline=20164995</v>
      </c>
    </row>
    <row r="774" spans="1:14" x14ac:dyDescent="0.15">
      <c r="A774" s="3">
        <v>773</v>
      </c>
      <c r="B774" s="1" t="s">
        <v>1366</v>
      </c>
      <c r="C774" s="1" t="s">
        <v>920</v>
      </c>
      <c r="E774" s="1" t="s">
        <v>3934</v>
      </c>
      <c r="F774" s="1" t="s">
        <v>3938</v>
      </c>
      <c r="G774" s="3">
        <v>0</v>
      </c>
      <c r="H774" s="20" t="s">
        <v>2960</v>
      </c>
      <c r="J774" s="20" t="s">
        <v>2860</v>
      </c>
      <c r="K774" s="20" t="s">
        <v>10014</v>
      </c>
      <c r="L774" s="3">
        <v>30</v>
      </c>
      <c r="M774" s="3" t="s">
        <v>10017</v>
      </c>
      <c r="N774" s="3" t="str">
        <f>HYPERLINK("http://ictvonline.org/taxonomyHistory.asp?taxnode_id=20160548","ICTVonline=20160548")</f>
        <v>ICTVonline=20160548</v>
      </c>
    </row>
    <row r="775" spans="1:14" x14ac:dyDescent="0.15">
      <c r="A775" s="3">
        <v>774</v>
      </c>
      <c r="B775" s="1" t="s">
        <v>1366</v>
      </c>
      <c r="C775" s="1" t="s">
        <v>920</v>
      </c>
      <c r="E775" s="1" t="s">
        <v>3934</v>
      </c>
      <c r="F775" s="1" t="s">
        <v>3939</v>
      </c>
      <c r="G775" s="3">
        <v>0</v>
      </c>
      <c r="H775" s="20" t="s">
        <v>2961</v>
      </c>
      <c r="J775" s="20" t="s">
        <v>2860</v>
      </c>
      <c r="K775" s="20" t="s">
        <v>10014</v>
      </c>
      <c r="L775" s="3">
        <v>30</v>
      </c>
      <c r="M775" s="3" t="s">
        <v>10017</v>
      </c>
      <c r="N775" s="3" t="str">
        <f>HYPERLINK("http://ictvonline.org/taxonomyHistory.asp?taxnode_id=20160549","ICTVonline=20160549")</f>
        <v>ICTVonline=20160549</v>
      </c>
    </row>
    <row r="776" spans="1:14" x14ac:dyDescent="0.15">
      <c r="A776" s="3">
        <v>775</v>
      </c>
      <c r="B776" s="1" t="s">
        <v>1366</v>
      </c>
      <c r="C776" s="1" t="s">
        <v>920</v>
      </c>
      <c r="E776" s="1" t="s">
        <v>8345</v>
      </c>
      <c r="F776" s="1" t="s">
        <v>8346</v>
      </c>
      <c r="G776" s="3">
        <v>1</v>
      </c>
      <c r="H776" s="20" t="s">
        <v>8347</v>
      </c>
      <c r="I776" s="20" t="s">
        <v>8348</v>
      </c>
      <c r="J776" s="20" t="s">
        <v>2860</v>
      </c>
      <c r="K776" s="20" t="s">
        <v>10013</v>
      </c>
      <c r="L776" s="3">
        <v>31</v>
      </c>
      <c r="M776" s="3" t="s">
        <v>8349</v>
      </c>
      <c r="N776" s="3" t="str">
        <f>HYPERLINK("http://ictvonline.org/taxonomyHistory.asp?taxnode_id=20164996","ICTVonline=20164996")</f>
        <v>ICTVonline=20164996</v>
      </c>
    </row>
    <row r="777" spans="1:14" x14ac:dyDescent="0.15">
      <c r="A777" s="3">
        <v>776</v>
      </c>
      <c r="B777" s="1" t="s">
        <v>1366</v>
      </c>
      <c r="C777" s="1" t="s">
        <v>920</v>
      </c>
      <c r="E777" s="1" t="s">
        <v>8350</v>
      </c>
      <c r="F777" s="1" t="s">
        <v>8351</v>
      </c>
      <c r="G777" s="3">
        <v>0</v>
      </c>
      <c r="H777" s="20" t="s">
        <v>8352</v>
      </c>
      <c r="I777" s="20" t="s">
        <v>8353</v>
      </c>
      <c r="J777" s="20" t="s">
        <v>2860</v>
      </c>
      <c r="K777" s="20" t="s">
        <v>10013</v>
      </c>
      <c r="L777" s="3">
        <v>31</v>
      </c>
      <c r="M777" s="3" t="s">
        <v>8354</v>
      </c>
      <c r="N777" s="3" t="str">
        <f>HYPERLINK("http://ictvonline.org/taxonomyHistory.asp?taxnode_id=20164997","ICTVonline=20164997")</f>
        <v>ICTVonline=20164997</v>
      </c>
    </row>
    <row r="778" spans="1:14" x14ac:dyDescent="0.15">
      <c r="A778" s="3">
        <v>777</v>
      </c>
      <c r="B778" s="1" t="s">
        <v>1366</v>
      </c>
      <c r="C778" s="1" t="s">
        <v>920</v>
      </c>
      <c r="E778" s="1" t="s">
        <v>8350</v>
      </c>
      <c r="F778" s="1" t="s">
        <v>8355</v>
      </c>
      <c r="G778" s="3">
        <v>1</v>
      </c>
      <c r="H778" s="20" t="s">
        <v>8356</v>
      </c>
      <c r="I778" s="20" t="s">
        <v>8357</v>
      </c>
      <c r="J778" s="20" t="s">
        <v>2860</v>
      </c>
      <c r="K778" s="20" t="s">
        <v>10013</v>
      </c>
      <c r="L778" s="3">
        <v>31</v>
      </c>
      <c r="M778" s="3" t="s">
        <v>8354</v>
      </c>
      <c r="N778" s="3" t="str">
        <f>HYPERLINK("http://ictvonline.org/taxonomyHistory.asp?taxnode_id=20164998","ICTVonline=20164998")</f>
        <v>ICTVonline=20164998</v>
      </c>
    </row>
    <row r="779" spans="1:14" x14ac:dyDescent="0.15">
      <c r="A779" s="3">
        <v>778</v>
      </c>
      <c r="B779" s="1" t="s">
        <v>1366</v>
      </c>
      <c r="C779" s="1" t="s">
        <v>920</v>
      </c>
      <c r="E779" s="1" t="s">
        <v>8358</v>
      </c>
      <c r="F779" s="1" t="s">
        <v>8359</v>
      </c>
      <c r="G779" s="3">
        <v>1</v>
      </c>
      <c r="H779" s="20" t="s">
        <v>8360</v>
      </c>
      <c r="I779" s="20" t="s">
        <v>8361</v>
      </c>
      <c r="J779" s="20" t="s">
        <v>2860</v>
      </c>
      <c r="K779" s="20" t="s">
        <v>10013</v>
      </c>
      <c r="L779" s="3">
        <v>31</v>
      </c>
      <c r="M779" s="3" t="s">
        <v>8362</v>
      </c>
      <c r="N779" s="3" t="str">
        <f>HYPERLINK("http://ictvonline.org/taxonomyHistory.asp?taxnode_id=20164999","ICTVonline=20164999")</f>
        <v>ICTVonline=20164999</v>
      </c>
    </row>
    <row r="780" spans="1:14" x14ac:dyDescent="0.15">
      <c r="A780" s="3">
        <v>779</v>
      </c>
      <c r="B780" s="1" t="s">
        <v>1366</v>
      </c>
      <c r="C780" s="1" t="s">
        <v>920</v>
      </c>
      <c r="E780" s="1" t="s">
        <v>8358</v>
      </c>
      <c r="F780" s="1" t="s">
        <v>8363</v>
      </c>
      <c r="G780" s="3">
        <v>0</v>
      </c>
      <c r="H780" s="20" t="s">
        <v>8364</v>
      </c>
      <c r="I780" s="20" t="s">
        <v>8365</v>
      </c>
      <c r="J780" s="20" t="s">
        <v>2860</v>
      </c>
      <c r="K780" s="20" t="s">
        <v>10013</v>
      </c>
      <c r="L780" s="3">
        <v>31</v>
      </c>
      <c r="M780" s="3" t="s">
        <v>8362</v>
      </c>
      <c r="N780" s="3" t="str">
        <f>HYPERLINK("http://ictvonline.org/taxonomyHistory.asp?taxnode_id=20165000","ICTVonline=20165000")</f>
        <v>ICTVonline=20165000</v>
      </c>
    </row>
    <row r="781" spans="1:14" x14ac:dyDescent="0.15">
      <c r="A781" s="3">
        <v>780</v>
      </c>
      <c r="B781" s="1" t="s">
        <v>1366</v>
      </c>
      <c r="C781" s="1" t="s">
        <v>920</v>
      </c>
      <c r="E781" s="1" t="s">
        <v>8366</v>
      </c>
      <c r="F781" s="1" t="s">
        <v>8367</v>
      </c>
      <c r="G781" s="3">
        <v>0</v>
      </c>
      <c r="H781" s="20" t="s">
        <v>8368</v>
      </c>
      <c r="I781" s="20" t="s">
        <v>8369</v>
      </c>
      <c r="J781" s="20" t="s">
        <v>2860</v>
      </c>
      <c r="K781" s="20" t="s">
        <v>10013</v>
      </c>
      <c r="L781" s="3">
        <v>31</v>
      </c>
      <c r="M781" s="3" t="s">
        <v>8370</v>
      </c>
      <c r="N781" s="3" t="str">
        <f>HYPERLINK("http://ictvonline.org/taxonomyHistory.asp?taxnode_id=20165001","ICTVonline=20165001")</f>
        <v>ICTVonline=20165001</v>
      </c>
    </row>
    <row r="782" spans="1:14" x14ac:dyDescent="0.15">
      <c r="A782" s="3">
        <v>781</v>
      </c>
      <c r="B782" s="1" t="s">
        <v>1366</v>
      </c>
      <c r="C782" s="1" t="s">
        <v>920</v>
      </c>
      <c r="E782" s="1" t="s">
        <v>8366</v>
      </c>
      <c r="F782" s="1" t="s">
        <v>8371</v>
      </c>
      <c r="G782" s="3">
        <v>0</v>
      </c>
      <c r="H782" s="20" t="s">
        <v>8372</v>
      </c>
      <c r="I782" s="20" t="s">
        <v>8373</v>
      </c>
      <c r="J782" s="20" t="s">
        <v>2860</v>
      </c>
      <c r="K782" s="20" t="s">
        <v>10013</v>
      </c>
      <c r="L782" s="3">
        <v>31</v>
      </c>
      <c r="M782" s="3" t="s">
        <v>8370</v>
      </c>
      <c r="N782" s="3" t="str">
        <f>HYPERLINK("http://ictvonline.org/taxonomyHistory.asp?taxnode_id=20165002","ICTVonline=20165002")</f>
        <v>ICTVonline=20165002</v>
      </c>
    </row>
    <row r="783" spans="1:14" x14ac:dyDescent="0.15">
      <c r="A783" s="3">
        <v>782</v>
      </c>
      <c r="B783" s="1" t="s">
        <v>1366</v>
      </c>
      <c r="C783" s="1" t="s">
        <v>920</v>
      </c>
      <c r="E783" s="1" t="s">
        <v>8366</v>
      </c>
      <c r="F783" s="1" t="s">
        <v>8374</v>
      </c>
      <c r="G783" s="3">
        <v>0</v>
      </c>
      <c r="H783" s="20" t="s">
        <v>8375</v>
      </c>
      <c r="I783" s="20" t="s">
        <v>8376</v>
      </c>
      <c r="J783" s="20" t="s">
        <v>2860</v>
      </c>
      <c r="K783" s="20" t="s">
        <v>10013</v>
      </c>
      <c r="L783" s="3">
        <v>31</v>
      </c>
      <c r="M783" s="3" t="s">
        <v>8370</v>
      </c>
      <c r="N783" s="3" t="str">
        <f>HYPERLINK("http://ictvonline.org/taxonomyHistory.asp?taxnode_id=20165003","ICTVonline=20165003")</f>
        <v>ICTVonline=20165003</v>
      </c>
    </row>
    <row r="784" spans="1:14" x14ac:dyDescent="0.15">
      <c r="A784" s="3">
        <v>783</v>
      </c>
      <c r="B784" s="1" t="s">
        <v>1366</v>
      </c>
      <c r="C784" s="1" t="s">
        <v>920</v>
      </c>
      <c r="E784" s="1" t="s">
        <v>8366</v>
      </c>
      <c r="F784" s="1" t="s">
        <v>8377</v>
      </c>
      <c r="G784" s="3">
        <v>0</v>
      </c>
      <c r="H784" s="20" t="s">
        <v>8378</v>
      </c>
      <c r="I784" s="20" t="s">
        <v>8379</v>
      </c>
      <c r="J784" s="20" t="s">
        <v>2860</v>
      </c>
      <c r="K784" s="20" t="s">
        <v>10013</v>
      </c>
      <c r="L784" s="3">
        <v>31</v>
      </c>
      <c r="M784" s="3" t="s">
        <v>8370</v>
      </c>
      <c r="N784" s="3" t="str">
        <f>HYPERLINK("http://ictvonline.org/taxonomyHistory.asp?taxnode_id=20165004","ICTVonline=20165004")</f>
        <v>ICTVonline=20165004</v>
      </c>
    </row>
    <row r="785" spans="1:14" x14ac:dyDescent="0.15">
      <c r="A785" s="3">
        <v>784</v>
      </c>
      <c r="B785" s="1" t="s">
        <v>1366</v>
      </c>
      <c r="C785" s="1" t="s">
        <v>920</v>
      </c>
      <c r="E785" s="1" t="s">
        <v>8366</v>
      </c>
      <c r="F785" s="1" t="s">
        <v>8380</v>
      </c>
      <c r="G785" s="3">
        <v>0</v>
      </c>
      <c r="H785" s="20" t="s">
        <v>8381</v>
      </c>
      <c r="I785" s="20" t="s">
        <v>8382</v>
      </c>
      <c r="J785" s="20" t="s">
        <v>2860</v>
      </c>
      <c r="K785" s="20" t="s">
        <v>10013</v>
      </c>
      <c r="L785" s="3">
        <v>31</v>
      </c>
      <c r="M785" s="3" t="s">
        <v>8370</v>
      </c>
      <c r="N785" s="3" t="str">
        <f>HYPERLINK("http://ictvonline.org/taxonomyHistory.asp?taxnode_id=20165005","ICTVonline=20165005")</f>
        <v>ICTVonline=20165005</v>
      </c>
    </row>
    <row r="786" spans="1:14" x14ac:dyDescent="0.15">
      <c r="A786" s="3">
        <v>785</v>
      </c>
      <c r="B786" s="1" t="s">
        <v>1366</v>
      </c>
      <c r="C786" s="1" t="s">
        <v>920</v>
      </c>
      <c r="E786" s="1" t="s">
        <v>8366</v>
      </c>
      <c r="F786" s="1" t="s">
        <v>8383</v>
      </c>
      <c r="G786" s="3">
        <v>1</v>
      </c>
      <c r="H786" s="20" t="s">
        <v>8384</v>
      </c>
      <c r="I786" s="20" t="s">
        <v>8385</v>
      </c>
      <c r="J786" s="20" t="s">
        <v>2860</v>
      </c>
      <c r="K786" s="20" t="s">
        <v>10013</v>
      </c>
      <c r="L786" s="3">
        <v>31</v>
      </c>
      <c r="M786" s="3" t="s">
        <v>8370</v>
      </c>
      <c r="N786" s="3" t="str">
        <f>HYPERLINK("http://ictvonline.org/taxonomyHistory.asp?taxnode_id=20165006","ICTVonline=20165006")</f>
        <v>ICTVonline=20165006</v>
      </c>
    </row>
    <row r="787" spans="1:14" x14ac:dyDescent="0.15">
      <c r="A787" s="3">
        <v>786</v>
      </c>
      <c r="B787" s="1" t="s">
        <v>1366</v>
      </c>
      <c r="C787" s="1" t="s">
        <v>920</v>
      </c>
      <c r="E787" s="1" t="s">
        <v>8366</v>
      </c>
      <c r="F787" s="1" t="s">
        <v>8386</v>
      </c>
      <c r="G787" s="3">
        <v>0</v>
      </c>
      <c r="H787" s="20" t="s">
        <v>8387</v>
      </c>
      <c r="I787" s="20" t="s">
        <v>8388</v>
      </c>
      <c r="J787" s="20" t="s">
        <v>2860</v>
      </c>
      <c r="K787" s="20" t="s">
        <v>10013</v>
      </c>
      <c r="L787" s="3">
        <v>31</v>
      </c>
      <c r="M787" s="3" t="s">
        <v>8370</v>
      </c>
      <c r="N787" s="3" t="str">
        <f>HYPERLINK("http://ictvonline.org/taxonomyHistory.asp?taxnode_id=20165007","ICTVonline=20165007")</f>
        <v>ICTVonline=20165007</v>
      </c>
    </row>
    <row r="788" spans="1:14" x14ac:dyDescent="0.15">
      <c r="A788" s="3">
        <v>787</v>
      </c>
      <c r="B788" s="1" t="s">
        <v>1366</v>
      </c>
      <c r="C788" s="1" t="s">
        <v>920</v>
      </c>
      <c r="E788" s="1" t="s">
        <v>8366</v>
      </c>
      <c r="F788" s="1" t="s">
        <v>8389</v>
      </c>
      <c r="G788" s="3">
        <v>0</v>
      </c>
      <c r="H788" s="20" t="s">
        <v>8390</v>
      </c>
      <c r="I788" s="20" t="s">
        <v>8391</v>
      </c>
      <c r="J788" s="20" t="s">
        <v>2860</v>
      </c>
      <c r="K788" s="20" t="s">
        <v>10013</v>
      </c>
      <c r="L788" s="3">
        <v>31</v>
      </c>
      <c r="M788" s="3" t="s">
        <v>8370</v>
      </c>
      <c r="N788" s="3" t="str">
        <f>HYPERLINK("http://ictvonline.org/taxonomyHistory.asp?taxnode_id=20165008","ICTVonline=20165008")</f>
        <v>ICTVonline=20165008</v>
      </c>
    </row>
    <row r="789" spans="1:14" x14ac:dyDescent="0.15">
      <c r="A789" s="3">
        <v>788</v>
      </c>
      <c r="B789" s="1" t="s">
        <v>1366</v>
      </c>
      <c r="C789" s="1" t="s">
        <v>920</v>
      </c>
      <c r="E789" s="1" t="s">
        <v>8366</v>
      </c>
      <c r="F789" s="1" t="s">
        <v>8392</v>
      </c>
      <c r="G789" s="3">
        <v>0</v>
      </c>
      <c r="H789" s="20" t="s">
        <v>8393</v>
      </c>
      <c r="I789" s="20" t="s">
        <v>8394</v>
      </c>
      <c r="J789" s="20" t="s">
        <v>2860</v>
      </c>
      <c r="K789" s="20" t="s">
        <v>10013</v>
      </c>
      <c r="L789" s="3">
        <v>31</v>
      </c>
      <c r="M789" s="3" t="s">
        <v>8370</v>
      </c>
      <c r="N789" s="3" t="str">
        <f>HYPERLINK("http://ictvonline.org/taxonomyHistory.asp?taxnode_id=20165009","ICTVonline=20165009")</f>
        <v>ICTVonline=20165009</v>
      </c>
    </row>
    <row r="790" spans="1:14" x14ac:dyDescent="0.15">
      <c r="A790" s="3">
        <v>789</v>
      </c>
      <c r="B790" s="1" t="s">
        <v>1366</v>
      </c>
      <c r="C790" s="1" t="s">
        <v>920</v>
      </c>
      <c r="E790" s="1" t="s">
        <v>3940</v>
      </c>
      <c r="F790" s="1" t="s">
        <v>3941</v>
      </c>
      <c r="G790" s="3">
        <v>0</v>
      </c>
      <c r="H790" s="20" t="s">
        <v>2970</v>
      </c>
      <c r="J790" s="20" t="s">
        <v>2860</v>
      </c>
      <c r="K790" s="20" t="s">
        <v>10014</v>
      </c>
      <c r="L790" s="3">
        <v>30</v>
      </c>
      <c r="M790" s="3" t="s">
        <v>10017</v>
      </c>
      <c r="N790" s="3" t="str">
        <f>HYPERLINK("http://ictvonline.org/taxonomyHistory.asp?taxnode_id=20160551","ICTVonline=20160551")</f>
        <v>ICTVonline=20160551</v>
      </c>
    </row>
    <row r="791" spans="1:14" x14ac:dyDescent="0.15">
      <c r="A791" s="3">
        <v>790</v>
      </c>
      <c r="B791" s="1" t="s">
        <v>1366</v>
      </c>
      <c r="C791" s="1" t="s">
        <v>920</v>
      </c>
      <c r="E791" s="1" t="s">
        <v>3940</v>
      </c>
      <c r="F791" s="1" t="s">
        <v>3942</v>
      </c>
      <c r="G791" s="3">
        <v>0</v>
      </c>
      <c r="H791" s="20" t="s">
        <v>2971</v>
      </c>
      <c r="J791" s="20" t="s">
        <v>2860</v>
      </c>
      <c r="K791" s="20" t="s">
        <v>10014</v>
      </c>
      <c r="L791" s="3">
        <v>30</v>
      </c>
      <c r="M791" s="3" t="s">
        <v>10017</v>
      </c>
      <c r="N791" s="3" t="str">
        <f>HYPERLINK("http://ictvonline.org/taxonomyHistory.asp?taxnode_id=20160552","ICTVonline=20160552")</f>
        <v>ICTVonline=20160552</v>
      </c>
    </row>
    <row r="792" spans="1:14" x14ac:dyDescent="0.15">
      <c r="A792" s="3">
        <v>791</v>
      </c>
      <c r="B792" s="1" t="s">
        <v>1366</v>
      </c>
      <c r="C792" s="1" t="s">
        <v>920</v>
      </c>
      <c r="E792" s="1" t="s">
        <v>3940</v>
      </c>
      <c r="F792" s="1" t="s">
        <v>3943</v>
      </c>
      <c r="G792" s="3">
        <v>0</v>
      </c>
      <c r="H792" s="20" t="s">
        <v>2972</v>
      </c>
      <c r="J792" s="20" t="s">
        <v>2860</v>
      </c>
      <c r="K792" s="20" t="s">
        <v>10014</v>
      </c>
      <c r="L792" s="3">
        <v>30</v>
      </c>
      <c r="M792" s="3" t="s">
        <v>10017</v>
      </c>
      <c r="N792" s="3" t="str">
        <f>HYPERLINK("http://ictvonline.org/taxonomyHistory.asp?taxnode_id=20160553","ICTVonline=20160553")</f>
        <v>ICTVonline=20160553</v>
      </c>
    </row>
    <row r="793" spans="1:14" x14ac:dyDescent="0.15">
      <c r="A793" s="3">
        <v>792</v>
      </c>
      <c r="B793" s="1" t="s">
        <v>1366</v>
      </c>
      <c r="C793" s="1" t="s">
        <v>920</v>
      </c>
      <c r="E793" s="1" t="s">
        <v>3940</v>
      </c>
      <c r="F793" s="1" t="s">
        <v>3944</v>
      </c>
      <c r="G793" s="3">
        <v>0</v>
      </c>
      <c r="H793" s="20" t="s">
        <v>2973</v>
      </c>
      <c r="J793" s="20" t="s">
        <v>2860</v>
      </c>
      <c r="K793" s="20" t="s">
        <v>10014</v>
      </c>
      <c r="L793" s="3">
        <v>30</v>
      </c>
      <c r="M793" s="3" t="s">
        <v>10017</v>
      </c>
      <c r="N793" s="3" t="str">
        <f>HYPERLINK("http://ictvonline.org/taxonomyHistory.asp?taxnode_id=20160554","ICTVonline=20160554")</f>
        <v>ICTVonline=20160554</v>
      </c>
    </row>
    <row r="794" spans="1:14" x14ac:dyDescent="0.15">
      <c r="A794" s="3">
        <v>793</v>
      </c>
      <c r="B794" s="1" t="s">
        <v>1366</v>
      </c>
      <c r="C794" s="1" t="s">
        <v>920</v>
      </c>
      <c r="E794" s="1" t="s">
        <v>3940</v>
      </c>
      <c r="F794" s="1" t="s">
        <v>3945</v>
      </c>
      <c r="G794" s="3">
        <v>0</v>
      </c>
      <c r="H794" s="20" t="s">
        <v>2974</v>
      </c>
      <c r="J794" s="20" t="s">
        <v>2860</v>
      </c>
      <c r="K794" s="20" t="s">
        <v>10014</v>
      </c>
      <c r="L794" s="3">
        <v>30</v>
      </c>
      <c r="M794" s="3" t="s">
        <v>10017</v>
      </c>
      <c r="N794" s="3" t="str">
        <f>HYPERLINK("http://ictvonline.org/taxonomyHistory.asp?taxnode_id=20160555","ICTVonline=20160555")</f>
        <v>ICTVonline=20160555</v>
      </c>
    </row>
    <row r="795" spans="1:14" x14ac:dyDescent="0.15">
      <c r="A795" s="3">
        <v>794</v>
      </c>
      <c r="B795" s="1" t="s">
        <v>1366</v>
      </c>
      <c r="C795" s="1" t="s">
        <v>920</v>
      </c>
      <c r="E795" s="1" t="s">
        <v>3940</v>
      </c>
      <c r="F795" s="1" t="s">
        <v>3946</v>
      </c>
      <c r="G795" s="3">
        <v>0</v>
      </c>
      <c r="H795" s="20" t="s">
        <v>2975</v>
      </c>
      <c r="J795" s="20" t="s">
        <v>2860</v>
      </c>
      <c r="K795" s="20" t="s">
        <v>10014</v>
      </c>
      <c r="L795" s="3">
        <v>30</v>
      </c>
      <c r="M795" s="3" t="s">
        <v>10017</v>
      </c>
      <c r="N795" s="3" t="str">
        <f>HYPERLINK("http://ictvonline.org/taxonomyHistory.asp?taxnode_id=20160556","ICTVonline=20160556")</f>
        <v>ICTVonline=20160556</v>
      </c>
    </row>
    <row r="796" spans="1:14" x14ac:dyDescent="0.15">
      <c r="A796" s="3">
        <v>795</v>
      </c>
      <c r="B796" s="1" t="s">
        <v>1366</v>
      </c>
      <c r="C796" s="1" t="s">
        <v>920</v>
      </c>
      <c r="E796" s="1" t="s">
        <v>3940</v>
      </c>
      <c r="F796" s="1" t="s">
        <v>3947</v>
      </c>
      <c r="G796" s="3">
        <v>0</v>
      </c>
      <c r="H796" s="20" t="s">
        <v>2976</v>
      </c>
      <c r="J796" s="20" t="s">
        <v>2860</v>
      </c>
      <c r="K796" s="20" t="s">
        <v>10014</v>
      </c>
      <c r="L796" s="3">
        <v>30</v>
      </c>
      <c r="M796" s="3" t="s">
        <v>10017</v>
      </c>
      <c r="N796" s="3" t="str">
        <f>HYPERLINK("http://ictvonline.org/taxonomyHistory.asp?taxnode_id=20160557","ICTVonline=20160557")</f>
        <v>ICTVonline=20160557</v>
      </c>
    </row>
    <row r="797" spans="1:14" x14ac:dyDescent="0.15">
      <c r="A797" s="3">
        <v>796</v>
      </c>
      <c r="B797" s="1" t="s">
        <v>1366</v>
      </c>
      <c r="C797" s="1" t="s">
        <v>920</v>
      </c>
      <c r="E797" s="1" t="s">
        <v>3940</v>
      </c>
      <c r="F797" s="1" t="s">
        <v>3948</v>
      </c>
      <c r="G797" s="3">
        <v>0</v>
      </c>
      <c r="H797" s="20" t="s">
        <v>2977</v>
      </c>
      <c r="J797" s="20" t="s">
        <v>2860</v>
      </c>
      <c r="K797" s="20" t="s">
        <v>10014</v>
      </c>
      <c r="L797" s="3">
        <v>30</v>
      </c>
      <c r="M797" s="3" t="s">
        <v>10017</v>
      </c>
      <c r="N797" s="3" t="str">
        <f>HYPERLINK("http://ictvonline.org/taxonomyHistory.asp?taxnode_id=20160558","ICTVonline=20160558")</f>
        <v>ICTVonline=20160558</v>
      </c>
    </row>
    <row r="798" spans="1:14" x14ac:dyDescent="0.15">
      <c r="A798" s="3">
        <v>797</v>
      </c>
      <c r="B798" s="1" t="s">
        <v>1366</v>
      </c>
      <c r="C798" s="1" t="s">
        <v>920</v>
      </c>
      <c r="E798" s="1" t="s">
        <v>3940</v>
      </c>
      <c r="F798" s="1" t="s">
        <v>3949</v>
      </c>
      <c r="G798" s="3">
        <v>0</v>
      </c>
      <c r="H798" s="20" t="s">
        <v>2978</v>
      </c>
      <c r="J798" s="20" t="s">
        <v>2860</v>
      </c>
      <c r="K798" s="20" t="s">
        <v>10014</v>
      </c>
      <c r="L798" s="3">
        <v>30</v>
      </c>
      <c r="M798" s="3" t="s">
        <v>10017</v>
      </c>
      <c r="N798" s="3" t="str">
        <f>HYPERLINK("http://ictvonline.org/taxonomyHistory.asp?taxnode_id=20160559","ICTVonline=20160559")</f>
        <v>ICTVonline=20160559</v>
      </c>
    </row>
    <row r="799" spans="1:14" x14ac:dyDescent="0.15">
      <c r="A799" s="3">
        <v>798</v>
      </c>
      <c r="B799" s="1" t="s">
        <v>1366</v>
      </c>
      <c r="C799" s="1" t="s">
        <v>920</v>
      </c>
      <c r="E799" s="1" t="s">
        <v>3940</v>
      </c>
      <c r="F799" s="1" t="s">
        <v>3950</v>
      </c>
      <c r="G799" s="3">
        <v>0</v>
      </c>
      <c r="H799" s="20" t="s">
        <v>2979</v>
      </c>
      <c r="J799" s="20" t="s">
        <v>2860</v>
      </c>
      <c r="K799" s="20" t="s">
        <v>10014</v>
      </c>
      <c r="L799" s="3">
        <v>30</v>
      </c>
      <c r="M799" s="3" t="s">
        <v>10017</v>
      </c>
      <c r="N799" s="3" t="str">
        <f>HYPERLINK("http://ictvonline.org/taxonomyHistory.asp?taxnode_id=20160560","ICTVonline=20160560")</f>
        <v>ICTVonline=20160560</v>
      </c>
    </row>
    <row r="800" spans="1:14" x14ac:dyDescent="0.15">
      <c r="A800" s="3">
        <v>799</v>
      </c>
      <c r="B800" s="1" t="s">
        <v>1366</v>
      </c>
      <c r="C800" s="1" t="s">
        <v>920</v>
      </c>
      <c r="E800" s="1" t="s">
        <v>3940</v>
      </c>
      <c r="F800" s="1" t="s">
        <v>3951</v>
      </c>
      <c r="G800" s="3">
        <v>0</v>
      </c>
      <c r="H800" s="20" t="s">
        <v>2980</v>
      </c>
      <c r="J800" s="20" t="s">
        <v>2860</v>
      </c>
      <c r="K800" s="20" t="s">
        <v>10014</v>
      </c>
      <c r="L800" s="3">
        <v>30</v>
      </c>
      <c r="M800" s="3" t="s">
        <v>10017</v>
      </c>
      <c r="N800" s="3" t="str">
        <f>HYPERLINK("http://ictvonline.org/taxonomyHistory.asp?taxnode_id=20160561","ICTVonline=20160561")</f>
        <v>ICTVonline=20160561</v>
      </c>
    </row>
    <row r="801" spans="1:14" x14ac:dyDescent="0.15">
      <c r="A801" s="3">
        <v>800</v>
      </c>
      <c r="B801" s="1" t="s">
        <v>1366</v>
      </c>
      <c r="C801" s="1" t="s">
        <v>920</v>
      </c>
      <c r="E801" s="1" t="s">
        <v>3940</v>
      </c>
      <c r="F801" s="1" t="s">
        <v>3952</v>
      </c>
      <c r="G801" s="3">
        <v>0</v>
      </c>
      <c r="H801" s="20" t="s">
        <v>2981</v>
      </c>
      <c r="J801" s="20" t="s">
        <v>2860</v>
      </c>
      <c r="K801" s="20" t="s">
        <v>10014</v>
      </c>
      <c r="L801" s="3">
        <v>30</v>
      </c>
      <c r="M801" s="3" t="s">
        <v>10017</v>
      </c>
      <c r="N801" s="3" t="str">
        <f>HYPERLINK("http://ictvonline.org/taxonomyHistory.asp?taxnode_id=20160562","ICTVonline=20160562")</f>
        <v>ICTVonline=20160562</v>
      </c>
    </row>
    <row r="802" spans="1:14" x14ac:dyDescent="0.15">
      <c r="A802" s="3">
        <v>801</v>
      </c>
      <c r="B802" s="1" t="s">
        <v>1366</v>
      </c>
      <c r="C802" s="1" t="s">
        <v>920</v>
      </c>
      <c r="E802" s="1" t="s">
        <v>3940</v>
      </c>
      <c r="F802" s="1" t="s">
        <v>3953</v>
      </c>
      <c r="G802" s="3">
        <v>0</v>
      </c>
      <c r="H802" s="20" t="s">
        <v>2982</v>
      </c>
      <c r="J802" s="20" t="s">
        <v>2860</v>
      </c>
      <c r="K802" s="20" t="s">
        <v>10014</v>
      </c>
      <c r="L802" s="3">
        <v>30</v>
      </c>
      <c r="M802" s="3" t="s">
        <v>10017</v>
      </c>
      <c r="N802" s="3" t="str">
        <f>HYPERLINK("http://ictvonline.org/taxonomyHistory.asp?taxnode_id=20160563","ICTVonline=20160563")</f>
        <v>ICTVonline=20160563</v>
      </c>
    </row>
    <row r="803" spans="1:14" x14ac:dyDescent="0.15">
      <c r="A803" s="3">
        <v>802</v>
      </c>
      <c r="B803" s="1" t="s">
        <v>1366</v>
      </c>
      <c r="C803" s="1" t="s">
        <v>920</v>
      </c>
      <c r="E803" s="1" t="s">
        <v>3940</v>
      </c>
      <c r="F803" s="1" t="s">
        <v>3954</v>
      </c>
      <c r="G803" s="3">
        <v>0</v>
      </c>
      <c r="J803" s="20" t="s">
        <v>2860</v>
      </c>
      <c r="K803" s="20" t="s">
        <v>10014</v>
      </c>
      <c r="L803" s="3">
        <v>30</v>
      </c>
      <c r="M803" s="3" t="s">
        <v>10017</v>
      </c>
      <c r="N803" s="3" t="str">
        <f>HYPERLINK("http://ictvonline.org/taxonomyHistory.asp?taxnode_id=20160564","ICTVonline=20160564")</f>
        <v>ICTVonline=20160564</v>
      </c>
    </row>
    <row r="804" spans="1:14" x14ac:dyDescent="0.15">
      <c r="A804" s="3">
        <v>803</v>
      </c>
      <c r="B804" s="1" t="s">
        <v>1366</v>
      </c>
      <c r="C804" s="1" t="s">
        <v>920</v>
      </c>
      <c r="E804" s="1" t="s">
        <v>3940</v>
      </c>
      <c r="F804" s="1" t="s">
        <v>3955</v>
      </c>
      <c r="G804" s="3">
        <v>0</v>
      </c>
      <c r="H804" s="20" t="s">
        <v>2983</v>
      </c>
      <c r="J804" s="20" t="s">
        <v>2860</v>
      </c>
      <c r="K804" s="20" t="s">
        <v>10014</v>
      </c>
      <c r="L804" s="3">
        <v>30</v>
      </c>
      <c r="M804" s="3" t="s">
        <v>10017</v>
      </c>
      <c r="N804" s="3" t="str">
        <f>HYPERLINK("http://ictvonline.org/taxonomyHistory.asp?taxnode_id=20160565","ICTVonline=20160565")</f>
        <v>ICTVonline=20160565</v>
      </c>
    </row>
    <row r="805" spans="1:14" x14ac:dyDescent="0.15">
      <c r="A805" s="3">
        <v>804</v>
      </c>
      <c r="B805" s="1" t="s">
        <v>1366</v>
      </c>
      <c r="C805" s="1" t="s">
        <v>920</v>
      </c>
      <c r="E805" s="1" t="s">
        <v>3940</v>
      </c>
      <c r="F805" s="1" t="s">
        <v>3956</v>
      </c>
      <c r="G805" s="3">
        <v>0</v>
      </c>
      <c r="H805" s="20" t="s">
        <v>2984</v>
      </c>
      <c r="J805" s="20" t="s">
        <v>2860</v>
      </c>
      <c r="K805" s="20" t="s">
        <v>10014</v>
      </c>
      <c r="L805" s="3">
        <v>30</v>
      </c>
      <c r="M805" s="3" t="s">
        <v>10017</v>
      </c>
      <c r="N805" s="3" t="str">
        <f>HYPERLINK("http://ictvonline.org/taxonomyHistory.asp?taxnode_id=20160566","ICTVonline=20160566")</f>
        <v>ICTVonline=20160566</v>
      </c>
    </row>
    <row r="806" spans="1:14" x14ac:dyDescent="0.15">
      <c r="A806" s="3">
        <v>805</v>
      </c>
      <c r="B806" s="1" t="s">
        <v>1366</v>
      </c>
      <c r="C806" s="1" t="s">
        <v>920</v>
      </c>
      <c r="E806" s="1" t="s">
        <v>3940</v>
      </c>
      <c r="F806" s="1" t="s">
        <v>3957</v>
      </c>
      <c r="G806" s="3">
        <v>0</v>
      </c>
      <c r="H806" s="20" t="s">
        <v>2985</v>
      </c>
      <c r="J806" s="20" t="s">
        <v>2860</v>
      </c>
      <c r="K806" s="20" t="s">
        <v>10014</v>
      </c>
      <c r="L806" s="3">
        <v>30</v>
      </c>
      <c r="M806" s="3" t="s">
        <v>10017</v>
      </c>
      <c r="N806" s="3" t="str">
        <f>HYPERLINK("http://ictvonline.org/taxonomyHistory.asp?taxnode_id=20160567","ICTVonline=20160567")</f>
        <v>ICTVonline=20160567</v>
      </c>
    </row>
    <row r="807" spans="1:14" x14ac:dyDescent="0.15">
      <c r="A807" s="3">
        <v>806</v>
      </c>
      <c r="B807" s="1" t="s">
        <v>1366</v>
      </c>
      <c r="C807" s="1" t="s">
        <v>920</v>
      </c>
      <c r="E807" s="1" t="s">
        <v>3940</v>
      </c>
      <c r="F807" s="1" t="s">
        <v>3958</v>
      </c>
      <c r="G807" s="3">
        <v>0</v>
      </c>
      <c r="H807" s="20" t="s">
        <v>2986</v>
      </c>
      <c r="J807" s="20" t="s">
        <v>2860</v>
      </c>
      <c r="K807" s="20" t="s">
        <v>10014</v>
      </c>
      <c r="L807" s="3">
        <v>30</v>
      </c>
      <c r="M807" s="3" t="s">
        <v>10017</v>
      </c>
      <c r="N807" s="3" t="str">
        <f>HYPERLINK("http://ictvonline.org/taxonomyHistory.asp?taxnode_id=20160568","ICTVonline=20160568")</f>
        <v>ICTVonline=20160568</v>
      </c>
    </row>
    <row r="808" spans="1:14" x14ac:dyDescent="0.15">
      <c r="A808" s="3">
        <v>807</v>
      </c>
      <c r="B808" s="1" t="s">
        <v>1366</v>
      </c>
      <c r="C808" s="1" t="s">
        <v>920</v>
      </c>
      <c r="E808" s="1" t="s">
        <v>3940</v>
      </c>
      <c r="F808" s="1" t="s">
        <v>3959</v>
      </c>
      <c r="G808" s="3">
        <v>0</v>
      </c>
      <c r="H808" s="20" t="s">
        <v>2987</v>
      </c>
      <c r="J808" s="20" t="s">
        <v>2860</v>
      </c>
      <c r="K808" s="20" t="s">
        <v>10014</v>
      </c>
      <c r="L808" s="3">
        <v>30</v>
      </c>
      <c r="M808" s="3" t="s">
        <v>10017</v>
      </c>
      <c r="N808" s="3" t="str">
        <f>HYPERLINK("http://ictvonline.org/taxonomyHistory.asp?taxnode_id=20160569","ICTVonline=20160569")</f>
        <v>ICTVonline=20160569</v>
      </c>
    </row>
    <row r="809" spans="1:14" x14ac:dyDescent="0.15">
      <c r="A809" s="3">
        <v>808</v>
      </c>
      <c r="B809" s="1" t="s">
        <v>1366</v>
      </c>
      <c r="C809" s="1" t="s">
        <v>920</v>
      </c>
      <c r="E809" s="1" t="s">
        <v>3940</v>
      </c>
      <c r="F809" s="1" t="s">
        <v>3960</v>
      </c>
      <c r="G809" s="3">
        <v>0</v>
      </c>
      <c r="H809" s="20" t="s">
        <v>2988</v>
      </c>
      <c r="J809" s="20" t="s">
        <v>2860</v>
      </c>
      <c r="K809" s="20" t="s">
        <v>10014</v>
      </c>
      <c r="L809" s="3">
        <v>30</v>
      </c>
      <c r="M809" s="3" t="s">
        <v>10017</v>
      </c>
      <c r="N809" s="3" t="str">
        <f>HYPERLINK("http://ictvonline.org/taxonomyHistory.asp?taxnode_id=20160570","ICTVonline=20160570")</f>
        <v>ICTVonline=20160570</v>
      </c>
    </row>
    <row r="810" spans="1:14" x14ac:dyDescent="0.15">
      <c r="A810" s="3">
        <v>809</v>
      </c>
      <c r="B810" s="1" t="s">
        <v>1366</v>
      </c>
      <c r="C810" s="1" t="s">
        <v>920</v>
      </c>
      <c r="E810" s="1" t="s">
        <v>3940</v>
      </c>
      <c r="F810" s="1" t="s">
        <v>3961</v>
      </c>
      <c r="G810" s="3">
        <v>0</v>
      </c>
      <c r="H810" s="20" t="s">
        <v>2989</v>
      </c>
      <c r="J810" s="20" t="s">
        <v>2860</v>
      </c>
      <c r="K810" s="20" t="s">
        <v>10014</v>
      </c>
      <c r="L810" s="3">
        <v>30</v>
      </c>
      <c r="M810" s="3" t="s">
        <v>10017</v>
      </c>
      <c r="N810" s="3" t="str">
        <f>HYPERLINK("http://ictvonline.org/taxonomyHistory.asp?taxnode_id=20160571","ICTVonline=20160571")</f>
        <v>ICTVonline=20160571</v>
      </c>
    </row>
    <row r="811" spans="1:14" x14ac:dyDescent="0.15">
      <c r="A811" s="3">
        <v>810</v>
      </c>
      <c r="B811" s="1" t="s">
        <v>1366</v>
      </c>
      <c r="C811" s="1" t="s">
        <v>920</v>
      </c>
      <c r="E811" s="1" t="s">
        <v>3940</v>
      </c>
      <c r="F811" s="1" t="s">
        <v>3962</v>
      </c>
      <c r="G811" s="3">
        <v>0</v>
      </c>
      <c r="H811" s="20" t="s">
        <v>2990</v>
      </c>
      <c r="J811" s="20" t="s">
        <v>2860</v>
      </c>
      <c r="K811" s="20" t="s">
        <v>10014</v>
      </c>
      <c r="L811" s="3">
        <v>30</v>
      </c>
      <c r="M811" s="3" t="s">
        <v>10017</v>
      </c>
      <c r="N811" s="3" t="str">
        <f>HYPERLINK("http://ictvonline.org/taxonomyHistory.asp?taxnode_id=20160572","ICTVonline=20160572")</f>
        <v>ICTVonline=20160572</v>
      </c>
    </row>
    <row r="812" spans="1:14" x14ac:dyDescent="0.15">
      <c r="A812" s="3">
        <v>811</v>
      </c>
      <c r="B812" s="1" t="s">
        <v>1366</v>
      </c>
      <c r="C812" s="1" t="s">
        <v>920</v>
      </c>
      <c r="E812" s="1" t="s">
        <v>3940</v>
      </c>
      <c r="F812" s="1" t="s">
        <v>3963</v>
      </c>
      <c r="G812" s="3">
        <v>0</v>
      </c>
      <c r="H812" s="20" t="s">
        <v>2991</v>
      </c>
      <c r="J812" s="20" t="s">
        <v>2860</v>
      </c>
      <c r="K812" s="20" t="s">
        <v>10014</v>
      </c>
      <c r="L812" s="3">
        <v>30</v>
      </c>
      <c r="M812" s="3" t="s">
        <v>10017</v>
      </c>
      <c r="N812" s="3" t="str">
        <f>HYPERLINK("http://ictvonline.org/taxonomyHistory.asp?taxnode_id=20160573","ICTVonline=20160573")</f>
        <v>ICTVonline=20160573</v>
      </c>
    </row>
    <row r="813" spans="1:14" x14ac:dyDescent="0.15">
      <c r="A813" s="3">
        <v>812</v>
      </c>
      <c r="B813" s="1" t="s">
        <v>1366</v>
      </c>
      <c r="C813" s="1" t="s">
        <v>920</v>
      </c>
      <c r="E813" s="1" t="s">
        <v>3940</v>
      </c>
      <c r="F813" s="1" t="s">
        <v>3964</v>
      </c>
      <c r="G813" s="3">
        <v>0</v>
      </c>
      <c r="H813" s="20" t="s">
        <v>2992</v>
      </c>
      <c r="J813" s="20" t="s">
        <v>2860</v>
      </c>
      <c r="K813" s="20" t="s">
        <v>10014</v>
      </c>
      <c r="L813" s="3">
        <v>30</v>
      </c>
      <c r="M813" s="3" t="s">
        <v>10017</v>
      </c>
      <c r="N813" s="3" t="str">
        <f>HYPERLINK("http://ictvonline.org/taxonomyHistory.asp?taxnode_id=20160574","ICTVonline=20160574")</f>
        <v>ICTVonline=20160574</v>
      </c>
    </row>
    <row r="814" spans="1:14" x14ac:dyDescent="0.15">
      <c r="A814" s="3">
        <v>813</v>
      </c>
      <c r="B814" s="1" t="s">
        <v>1366</v>
      </c>
      <c r="C814" s="1" t="s">
        <v>920</v>
      </c>
      <c r="E814" s="1" t="s">
        <v>3940</v>
      </c>
      <c r="F814" s="1" t="s">
        <v>3965</v>
      </c>
      <c r="G814" s="3">
        <v>0</v>
      </c>
      <c r="H814" s="20" t="s">
        <v>2993</v>
      </c>
      <c r="J814" s="20" t="s">
        <v>2860</v>
      </c>
      <c r="K814" s="20" t="s">
        <v>10014</v>
      </c>
      <c r="L814" s="3">
        <v>30</v>
      </c>
      <c r="M814" s="3" t="s">
        <v>10017</v>
      </c>
      <c r="N814" s="3" t="str">
        <f>HYPERLINK("http://ictvonline.org/taxonomyHistory.asp?taxnode_id=20160575","ICTVonline=20160575")</f>
        <v>ICTVonline=20160575</v>
      </c>
    </row>
    <row r="815" spans="1:14" x14ac:dyDescent="0.15">
      <c r="A815" s="3">
        <v>814</v>
      </c>
      <c r="B815" s="1" t="s">
        <v>1366</v>
      </c>
      <c r="C815" s="1" t="s">
        <v>920</v>
      </c>
      <c r="E815" s="1" t="s">
        <v>3940</v>
      </c>
      <c r="F815" s="1" t="s">
        <v>3966</v>
      </c>
      <c r="G815" s="3">
        <v>0</v>
      </c>
      <c r="H815" s="20" t="s">
        <v>2994</v>
      </c>
      <c r="J815" s="20" t="s">
        <v>2860</v>
      </c>
      <c r="K815" s="20" t="s">
        <v>10014</v>
      </c>
      <c r="L815" s="3">
        <v>30</v>
      </c>
      <c r="M815" s="3" t="s">
        <v>10017</v>
      </c>
      <c r="N815" s="3" t="str">
        <f>HYPERLINK("http://ictvonline.org/taxonomyHistory.asp?taxnode_id=20160576","ICTVonline=20160576")</f>
        <v>ICTVonline=20160576</v>
      </c>
    </row>
    <row r="816" spans="1:14" x14ac:dyDescent="0.15">
      <c r="A816" s="3">
        <v>815</v>
      </c>
      <c r="B816" s="1" t="s">
        <v>1366</v>
      </c>
      <c r="C816" s="1" t="s">
        <v>920</v>
      </c>
      <c r="E816" s="1" t="s">
        <v>3940</v>
      </c>
      <c r="F816" s="1" t="s">
        <v>3967</v>
      </c>
      <c r="G816" s="3">
        <v>0</v>
      </c>
      <c r="H816" s="20" t="s">
        <v>2995</v>
      </c>
      <c r="J816" s="20" t="s">
        <v>2860</v>
      </c>
      <c r="K816" s="20" t="s">
        <v>10014</v>
      </c>
      <c r="L816" s="3">
        <v>30</v>
      </c>
      <c r="M816" s="3" t="s">
        <v>10017</v>
      </c>
      <c r="N816" s="3" t="str">
        <f>HYPERLINK("http://ictvonline.org/taxonomyHistory.asp?taxnode_id=20160577","ICTVonline=20160577")</f>
        <v>ICTVonline=20160577</v>
      </c>
    </row>
    <row r="817" spans="1:14" x14ac:dyDescent="0.15">
      <c r="A817" s="3">
        <v>816</v>
      </c>
      <c r="B817" s="1" t="s">
        <v>1366</v>
      </c>
      <c r="C817" s="1" t="s">
        <v>920</v>
      </c>
      <c r="E817" s="1" t="s">
        <v>3940</v>
      </c>
      <c r="F817" s="1" t="s">
        <v>3968</v>
      </c>
      <c r="G817" s="3">
        <v>0</v>
      </c>
      <c r="H817" s="20" t="s">
        <v>2996</v>
      </c>
      <c r="J817" s="20" t="s">
        <v>2860</v>
      </c>
      <c r="K817" s="20" t="s">
        <v>10014</v>
      </c>
      <c r="L817" s="3">
        <v>30</v>
      </c>
      <c r="M817" s="3" t="s">
        <v>10017</v>
      </c>
      <c r="N817" s="3" t="str">
        <f>HYPERLINK("http://ictvonline.org/taxonomyHistory.asp?taxnode_id=20160578","ICTVonline=20160578")</f>
        <v>ICTVonline=20160578</v>
      </c>
    </row>
    <row r="818" spans="1:14" x14ac:dyDescent="0.15">
      <c r="A818" s="3">
        <v>817</v>
      </c>
      <c r="B818" s="1" t="s">
        <v>1366</v>
      </c>
      <c r="C818" s="1" t="s">
        <v>920</v>
      </c>
      <c r="E818" s="1" t="s">
        <v>3940</v>
      </c>
      <c r="F818" s="1" t="s">
        <v>3969</v>
      </c>
      <c r="G818" s="3">
        <v>0</v>
      </c>
      <c r="H818" s="20" t="s">
        <v>2997</v>
      </c>
      <c r="J818" s="20" t="s">
        <v>2860</v>
      </c>
      <c r="K818" s="20" t="s">
        <v>10014</v>
      </c>
      <c r="L818" s="3">
        <v>30</v>
      </c>
      <c r="M818" s="3" t="s">
        <v>10017</v>
      </c>
      <c r="N818" s="3" t="str">
        <f>HYPERLINK("http://ictvonline.org/taxonomyHistory.asp?taxnode_id=20160579","ICTVonline=20160579")</f>
        <v>ICTVonline=20160579</v>
      </c>
    </row>
    <row r="819" spans="1:14" x14ac:dyDescent="0.15">
      <c r="A819" s="3">
        <v>818</v>
      </c>
      <c r="B819" s="1" t="s">
        <v>1366</v>
      </c>
      <c r="C819" s="1" t="s">
        <v>920</v>
      </c>
      <c r="E819" s="1" t="s">
        <v>3940</v>
      </c>
      <c r="F819" s="1" t="s">
        <v>3970</v>
      </c>
      <c r="G819" s="3">
        <v>1</v>
      </c>
      <c r="J819" s="20" t="s">
        <v>2860</v>
      </c>
      <c r="K819" s="20" t="s">
        <v>10014</v>
      </c>
      <c r="L819" s="3">
        <v>30</v>
      </c>
      <c r="M819" s="3" t="s">
        <v>10017</v>
      </c>
      <c r="N819" s="3" t="str">
        <f>HYPERLINK("http://ictvonline.org/taxonomyHistory.asp?taxnode_id=20160580","ICTVonline=20160580")</f>
        <v>ICTVonline=20160580</v>
      </c>
    </row>
    <row r="820" spans="1:14" x14ac:dyDescent="0.15">
      <c r="A820" s="3">
        <v>819</v>
      </c>
      <c r="B820" s="1" t="s">
        <v>1366</v>
      </c>
      <c r="C820" s="1" t="s">
        <v>920</v>
      </c>
      <c r="E820" s="1" t="s">
        <v>3940</v>
      </c>
      <c r="F820" s="1" t="s">
        <v>3971</v>
      </c>
      <c r="G820" s="3">
        <v>0</v>
      </c>
      <c r="H820" s="20" t="s">
        <v>2998</v>
      </c>
      <c r="J820" s="20" t="s">
        <v>2860</v>
      </c>
      <c r="K820" s="20" t="s">
        <v>10014</v>
      </c>
      <c r="L820" s="3">
        <v>30</v>
      </c>
      <c r="M820" s="3" t="s">
        <v>10017</v>
      </c>
      <c r="N820" s="3" t="str">
        <f>HYPERLINK("http://ictvonline.org/taxonomyHistory.asp?taxnode_id=20160581","ICTVonline=20160581")</f>
        <v>ICTVonline=20160581</v>
      </c>
    </row>
    <row r="821" spans="1:14" x14ac:dyDescent="0.15">
      <c r="A821" s="3">
        <v>820</v>
      </c>
      <c r="B821" s="1" t="s">
        <v>1366</v>
      </c>
      <c r="C821" s="1" t="s">
        <v>920</v>
      </c>
      <c r="E821" s="1" t="s">
        <v>3940</v>
      </c>
      <c r="F821" s="1" t="s">
        <v>3972</v>
      </c>
      <c r="G821" s="3">
        <v>0</v>
      </c>
      <c r="H821" s="20" t="s">
        <v>2999</v>
      </c>
      <c r="J821" s="20" t="s">
        <v>2860</v>
      </c>
      <c r="K821" s="20" t="s">
        <v>10014</v>
      </c>
      <c r="L821" s="3">
        <v>30</v>
      </c>
      <c r="M821" s="3" t="s">
        <v>10017</v>
      </c>
      <c r="N821" s="3" t="str">
        <f>HYPERLINK("http://ictvonline.org/taxonomyHistory.asp?taxnode_id=20160582","ICTVonline=20160582")</f>
        <v>ICTVonline=20160582</v>
      </c>
    </row>
    <row r="822" spans="1:14" x14ac:dyDescent="0.15">
      <c r="A822" s="3">
        <v>821</v>
      </c>
      <c r="B822" s="1" t="s">
        <v>1366</v>
      </c>
      <c r="C822" s="1" t="s">
        <v>920</v>
      </c>
      <c r="E822" s="1" t="s">
        <v>3940</v>
      </c>
      <c r="F822" s="1" t="s">
        <v>3973</v>
      </c>
      <c r="G822" s="3">
        <v>0</v>
      </c>
      <c r="H822" s="20" t="s">
        <v>3000</v>
      </c>
      <c r="J822" s="20" t="s">
        <v>2860</v>
      </c>
      <c r="K822" s="20" t="s">
        <v>10014</v>
      </c>
      <c r="L822" s="3">
        <v>30</v>
      </c>
      <c r="M822" s="3" t="s">
        <v>10017</v>
      </c>
      <c r="N822" s="3" t="str">
        <f>HYPERLINK("http://ictvonline.org/taxonomyHistory.asp?taxnode_id=20160583","ICTVonline=20160583")</f>
        <v>ICTVonline=20160583</v>
      </c>
    </row>
    <row r="823" spans="1:14" x14ac:dyDescent="0.15">
      <c r="A823" s="3">
        <v>822</v>
      </c>
      <c r="B823" s="1" t="s">
        <v>1366</v>
      </c>
      <c r="C823" s="1" t="s">
        <v>920</v>
      </c>
      <c r="E823" s="1" t="s">
        <v>3940</v>
      </c>
      <c r="F823" s="1" t="s">
        <v>3974</v>
      </c>
      <c r="G823" s="3">
        <v>0</v>
      </c>
      <c r="H823" s="20" t="s">
        <v>3001</v>
      </c>
      <c r="J823" s="20" t="s">
        <v>2860</v>
      </c>
      <c r="K823" s="20" t="s">
        <v>10014</v>
      </c>
      <c r="L823" s="3">
        <v>30</v>
      </c>
      <c r="M823" s="3" t="s">
        <v>10017</v>
      </c>
      <c r="N823" s="3" t="str">
        <f>HYPERLINK("http://ictvonline.org/taxonomyHistory.asp?taxnode_id=20160584","ICTVonline=20160584")</f>
        <v>ICTVonline=20160584</v>
      </c>
    </row>
    <row r="824" spans="1:14" x14ac:dyDescent="0.15">
      <c r="A824" s="3">
        <v>823</v>
      </c>
      <c r="B824" s="1" t="s">
        <v>1366</v>
      </c>
      <c r="C824" s="1" t="s">
        <v>920</v>
      </c>
      <c r="E824" s="1" t="s">
        <v>3940</v>
      </c>
      <c r="F824" s="1" t="s">
        <v>3975</v>
      </c>
      <c r="G824" s="3">
        <v>0</v>
      </c>
      <c r="H824" s="20" t="s">
        <v>3002</v>
      </c>
      <c r="J824" s="20" t="s">
        <v>2860</v>
      </c>
      <c r="K824" s="20" t="s">
        <v>10014</v>
      </c>
      <c r="L824" s="3">
        <v>30</v>
      </c>
      <c r="M824" s="3" t="s">
        <v>10017</v>
      </c>
      <c r="N824" s="3" t="str">
        <f>HYPERLINK("http://ictvonline.org/taxonomyHistory.asp?taxnode_id=20160585","ICTVonline=20160585")</f>
        <v>ICTVonline=20160585</v>
      </c>
    </row>
    <row r="825" spans="1:14" x14ac:dyDescent="0.15">
      <c r="A825" s="3">
        <v>824</v>
      </c>
      <c r="B825" s="1" t="s">
        <v>1366</v>
      </c>
      <c r="C825" s="1" t="s">
        <v>920</v>
      </c>
      <c r="E825" s="1" t="s">
        <v>3940</v>
      </c>
      <c r="F825" s="1" t="s">
        <v>3976</v>
      </c>
      <c r="G825" s="3">
        <v>0</v>
      </c>
      <c r="H825" s="20" t="s">
        <v>3003</v>
      </c>
      <c r="J825" s="20" t="s">
        <v>2860</v>
      </c>
      <c r="K825" s="20" t="s">
        <v>10014</v>
      </c>
      <c r="L825" s="3">
        <v>30</v>
      </c>
      <c r="M825" s="3" t="s">
        <v>10017</v>
      </c>
      <c r="N825" s="3" t="str">
        <f>HYPERLINK("http://ictvonline.org/taxonomyHistory.asp?taxnode_id=20160586","ICTVonline=20160586")</f>
        <v>ICTVonline=20160586</v>
      </c>
    </row>
    <row r="826" spans="1:14" x14ac:dyDescent="0.15">
      <c r="A826" s="3">
        <v>825</v>
      </c>
      <c r="B826" s="1" t="s">
        <v>1366</v>
      </c>
      <c r="C826" s="1" t="s">
        <v>920</v>
      </c>
      <c r="E826" s="1" t="s">
        <v>3940</v>
      </c>
      <c r="F826" s="1" t="s">
        <v>3977</v>
      </c>
      <c r="G826" s="3">
        <v>0</v>
      </c>
      <c r="H826" s="20" t="s">
        <v>3004</v>
      </c>
      <c r="J826" s="20" t="s">
        <v>2860</v>
      </c>
      <c r="K826" s="20" t="s">
        <v>10014</v>
      </c>
      <c r="L826" s="3">
        <v>30</v>
      </c>
      <c r="M826" s="3" t="s">
        <v>10017</v>
      </c>
      <c r="N826" s="3" t="str">
        <f>HYPERLINK("http://ictvonline.org/taxonomyHistory.asp?taxnode_id=20160587","ICTVonline=20160587")</f>
        <v>ICTVonline=20160587</v>
      </c>
    </row>
    <row r="827" spans="1:14" x14ac:dyDescent="0.15">
      <c r="A827" s="3">
        <v>826</v>
      </c>
      <c r="B827" s="1" t="s">
        <v>1366</v>
      </c>
      <c r="C827" s="1" t="s">
        <v>920</v>
      </c>
      <c r="E827" s="1" t="s">
        <v>3940</v>
      </c>
      <c r="F827" s="1" t="s">
        <v>3978</v>
      </c>
      <c r="G827" s="3">
        <v>0</v>
      </c>
      <c r="H827" s="20" t="s">
        <v>3005</v>
      </c>
      <c r="J827" s="20" t="s">
        <v>2860</v>
      </c>
      <c r="K827" s="20" t="s">
        <v>10014</v>
      </c>
      <c r="L827" s="3">
        <v>30</v>
      </c>
      <c r="M827" s="3" t="s">
        <v>10017</v>
      </c>
      <c r="N827" s="3" t="str">
        <f>HYPERLINK("http://ictvonline.org/taxonomyHistory.asp?taxnode_id=20160588","ICTVonline=20160588")</f>
        <v>ICTVonline=20160588</v>
      </c>
    </row>
    <row r="828" spans="1:14" x14ac:dyDescent="0.15">
      <c r="A828" s="3">
        <v>827</v>
      </c>
      <c r="B828" s="1" t="s">
        <v>1366</v>
      </c>
      <c r="C828" s="1" t="s">
        <v>920</v>
      </c>
      <c r="E828" s="1" t="s">
        <v>3940</v>
      </c>
      <c r="F828" s="1" t="s">
        <v>3979</v>
      </c>
      <c r="G828" s="3">
        <v>0</v>
      </c>
      <c r="H828" s="20" t="s">
        <v>3006</v>
      </c>
      <c r="J828" s="20" t="s">
        <v>2860</v>
      </c>
      <c r="K828" s="20" t="s">
        <v>10014</v>
      </c>
      <c r="L828" s="3">
        <v>30</v>
      </c>
      <c r="M828" s="3" t="s">
        <v>10017</v>
      </c>
      <c r="N828" s="3" t="str">
        <f>HYPERLINK("http://ictvonline.org/taxonomyHistory.asp?taxnode_id=20160589","ICTVonline=20160589")</f>
        <v>ICTVonline=20160589</v>
      </c>
    </row>
    <row r="829" spans="1:14" x14ac:dyDescent="0.15">
      <c r="A829" s="3">
        <v>828</v>
      </c>
      <c r="B829" s="1" t="s">
        <v>1366</v>
      </c>
      <c r="C829" s="1" t="s">
        <v>920</v>
      </c>
      <c r="E829" s="1" t="s">
        <v>3940</v>
      </c>
      <c r="F829" s="1" t="s">
        <v>3980</v>
      </c>
      <c r="G829" s="3">
        <v>0</v>
      </c>
      <c r="H829" s="20" t="s">
        <v>3007</v>
      </c>
      <c r="J829" s="20" t="s">
        <v>2860</v>
      </c>
      <c r="K829" s="20" t="s">
        <v>10014</v>
      </c>
      <c r="L829" s="3">
        <v>30</v>
      </c>
      <c r="M829" s="3" t="s">
        <v>10017</v>
      </c>
      <c r="N829" s="3" t="str">
        <f>HYPERLINK("http://ictvonline.org/taxonomyHistory.asp?taxnode_id=20160590","ICTVonline=20160590")</f>
        <v>ICTVonline=20160590</v>
      </c>
    </row>
    <row r="830" spans="1:14" x14ac:dyDescent="0.15">
      <c r="A830" s="3">
        <v>829</v>
      </c>
      <c r="B830" s="1" t="s">
        <v>1366</v>
      </c>
      <c r="C830" s="1" t="s">
        <v>920</v>
      </c>
      <c r="E830" s="1" t="s">
        <v>3940</v>
      </c>
      <c r="F830" s="1" t="s">
        <v>3981</v>
      </c>
      <c r="G830" s="3">
        <v>0</v>
      </c>
      <c r="H830" s="20" t="s">
        <v>3008</v>
      </c>
      <c r="J830" s="20" t="s">
        <v>2860</v>
      </c>
      <c r="K830" s="20" t="s">
        <v>10014</v>
      </c>
      <c r="L830" s="3">
        <v>30</v>
      </c>
      <c r="M830" s="3" t="s">
        <v>10017</v>
      </c>
      <c r="N830" s="3" t="str">
        <f>HYPERLINK("http://ictvonline.org/taxonomyHistory.asp?taxnode_id=20160591","ICTVonline=20160591")</f>
        <v>ICTVonline=20160591</v>
      </c>
    </row>
    <row r="831" spans="1:14" x14ac:dyDescent="0.15">
      <c r="A831" s="3">
        <v>830</v>
      </c>
      <c r="B831" s="1" t="s">
        <v>1366</v>
      </c>
      <c r="C831" s="1" t="s">
        <v>920</v>
      </c>
      <c r="E831" s="1" t="s">
        <v>3940</v>
      </c>
      <c r="F831" s="1" t="s">
        <v>3982</v>
      </c>
      <c r="G831" s="3">
        <v>0</v>
      </c>
      <c r="H831" s="20" t="s">
        <v>3009</v>
      </c>
      <c r="J831" s="20" t="s">
        <v>2860</v>
      </c>
      <c r="K831" s="20" t="s">
        <v>10014</v>
      </c>
      <c r="L831" s="3">
        <v>30</v>
      </c>
      <c r="M831" s="3" t="s">
        <v>10017</v>
      </c>
      <c r="N831" s="3" t="str">
        <f>HYPERLINK("http://ictvonline.org/taxonomyHistory.asp?taxnode_id=20160592","ICTVonline=20160592")</f>
        <v>ICTVonline=20160592</v>
      </c>
    </row>
    <row r="832" spans="1:14" x14ac:dyDescent="0.15">
      <c r="A832" s="3">
        <v>831</v>
      </c>
      <c r="B832" s="1" t="s">
        <v>1366</v>
      </c>
      <c r="C832" s="1" t="s">
        <v>920</v>
      </c>
      <c r="E832" s="1" t="s">
        <v>3940</v>
      </c>
      <c r="F832" s="1" t="s">
        <v>3983</v>
      </c>
      <c r="G832" s="3">
        <v>0</v>
      </c>
      <c r="H832" s="20" t="s">
        <v>3010</v>
      </c>
      <c r="J832" s="20" t="s">
        <v>2860</v>
      </c>
      <c r="K832" s="20" t="s">
        <v>10014</v>
      </c>
      <c r="L832" s="3">
        <v>30</v>
      </c>
      <c r="M832" s="3" t="s">
        <v>10017</v>
      </c>
      <c r="N832" s="3" t="str">
        <f>HYPERLINK("http://ictvonline.org/taxonomyHistory.asp?taxnode_id=20160593","ICTVonline=20160593")</f>
        <v>ICTVonline=20160593</v>
      </c>
    </row>
    <row r="833" spans="1:14" x14ac:dyDescent="0.15">
      <c r="A833" s="3">
        <v>832</v>
      </c>
      <c r="B833" s="1" t="s">
        <v>1366</v>
      </c>
      <c r="C833" s="1" t="s">
        <v>920</v>
      </c>
      <c r="E833" s="1" t="s">
        <v>3940</v>
      </c>
      <c r="F833" s="1" t="s">
        <v>3984</v>
      </c>
      <c r="G833" s="3">
        <v>0</v>
      </c>
      <c r="H833" s="20" t="s">
        <v>3011</v>
      </c>
      <c r="J833" s="20" t="s">
        <v>2860</v>
      </c>
      <c r="K833" s="20" t="s">
        <v>10014</v>
      </c>
      <c r="L833" s="3">
        <v>30</v>
      </c>
      <c r="M833" s="3" t="s">
        <v>10017</v>
      </c>
      <c r="N833" s="3" t="str">
        <f>HYPERLINK("http://ictvonline.org/taxonomyHistory.asp?taxnode_id=20160594","ICTVonline=20160594")</f>
        <v>ICTVonline=20160594</v>
      </c>
    </row>
    <row r="834" spans="1:14" x14ac:dyDescent="0.15">
      <c r="A834" s="3">
        <v>833</v>
      </c>
      <c r="B834" s="1" t="s">
        <v>1366</v>
      </c>
      <c r="C834" s="1" t="s">
        <v>920</v>
      </c>
      <c r="E834" s="1" t="s">
        <v>3940</v>
      </c>
      <c r="F834" s="1" t="s">
        <v>3985</v>
      </c>
      <c r="G834" s="3">
        <v>0</v>
      </c>
      <c r="H834" s="20" t="s">
        <v>3012</v>
      </c>
      <c r="J834" s="20" t="s">
        <v>2860</v>
      </c>
      <c r="K834" s="20" t="s">
        <v>10014</v>
      </c>
      <c r="L834" s="3">
        <v>30</v>
      </c>
      <c r="M834" s="3" t="s">
        <v>10017</v>
      </c>
      <c r="N834" s="3" t="str">
        <f>HYPERLINK("http://ictvonline.org/taxonomyHistory.asp?taxnode_id=20160595","ICTVonline=20160595")</f>
        <v>ICTVonline=20160595</v>
      </c>
    </row>
    <row r="835" spans="1:14" x14ac:dyDescent="0.15">
      <c r="A835" s="3">
        <v>834</v>
      </c>
      <c r="B835" s="1" t="s">
        <v>1366</v>
      </c>
      <c r="C835" s="1" t="s">
        <v>920</v>
      </c>
      <c r="E835" s="1" t="s">
        <v>3940</v>
      </c>
      <c r="F835" s="1" t="s">
        <v>3986</v>
      </c>
      <c r="G835" s="3">
        <v>0</v>
      </c>
      <c r="H835" s="20" t="s">
        <v>3013</v>
      </c>
      <c r="J835" s="20" t="s">
        <v>2860</v>
      </c>
      <c r="K835" s="20" t="s">
        <v>10014</v>
      </c>
      <c r="L835" s="3">
        <v>30</v>
      </c>
      <c r="M835" s="3" t="s">
        <v>10017</v>
      </c>
      <c r="N835" s="3" t="str">
        <f>HYPERLINK("http://ictvonline.org/taxonomyHistory.asp?taxnode_id=20160596","ICTVonline=20160596")</f>
        <v>ICTVonline=20160596</v>
      </c>
    </row>
    <row r="836" spans="1:14" x14ac:dyDescent="0.15">
      <c r="A836" s="3">
        <v>835</v>
      </c>
      <c r="B836" s="1" t="s">
        <v>1366</v>
      </c>
      <c r="C836" s="1" t="s">
        <v>920</v>
      </c>
      <c r="E836" s="1" t="s">
        <v>3940</v>
      </c>
      <c r="F836" s="1" t="s">
        <v>3987</v>
      </c>
      <c r="G836" s="3">
        <v>0</v>
      </c>
      <c r="H836" s="20" t="s">
        <v>3014</v>
      </c>
      <c r="J836" s="20" t="s">
        <v>2860</v>
      </c>
      <c r="K836" s="20" t="s">
        <v>10014</v>
      </c>
      <c r="L836" s="3">
        <v>30</v>
      </c>
      <c r="M836" s="3" t="s">
        <v>10017</v>
      </c>
      <c r="N836" s="3" t="str">
        <f>HYPERLINK("http://ictvonline.org/taxonomyHistory.asp?taxnode_id=20160597","ICTVonline=20160597")</f>
        <v>ICTVonline=20160597</v>
      </c>
    </row>
    <row r="837" spans="1:14" x14ac:dyDescent="0.15">
      <c r="A837" s="3">
        <v>836</v>
      </c>
      <c r="B837" s="1" t="s">
        <v>1366</v>
      </c>
      <c r="C837" s="1" t="s">
        <v>920</v>
      </c>
      <c r="E837" s="1" t="s">
        <v>3940</v>
      </c>
      <c r="F837" s="1" t="s">
        <v>3988</v>
      </c>
      <c r="G837" s="3">
        <v>0</v>
      </c>
      <c r="H837" s="20" t="s">
        <v>3015</v>
      </c>
      <c r="J837" s="20" t="s">
        <v>2860</v>
      </c>
      <c r="K837" s="20" t="s">
        <v>10014</v>
      </c>
      <c r="L837" s="3">
        <v>30</v>
      </c>
      <c r="M837" s="3" t="s">
        <v>10017</v>
      </c>
      <c r="N837" s="3" t="str">
        <f>HYPERLINK("http://ictvonline.org/taxonomyHistory.asp?taxnode_id=20160598","ICTVonline=20160598")</f>
        <v>ICTVonline=20160598</v>
      </c>
    </row>
    <row r="838" spans="1:14" x14ac:dyDescent="0.15">
      <c r="A838" s="3">
        <v>837</v>
      </c>
      <c r="B838" s="1" t="s">
        <v>1366</v>
      </c>
      <c r="C838" s="1" t="s">
        <v>920</v>
      </c>
      <c r="E838" s="1" t="s">
        <v>3940</v>
      </c>
      <c r="F838" s="1" t="s">
        <v>3989</v>
      </c>
      <c r="G838" s="3">
        <v>0</v>
      </c>
      <c r="H838" s="20" t="s">
        <v>3016</v>
      </c>
      <c r="J838" s="20" t="s">
        <v>2860</v>
      </c>
      <c r="K838" s="20" t="s">
        <v>10014</v>
      </c>
      <c r="L838" s="3">
        <v>30</v>
      </c>
      <c r="M838" s="3" t="s">
        <v>10017</v>
      </c>
      <c r="N838" s="3" t="str">
        <f>HYPERLINK("http://ictvonline.org/taxonomyHistory.asp?taxnode_id=20160599","ICTVonline=20160599")</f>
        <v>ICTVonline=20160599</v>
      </c>
    </row>
    <row r="839" spans="1:14" x14ac:dyDescent="0.15">
      <c r="A839" s="3">
        <v>838</v>
      </c>
      <c r="B839" s="1" t="s">
        <v>1366</v>
      </c>
      <c r="C839" s="1" t="s">
        <v>920</v>
      </c>
      <c r="E839" s="1" t="s">
        <v>3940</v>
      </c>
      <c r="F839" s="1" t="s">
        <v>3990</v>
      </c>
      <c r="G839" s="3">
        <v>0</v>
      </c>
      <c r="H839" s="20" t="s">
        <v>3017</v>
      </c>
      <c r="J839" s="20" t="s">
        <v>2860</v>
      </c>
      <c r="K839" s="20" t="s">
        <v>10014</v>
      </c>
      <c r="L839" s="3">
        <v>30</v>
      </c>
      <c r="M839" s="3" t="s">
        <v>10017</v>
      </c>
      <c r="N839" s="3" t="str">
        <f>HYPERLINK("http://ictvonline.org/taxonomyHistory.asp?taxnode_id=20160600","ICTVonline=20160600")</f>
        <v>ICTVonline=20160600</v>
      </c>
    </row>
    <row r="840" spans="1:14" x14ac:dyDescent="0.15">
      <c r="A840" s="3">
        <v>839</v>
      </c>
      <c r="B840" s="1" t="s">
        <v>1366</v>
      </c>
      <c r="C840" s="1" t="s">
        <v>920</v>
      </c>
      <c r="E840" s="1" t="s">
        <v>3940</v>
      </c>
      <c r="F840" s="1" t="s">
        <v>3991</v>
      </c>
      <c r="G840" s="3">
        <v>0</v>
      </c>
      <c r="H840" s="20" t="s">
        <v>3018</v>
      </c>
      <c r="J840" s="20" t="s">
        <v>2860</v>
      </c>
      <c r="K840" s="20" t="s">
        <v>10014</v>
      </c>
      <c r="L840" s="3">
        <v>30</v>
      </c>
      <c r="M840" s="3" t="s">
        <v>10017</v>
      </c>
      <c r="N840" s="3" t="str">
        <f>HYPERLINK("http://ictvonline.org/taxonomyHistory.asp?taxnode_id=20160601","ICTVonline=20160601")</f>
        <v>ICTVonline=20160601</v>
      </c>
    </row>
    <row r="841" spans="1:14" x14ac:dyDescent="0.15">
      <c r="A841" s="3">
        <v>840</v>
      </c>
      <c r="B841" s="1" t="s">
        <v>1366</v>
      </c>
      <c r="C841" s="1" t="s">
        <v>920</v>
      </c>
      <c r="E841" s="1" t="s">
        <v>3940</v>
      </c>
      <c r="F841" s="1" t="s">
        <v>3992</v>
      </c>
      <c r="G841" s="3">
        <v>0</v>
      </c>
      <c r="H841" s="20" t="s">
        <v>3019</v>
      </c>
      <c r="J841" s="20" t="s">
        <v>2860</v>
      </c>
      <c r="K841" s="20" t="s">
        <v>10014</v>
      </c>
      <c r="L841" s="3">
        <v>30</v>
      </c>
      <c r="M841" s="3" t="s">
        <v>10017</v>
      </c>
      <c r="N841" s="3" t="str">
        <f>HYPERLINK("http://ictvonline.org/taxonomyHistory.asp?taxnode_id=20160602","ICTVonline=20160602")</f>
        <v>ICTVonline=20160602</v>
      </c>
    </row>
    <row r="842" spans="1:14" x14ac:dyDescent="0.15">
      <c r="A842" s="3">
        <v>841</v>
      </c>
      <c r="B842" s="1" t="s">
        <v>1366</v>
      </c>
      <c r="C842" s="1" t="s">
        <v>920</v>
      </c>
      <c r="E842" s="1" t="s">
        <v>3940</v>
      </c>
      <c r="F842" s="1" t="s">
        <v>3993</v>
      </c>
      <c r="G842" s="3">
        <v>0</v>
      </c>
      <c r="H842" s="20" t="s">
        <v>3020</v>
      </c>
      <c r="J842" s="20" t="s">
        <v>2860</v>
      </c>
      <c r="K842" s="20" t="s">
        <v>10014</v>
      </c>
      <c r="L842" s="3">
        <v>30</v>
      </c>
      <c r="M842" s="3" t="s">
        <v>10017</v>
      </c>
      <c r="N842" s="3" t="str">
        <f>HYPERLINK("http://ictvonline.org/taxonomyHistory.asp?taxnode_id=20160603","ICTVonline=20160603")</f>
        <v>ICTVonline=20160603</v>
      </c>
    </row>
    <row r="843" spans="1:14" x14ac:dyDescent="0.15">
      <c r="A843" s="3">
        <v>842</v>
      </c>
      <c r="B843" s="1" t="s">
        <v>1366</v>
      </c>
      <c r="C843" s="1" t="s">
        <v>920</v>
      </c>
      <c r="E843" s="1" t="s">
        <v>3940</v>
      </c>
      <c r="F843" s="1" t="s">
        <v>3994</v>
      </c>
      <c r="G843" s="3">
        <v>0</v>
      </c>
      <c r="H843" s="20" t="s">
        <v>3021</v>
      </c>
      <c r="J843" s="20" t="s">
        <v>2860</v>
      </c>
      <c r="K843" s="20" t="s">
        <v>10014</v>
      </c>
      <c r="L843" s="3">
        <v>30</v>
      </c>
      <c r="M843" s="3" t="s">
        <v>10017</v>
      </c>
      <c r="N843" s="3" t="str">
        <f>HYPERLINK("http://ictvonline.org/taxonomyHistory.asp?taxnode_id=20160604","ICTVonline=20160604")</f>
        <v>ICTVonline=20160604</v>
      </c>
    </row>
    <row r="844" spans="1:14" x14ac:dyDescent="0.15">
      <c r="A844" s="3">
        <v>843</v>
      </c>
      <c r="B844" s="1" t="s">
        <v>1366</v>
      </c>
      <c r="C844" s="1" t="s">
        <v>920</v>
      </c>
      <c r="E844" s="1" t="s">
        <v>3940</v>
      </c>
      <c r="F844" s="1" t="s">
        <v>3995</v>
      </c>
      <c r="G844" s="3">
        <v>0</v>
      </c>
      <c r="H844" s="20" t="s">
        <v>3022</v>
      </c>
      <c r="J844" s="20" t="s">
        <v>2860</v>
      </c>
      <c r="K844" s="20" t="s">
        <v>10014</v>
      </c>
      <c r="L844" s="3">
        <v>30</v>
      </c>
      <c r="M844" s="3" t="s">
        <v>10017</v>
      </c>
      <c r="N844" s="3" t="str">
        <f>HYPERLINK("http://ictvonline.org/taxonomyHistory.asp?taxnode_id=20160605","ICTVonline=20160605")</f>
        <v>ICTVonline=20160605</v>
      </c>
    </row>
    <row r="845" spans="1:14" x14ac:dyDescent="0.15">
      <c r="A845" s="3">
        <v>844</v>
      </c>
      <c r="B845" s="1" t="s">
        <v>1366</v>
      </c>
      <c r="C845" s="1" t="s">
        <v>920</v>
      </c>
      <c r="E845" s="1" t="s">
        <v>3940</v>
      </c>
      <c r="F845" s="1" t="s">
        <v>3996</v>
      </c>
      <c r="G845" s="3">
        <v>0</v>
      </c>
      <c r="H845" s="20" t="s">
        <v>3023</v>
      </c>
      <c r="J845" s="20" t="s">
        <v>2860</v>
      </c>
      <c r="K845" s="20" t="s">
        <v>10014</v>
      </c>
      <c r="L845" s="3">
        <v>30</v>
      </c>
      <c r="M845" s="3" t="s">
        <v>10017</v>
      </c>
      <c r="N845" s="3" t="str">
        <f>HYPERLINK("http://ictvonline.org/taxonomyHistory.asp?taxnode_id=20160606","ICTVonline=20160606")</f>
        <v>ICTVonline=20160606</v>
      </c>
    </row>
    <row r="846" spans="1:14" x14ac:dyDescent="0.15">
      <c r="A846" s="3">
        <v>845</v>
      </c>
      <c r="B846" s="1" t="s">
        <v>1366</v>
      </c>
      <c r="C846" s="1" t="s">
        <v>920</v>
      </c>
      <c r="E846" s="1" t="s">
        <v>3940</v>
      </c>
      <c r="F846" s="1" t="s">
        <v>3997</v>
      </c>
      <c r="G846" s="3">
        <v>0</v>
      </c>
      <c r="H846" s="20" t="s">
        <v>3024</v>
      </c>
      <c r="J846" s="20" t="s">
        <v>2860</v>
      </c>
      <c r="K846" s="20" t="s">
        <v>10014</v>
      </c>
      <c r="L846" s="3">
        <v>30</v>
      </c>
      <c r="M846" s="3" t="s">
        <v>10017</v>
      </c>
      <c r="N846" s="3" t="str">
        <f>HYPERLINK("http://ictvonline.org/taxonomyHistory.asp?taxnode_id=20160607","ICTVonline=20160607")</f>
        <v>ICTVonline=20160607</v>
      </c>
    </row>
    <row r="847" spans="1:14" x14ac:dyDescent="0.15">
      <c r="A847" s="3">
        <v>846</v>
      </c>
      <c r="B847" s="1" t="s">
        <v>1366</v>
      </c>
      <c r="C847" s="1" t="s">
        <v>920</v>
      </c>
      <c r="E847" s="1" t="s">
        <v>3940</v>
      </c>
      <c r="F847" s="1" t="s">
        <v>3998</v>
      </c>
      <c r="G847" s="3">
        <v>0</v>
      </c>
      <c r="H847" s="20" t="s">
        <v>3025</v>
      </c>
      <c r="J847" s="20" t="s">
        <v>2860</v>
      </c>
      <c r="K847" s="20" t="s">
        <v>10014</v>
      </c>
      <c r="L847" s="3">
        <v>30</v>
      </c>
      <c r="M847" s="3" t="s">
        <v>10017</v>
      </c>
      <c r="N847" s="3" t="str">
        <f>HYPERLINK("http://ictvonline.org/taxonomyHistory.asp?taxnode_id=20160608","ICTVonline=20160608")</f>
        <v>ICTVonline=20160608</v>
      </c>
    </row>
    <row r="848" spans="1:14" x14ac:dyDescent="0.15">
      <c r="A848" s="3">
        <v>847</v>
      </c>
      <c r="B848" s="1" t="s">
        <v>1366</v>
      </c>
      <c r="C848" s="1" t="s">
        <v>920</v>
      </c>
      <c r="E848" s="1" t="s">
        <v>3940</v>
      </c>
      <c r="F848" s="1" t="s">
        <v>3999</v>
      </c>
      <c r="G848" s="3">
        <v>0</v>
      </c>
      <c r="H848" s="20" t="s">
        <v>3026</v>
      </c>
      <c r="J848" s="20" t="s">
        <v>2860</v>
      </c>
      <c r="K848" s="20" t="s">
        <v>10014</v>
      </c>
      <c r="L848" s="3">
        <v>30</v>
      </c>
      <c r="M848" s="3" t="s">
        <v>10017</v>
      </c>
      <c r="N848" s="3" t="str">
        <f>HYPERLINK("http://ictvonline.org/taxonomyHistory.asp?taxnode_id=20160609","ICTVonline=20160609")</f>
        <v>ICTVonline=20160609</v>
      </c>
    </row>
    <row r="849" spans="1:14" x14ac:dyDescent="0.15">
      <c r="A849" s="3">
        <v>848</v>
      </c>
      <c r="B849" s="1" t="s">
        <v>1366</v>
      </c>
      <c r="C849" s="1" t="s">
        <v>920</v>
      </c>
      <c r="E849" s="1" t="s">
        <v>3940</v>
      </c>
      <c r="F849" s="1" t="s">
        <v>4000</v>
      </c>
      <c r="G849" s="3">
        <v>0</v>
      </c>
      <c r="H849" s="20" t="s">
        <v>3027</v>
      </c>
      <c r="J849" s="20" t="s">
        <v>2860</v>
      </c>
      <c r="K849" s="20" t="s">
        <v>10014</v>
      </c>
      <c r="L849" s="3">
        <v>30</v>
      </c>
      <c r="M849" s="3" t="s">
        <v>10017</v>
      </c>
      <c r="N849" s="3" t="str">
        <f>HYPERLINK("http://ictvonline.org/taxonomyHistory.asp?taxnode_id=20160610","ICTVonline=20160610")</f>
        <v>ICTVonline=20160610</v>
      </c>
    </row>
    <row r="850" spans="1:14" x14ac:dyDescent="0.15">
      <c r="A850" s="3">
        <v>849</v>
      </c>
      <c r="B850" s="1" t="s">
        <v>1366</v>
      </c>
      <c r="C850" s="1" t="s">
        <v>920</v>
      </c>
      <c r="E850" s="1" t="s">
        <v>4003</v>
      </c>
      <c r="F850" s="1" t="s">
        <v>4004</v>
      </c>
      <c r="G850" s="3">
        <v>0</v>
      </c>
      <c r="J850" s="20" t="s">
        <v>2860</v>
      </c>
      <c r="K850" s="20" t="s">
        <v>10014</v>
      </c>
      <c r="L850" s="3">
        <v>30</v>
      </c>
      <c r="M850" s="3" t="s">
        <v>10017</v>
      </c>
      <c r="N850" s="3" t="str">
        <f>HYPERLINK("http://ictvonline.org/taxonomyHistory.asp?taxnode_id=20160614","ICTVonline=20160614")</f>
        <v>ICTVonline=20160614</v>
      </c>
    </row>
    <row r="851" spans="1:14" x14ac:dyDescent="0.15">
      <c r="A851" s="3">
        <v>850</v>
      </c>
      <c r="B851" s="1" t="s">
        <v>1366</v>
      </c>
      <c r="C851" s="1" t="s">
        <v>920</v>
      </c>
      <c r="E851" s="1" t="s">
        <v>4003</v>
      </c>
      <c r="F851" s="1" t="s">
        <v>4005</v>
      </c>
      <c r="G851" s="3">
        <v>0</v>
      </c>
      <c r="J851" s="20" t="s">
        <v>2860</v>
      </c>
      <c r="K851" s="20" t="s">
        <v>10014</v>
      </c>
      <c r="L851" s="3">
        <v>30</v>
      </c>
      <c r="M851" s="3" t="s">
        <v>10017</v>
      </c>
      <c r="N851" s="3" t="str">
        <f>HYPERLINK("http://ictvonline.org/taxonomyHistory.asp?taxnode_id=20160615","ICTVonline=20160615")</f>
        <v>ICTVonline=20160615</v>
      </c>
    </row>
    <row r="852" spans="1:14" x14ac:dyDescent="0.15">
      <c r="A852" s="3">
        <v>851</v>
      </c>
      <c r="B852" s="1" t="s">
        <v>1366</v>
      </c>
      <c r="C852" s="1" t="s">
        <v>920</v>
      </c>
      <c r="E852" s="1" t="s">
        <v>4003</v>
      </c>
      <c r="F852" s="1" t="s">
        <v>4006</v>
      </c>
      <c r="G852" s="3">
        <v>1</v>
      </c>
      <c r="J852" s="20" t="s">
        <v>2860</v>
      </c>
      <c r="K852" s="20" t="s">
        <v>10014</v>
      </c>
      <c r="L852" s="3">
        <v>30</v>
      </c>
      <c r="M852" s="3" t="s">
        <v>10017</v>
      </c>
      <c r="N852" s="3" t="str">
        <f>HYPERLINK("http://ictvonline.org/taxonomyHistory.asp?taxnode_id=20160616","ICTVonline=20160616")</f>
        <v>ICTVonline=20160616</v>
      </c>
    </row>
    <row r="853" spans="1:14" x14ac:dyDescent="0.15">
      <c r="A853" s="3">
        <v>852</v>
      </c>
      <c r="B853" s="1" t="s">
        <v>1366</v>
      </c>
      <c r="C853" s="1" t="s">
        <v>920</v>
      </c>
      <c r="E853" s="1" t="s">
        <v>8395</v>
      </c>
      <c r="F853" s="1" t="s">
        <v>8396</v>
      </c>
      <c r="G853" s="3">
        <v>1</v>
      </c>
      <c r="H853" s="20" t="s">
        <v>8397</v>
      </c>
      <c r="I853" s="20" t="s">
        <v>8398</v>
      </c>
      <c r="J853" s="20" t="s">
        <v>2860</v>
      </c>
      <c r="K853" s="20" t="s">
        <v>10013</v>
      </c>
      <c r="L853" s="3">
        <v>31</v>
      </c>
      <c r="M853" s="3" t="s">
        <v>8399</v>
      </c>
      <c r="N853" s="3" t="str">
        <f>HYPERLINK("http://ictvonline.org/taxonomyHistory.asp?taxnode_id=20165010","ICTVonline=20165010")</f>
        <v>ICTVonline=20165010</v>
      </c>
    </row>
    <row r="854" spans="1:14" x14ac:dyDescent="0.15">
      <c r="A854" s="3">
        <v>853</v>
      </c>
      <c r="B854" s="1" t="s">
        <v>1366</v>
      </c>
      <c r="C854" s="1" t="s">
        <v>920</v>
      </c>
      <c r="E854" s="1" t="s">
        <v>4007</v>
      </c>
      <c r="F854" s="1" t="s">
        <v>4008</v>
      </c>
      <c r="G854" s="3">
        <v>1</v>
      </c>
      <c r="H854" s="20" t="s">
        <v>2955</v>
      </c>
      <c r="J854" s="20" t="s">
        <v>2860</v>
      </c>
      <c r="K854" s="20" t="s">
        <v>10014</v>
      </c>
      <c r="L854" s="3">
        <v>30</v>
      </c>
      <c r="M854" s="3" t="s">
        <v>10017</v>
      </c>
      <c r="N854" s="3" t="str">
        <f>HYPERLINK("http://ictvonline.org/taxonomyHistory.asp?taxnode_id=20160618","ICTVonline=20160618")</f>
        <v>ICTVonline=20160618</v>
      </c>
    </row>
    <row r="855" spans="1:14" x14ac:dyDescent="0.15">
      <c r="A855" s="3">
        <v>854</v>
      </c>
      <c r="B855" s="1" t="s">
        <v>1366</v>
      </c>
      <c r="C855" s="1" t="s">
        <v>920</v>
      </c>
      <c r="E855" s="1" t="s">
        <v>4007</v>
      </c>
      <c r="F855" s="1" t="s">
        <v>4009</v>
      </c>
      <c r="G855" s="3">
        <v>0</v>
      </c>
      <c r="H855" s="20" t="s">
        <v>2956</v>
      </c>
      <c r="J855" s="20" t="s">
        <v>2860</v>
      </c>
      <c r="K855" s="20" t="s">
        <v>10014</v>
      </c>
      <c r="L855" s="3">
        <v>30</v>
      </c>
      <c r="M855" s="3" t="s">
        <v>10017</v>
      </c>
      <c r="N855" s="3" t="str">
        <f>HYPERLINK("http://ictvonline.org/taxonomyHistory.asp?taxnode_id=20160619","ICTVonline=20160619")</f>
        <v>ICTVonline=20160619</v>
      </c>
    </row>
    <row r="856" spans="1:14" x14ac:dyDescent="0.15">
      <c r="A856" s="3">
        <v>855</v>
      </c>
      <c r="B856" s="1" t="s">
        <v>1366</v>
      </c>
      <c r="C856" s="1" t="s">
        <v>920</v>
      </c>
      <c r="E856" s="1" t="s">
        <v>8400</v>
      </c>
      <c r="F856" s="1" t="s">
        <v>8401</v>
      </c>
      <c r="G856" s="3">
        <v>1</v>
      </c>
      <c r="H856" s="20" t="s">
        <v>8402</v>
      </c>
      <c r="I856" s="20" t="s">
        <v>8403</v>
      </c>
      <c r="J856" s="20" t="s">
        <v>2860</v>
      </c>
      <c r="K856" s="20" t="s">
        <v>10013</v>
      </c>
      <c r="L856" s="3">
        <v>31</v>
      </c>
      <c r="M856" s="3" t="s">
        <v>8404</v>
      </c>
      <c r="N856" s="3" t="str">
        <f>HYPERLINK("http://ictvonline.org/taxonomyHistory.asp?taxnode_id=20165011","ICTVonline=20165011")</f>
        <v>ICTVonline=20165011</v>
      </c>
    </row>
    <row r="857" spans="1:14" x14ac:dyDescent="0.15">
      <c r="A857" s="3">
        <v>856</v>
      </c>
      <c r="B857" s="1" t="s">
        <v>1366</v>
      </c>
      <c r="C857" s="1" t="s">
        <v>920</v>
      </c>
      <c r="E857" s="1" t="s">
        <v>8400</v>
      </c>
      <c r="F857" s="1" t="s">
        <v>8405</v>
      </c>
      <c r="G857" s="3">
        <v>0</v>
      </c>
      <c r="H857" s="20" t="s">
        <v>8406</v>
      </c>
      <c r="I857" s="20" t="s">
        <v>8407</v>
      </c>
      <c r="J857" s="20" t="s">
        <v>2860</v>
      </c>
      <c r="K857" s="20" t="s">
        <v>10013</v>
      </c>
      <c r="L857" s="3">
        <v>31</v>
      </c>
      <c r="M857" s="3" t="s">
        <v>8404</v>
      </c>
      <c r="N857" s="3" t="str">
        <f>HYPERLINK("http://ictvonline.org/taxonomyHistory.asp?taxnode_id=20165012","ICTVonline=20165012")</f>
        <v>ICTVonline=20165012</v>
      </c>
    </row>
    <row r="858" spans="1:14" x14ac:dyDescent="0.15">
      <c r="A858" s="3">
        <v>857</v>
      </c>
      <c r="B858" s="1" t="s">
        <v>1366</v>
      </c>
      <c r="C858" s="1" t="s">
        <v>920</v>
      </c>
      <c r="E858" s="1" t="s">
        <v>8408</v>
      </c>
      <c r="F858" s="1" t="s">
        <v>8409</v>
      </c>
      <c r="G858" s="3">
        <v>0</v>
      </c>
      <c r="H858" s="20" t="s">
        <v>8410</v>
      </c>
      <c r="I858" s="20" t="s">
        <v>8411</v>
      </c>
      <c r="J858" s="20" t="s">
        <v>2860</v>
      </c>
      <c r="K858" s="20" t="s">
        <v>10013</v>
      </c>
      <c r="L858" s="3">
        <v>31</v>
      </c>
      <c r="M858" s="3" t="s">
        <v>8412</v>
      </c>
      <c r="N858" s="3" t="str">
        <f>HYPERLINK("http://ictvonline.org/taxonomyHistory.asp?taxnode_id=20165013","ICTVonline=20165013")</f>
        <v>ICTVonline=20165013</v>
      </c>
    </row>
    <row r="859" spans="1:14" x14ac:dyDescent="0.15">
      <c r="A859" s="3">
        <v>858</v>
      </c>
      <c r="B859" s="1" t="s">
        <v>1366</v>
      </c>
      <c r="C859" s="1" t="s">
        <v>920</v>
      </c>
      <c r="E859" s="1" t="s">
        <v>8408</v>
      </c>
      <c r="F859" s="1" t="s">
        <v>8413</v>
      </c>
      <c r="G859" s="3">
        <v>1</v>
      </c>
      <c r="H859" s="20" t="s">
        <v>8414</v>
      </c>
      <c r="I859" s="20" t="s">
        <v>8415</v>
      </c>
      <c r="J859" s="20" t="s">
        <v>2860</v>
      </c>
      <c r="K859" s="20" t="s">
        <v>10013</v>
      </c>
      <c r="L859" s="3">
        <v>31</v>
      </c>
      <c r="M859" s="3" t="s">
        <v>8412</v>
      </c>
      <c r="N859" s="3" t="str">
        <f>HYPERLINK("http://ictvonline.org/taxonomyHistory.asp?taxnode_id=20165014","ICTVonline=20165014")</f>
        <v>ICTVonline=20165014</v>
      </c>
    </row>
    <row r="860" spans="1:14" x14ac:dyDescent="0.15">
      <c r="A860" s="3">
        <v>859</v>
      </c>
      <c r="B860" s="1" t="s">
        <v>1366</v>
      </c>
      <c r="C860" s="1" t="s">
        <v>920</v>
      </c>
      <c r="E860" s="1" t="s">
        <v>4010</v>
      </c>
      <c r="F860" s="1" t="s">
        <v>4011</v>
      </c>
      <c r="G860" s="3">
        <v>1</v>
      </c>
      <c r="J860" s="20" t="s">
        <v>2860</v>
      </c>
      <c r="K860" s="20" t="s">
        <v>10014</v>
      </c>
      <c r="L860" s="3">
        <v>30</v>
      </c>
      <c r="M860" s="3" t="s">
        <v>10017</v>
      </c>
      <c r="N860" s="3" t="str">
        <f>HYPERLINK("http://ictvonline.org/taxonomyHistory.asp?taxnode_id=20160621","ICTVonline=20160621")</f>
        <v>ICTVonline=20160621</v>
      </c>
    </row>
    <row r="861" spans="1:14" x14ac:dyDescent="0.15">
      <c r="A861" s="3">
        <v>860</v>
      </c>
      <c r="B861" s="1" t="s">
        <v>1366</v>
      </c>
      <c r="C861" s="1" t="s">
        <v>920</v>
      </c>
      <c r="E861" s="1" t="s">
        <v>4012</v>
      </c>
      <c r="F861" s="1" t="s">
        <v>4013</v>
      </c>
      <c r="G861" s="3">
        <v>1</v>
      </c>
      <c r="H861" s="20" t="s">
        <v>6667</v>
      </c>
      <c r="I861" s="20" t="s">
        <v>4014</v>
      </c>
      <c r="J861" s="20" t="s">
        <v>2860</v>
      </c>
      <c r="K861" s="20" t="s">
        <v>10013</v>
      </c>
      <c r="L861" s="3">
        <v>30</v>
      </c>
      <c r="M861" s="3" t="s">
        <v>10059</v>
      </c>
      <c r="N861" s="3" t="str">
        <f>HYPERLINK("http://ictvonline.org/taxonomyHistory.asp?taxnode_id=20160623","ICTVonline=20160623")</f>
        <v>ICTVonline=20160623</v>
      </c>
    </row>
    <row r="862" spans="1:14" x14ac:dyDescent="0.15">
      <c r="A862" s="3">
        <v>861</v>
      </c>
      <c r="B862" s="1" t="s">
        <v>1366</v>
      </c>
      <c r="C862" s="1" t="s">
        <v>920</v>
      </c>
      <c r="E862" s="1" t="s">
        <v>4012</v>
      </c>
      <c r="F862" s="1" t="s">
        <v>4015</v>
      </c>
      <c r="G862" s="3">
        <v>0</v>
      </c>
      <c r="H862" s="20" t="s">
        <v>6668</v>
      </c>
      <c r="I862" s="20" t="s">
        <v>4016</v>
      </c>
      <c r="J862" s="20" t="s">
        <v>2860</v>
      </c>
      <c r="K862" s="20" t="s">
        <v>10013</v>
      </c>
      <c r="L862" s="3">
        <v>30</v>
      </c>
      <c r="M862" s="3" t="s">
        <v>10059</v>
      </c>
      <c r="N862" s="3" t="str">
        <f>HYPERLINK("http://ictvonline.org/taxonomyHistory.asp?taxnode_id=20160624","ICTVonline=20160624")</f>
        <v>ICTVonline=20160624</v>
      </c>
    </row>
    <row r="863" spans="1:14" x14ac:dyDescent="0.15">
      <c r="A863" s="3">
        <v>862</v>
      </c>
      <c r="B863" s="1" t="s">
        <v>1366</v>
      </c>
      <c r="C863" s="1" t="s">
        <v>920</v>
      </c>
      <c r="E863" s="1" t="s">
        <v>4012</v>
      </c>
      <c r="F863" s="1" t="s">
        <v>4017</v>
      </c>
      <c r="G863" s="3">
        <v>0</v>
      </c>
      <c r="H863" s="20" t="s">
        <v>6669</v>
      </c>
      <c r="I863" s="20" t="s">
        <v>4018</v>
      </c>
      <c r="J863" s="20" t="s">
        <v>2860</v>
      </c>
      <c r="K863" s="20" t="s">
        <v>10013</v>
      </c>
      <c r="L863" s="3">
        <v>30</v>
      </c>
      <c r="M863" s="3" t="s">
        <v>10059</v>
      </c>
      <c r="N863" s="3" t="str">
        <f>HYPERLINK("http://ictvonline.org/taxonomyHistory.asp?taxnode_id=20160625","ICTVonline=20160625")</f>
        <v>ICTVonline=20160625</v>
      </c>
    </row>
    <row r="864" spans="1:14" x14ac:dyDescent="0.15">
      <c r="A864" s="3">
        <v>863</v>
      </c>
      <c r="B864" s="1" t="s">
        <v>1366</v>
      </c>
      <c r="C864" s="1" t="s">
        <v>920</v>
      </c>
      <c r="E864" s="1" t="s">
        <v>4012</v>
      </c>
      <c r="F864" s="1" t="s">
        <v>4019</v>
      </c>
      <c r="G864" s="3">
        <v>0</v>
      </c>
      <c r="H864" s="20" t="s">
        <v>6670</v>
      </c>
      <c r="I864" s="20" t="s">
        <v>4020</v>
      </c>
      <c r="J864" s="20" t="s">
        <v>2860</v>
      </c>
      <c r="K864" s="20" t="s">
        <v>10013</v>
      </c>
      <c r="L864" s="3">
        <v>30</v>
      </c>
      <c r="M864" s="3" t="s">
        <v>10059</v>
      </c>
      <c r="N864" s="3" t="str">
        <f>HYPERLINK("http://ictvonline.org/taxonomyHistory.asp?taxnode_id=20160626","ICTVonline=20160626")</f>
        <v>ICTVonline=20160626</v>
      </c>
    </row>
    <row r="865" spans="1:14" x14ac:dyDescent="0.15">
      <c r="A865" s="3">
        <v>864</v>
      </c>
      <c r="B865" s="1" t="s">
        <v>1366</v>
      </c>
      <c r="C865" s="1" t="s">
        <v>920</v>
      </c>
      <c r="E865" s="1" t="s">
        <v>8416</v>
      </c>
      <c r="F865" s="1" t="s">
        <v>8417</v>
      </c>
      <c r="G865" s="3">
        <v>1</v>
      </c>
      <c r="H865" s="20" t="s">
        <v>8418</v>
      </c>
      <c r="I865" s="20" t="s">
        <v>8419</v>
      </c>
      <c r="J865" s="20" t="s">
        <v>2860</v>
      </c>
      <c r="K865" s="20" t="s">
        <v>10013</v>
      </c>
      <c r="L865" s="3">
        <v>31</v>
      </c>
      <c r="M865" s="3" t="s">
        <v>8420</v>
      </c>
      <c r="N865" s="3" t="str">
        <f>HYPERLINK("http://ictvonline.org/taxonomyHistory.asp?taxnode_id=20165015","ICTVonline=20165015")</f>
        <v>ICTVonline=20165015</v>
      </c>
    </row>
    <row r="866" spans="1:14" x14ac:dyDescent="0.15">
      <c r="A866" s="3">
        <v>865</v>
      </c>
      <c r="B866" s="1" t="s">
        <v>1366</v>
      </c>
      <c r="C866" s="1" t="s">
        <v>920</v>
      </c>
      <c r="E866" s="1" t="s">
        <v>8416</v>
      </c>
      <c r="F866" s="1" t="s">
        <v>8421</v>
      </c>
      <c r="G866" s="3">
        <v>0</v>
      </c>
      <c r="H866" s="20" t="s">
        <v>8422</v>
      </c>
      <c r="I866" s="20" t="s">
        <v>8423</v>
      </c>
      <c r="J866" s="20" t="s">
        <v>2860</v>
      </c>
      <c r="K866" s="20" t="s">
        <v>10013</v>
      </c>
      <c r="L866" s="3">
        <v>31</v>
      </c>
      <c r="M866" s="3" t="s">
        <v>8420</v>
      </c>
      <c r="N866" s="3" t="str">
        <f>HYPERLINK("http://ictvonline.org/taxonomyHistory.asp?taxnode_id=20165016","ICTVonline=20165016")</f>
        <v>ICTVonline=20165016</v>
      </c>
    </row>
    <row r="867" spans="1:14" x14ac:dyDescent="0.15">
      <c r="A867" s="3">
        <v>866</v>
      </c>
      <c r="B867" s="1" t="s">
        <v>1366</v>
      </c>
      <c r="C867" s="1" t="s">
        <v>920</v>
      </c>
      <c r="E867" s="1" t="s">
        <v>4021</v>
      </c>
      <c r="F867" s="1" t="s">
        <v>4022</v>
      </c>
      <c r="G867" s="3">
        <v>0</v>
      </c>
      <c r="H867" s="20" t="s">
        <v>3030</v>
      </c>
      <c r="J867" s="20" t="s">
        <v>2860</v>
      </c>
      <c r="K867" s="20" t="s">
        <v>10014</v>
      </c>
      <c r="L867" s="3">
        <v>30</v>
      </c>
      <c r="M867" s="3" t="s">
        <v>10017</v>
      </c>
      <c r="N867" s="3" t="str">
        <f>HYPERLINK("http://ictvonline.org/taxonomyHistory.asp?taxnode_id=20160628","ICTVonline=20160628")</f>
        <v>ICTVonline=20160628</v>
      </c>
    </row>
    <row r="868" spans="1:14" x14ac:dyDescent="0.15">
      <c r="A868" s="3">
        <v>867</v>
      </c>
      <c r="B868" s="1" t="s">
        <v>1366</v>
      </c>
      <c r="C868" s="1" t="s">
        <v>920</v>
      </c>
      <c r="E868" s="1" t="s">
        <v>4021</v>
      </c>
      <c r="F868" s="1" t="s">
        <v>4023</v>
      </c>
      <c r="G868" s="3">
        <v>0</v>
      </c>
      <c r="H868" s="20" t="s">
        <v>3031</v>
      </c>
      <c r="J868" s="20" t="s">
        <v>2860</v>
      </c>
      <c r="K868" s="20" t="s">
        <v>10014</v>
      </c>
      <c r="L868" s="3">
        <v>30</v>
      </c>
      <c r="M868" s="3" t="s">
        <v>10017</v>
      </c>
      <c r="N868" s="3" t="str">
        <f>HYPERLINK("http://ictvonline.org/taxonomyHistory.asp?taxnode_id=20160629","ICTVonline=20160629")</f>
        <v>ICTVonline=20160629</v>
      </c>
    </row>
    <row r="869" spans="1:14" x14ac:dyDescent="0.15">
      <c r="A869" s="3">
        <v>868</v>
      </c>
      <c r="B869" s="1" t="s">
        <v>1366</v>
      </c>
      <c r="C869" s="1" t="s">
        <v>920</v>
      </c>
      <c r="E869" s="1" t="s">
        <v>4021</v>
      </c>
      <c r="F869" s="1" t="s">
        <v>4024</v>
      </c>
      <c r="G869" s="3">
        <v>0</v>
      </c>
      <c r="H869" s="20" t="s">
        <v>3032</v>
      </c>
      <c r="J869" s="20" t="s">
        <v>2860</v>
      </c>
      <c r="K869" s="20" t="s">
        <v>10014</v>
      </c>
      <c r="L869" s="3">
        <v>30</v>
      </c>
      <c r="M869" s="3" t="s">
        <v>10017</v>
      </c>
      <c r="N869" s="3" t="str">
        <f>HYPERLINK("http://ictvonline.org/taxonomyHistory.asp?taxnode_id=20160630","ICTVonline=20160630")</f>
        <v>ICTVonline=20160630</v>
      </c>
    </row>
    <row r="870" spans="1:14" x14ac:dyDescent="0.15">
      <c r="A870" s="3">
        <v>869</v>
      </c>
      <c r="B870" s="1" t="s">
        <v>1366</v>
      </c>
      <c r="C870" s="1" t="s">
        <v>920</v>
      </c>
      <c r="E870" s="1" t="s">
        <v>4021</v>
      </c>
      <c r="F870" s="1" t="s">
        <v>4025</v>
      </c>
      <c r="G870" s="3">
        <v>1</v>
      </c>
      <c r="H870" s="20" t="s">
        <v>3033</v>
      </c>
      <c r="J870" s="20" t="s">
        <v>2860</v>
      </c>
      <c r="K870" s="20" t="s">
        <v>10014</v>
      </c>
      <c r="L870" s="3">
        <v>30</v>
      </c>
      <c r="M870" s="3" t="s">
        <v>10017</v>
      </c>
      <c r="N870" s="3" t="str">
        <f>HYPERLINK("http://ictvonline.org/taxonomyHistory.asp?taxnode_id=20160631","ICTVonline=20160631")</f>
        <v>ICTVonline=20160631</v>
      </c>
    </row>
    <row r="871" spans="1:14" x14ac:dyDescent="0.15">
      <c r="A871" s="3">
        <v>870</v>
      </c>
      <c r="B871" s="1" t="s">
        <v>1366</v>
      </c>
      <c r="C871" s="1" t="s">
        <v>920</v>
      </c>
      <c r="E871" s="1" t="s">
        <v>4021</v>
      </c>
      <c r="F871" s="1" t="s">
        <v>4026</v>
      </c>
      <c r="G871" s="3">
        <v>0</v>
      </c>
      <c r="H871" s="20" t="s">
        <v>3034</v>
      </c>
      <c r="J871" s="20" t="s">
        <v>2860</v>
      </c>
      <c r="K871" s="20" t="s">
        <v>10014</v>
      </c>
      <c r="L871" s="3">
        <v>30</v>
      </c>
      <c r="M871" s="3" t="s">
        <v>10017</v>
      </c>
      <c r="N871" s="3" t="str">
        <f>HYPERLINK("http://ictvonline.org/taxonomyHistory.asp?taxnode_id=20160632","ICTVonline=20160632")</f>
        <v>ICTVonline=20160632</v>
      </c>
    </row>
    <row r="872" spans="1:14" x14ac:dyDescent="0.15">
      <c r="A872" s="3">
        <v>871</v>
      </c>
      <c r="B872" s="1" t="s">
        <v>1366</v>
      </c>
      <c r="C872" s="1" t="s">
        <v>920</v>
      </c>
      <c r="E872" s="1" t="s">
        <v>4021</v>
      </c>
      <c r="F872" s="1" t="s">
        <v>4027</v>
      </c>
      <c r="G872" s="3">
        <v>0</v>
      </c>
      <c r="H872" s="20" t="s">
        <v>3035</v>
      </c>
      <c r="J872" s="20" t="s">
        <v>2860</v>
      </c>
      <c r="K872" s="20" t="s">
        <v>10014</v>
      </c>
      <c r="L872" s="3">
        <v>30</v>
      </c>
      <c r="M872" s="3" t="s">
        <v>10017</v>
      </c>
      <c r="N872" s="3" t="str">
        <f>HYPERLINK("http://ictvonline.org/taxonomyHistory.asp?taxnode_id=20160633","ICTVonline=20160633")</f>
        <v>ICTVonline=20160633</v>
      </c>
    </row>
    <row r="873" spans="1:14" x14ac:dyDescent="0.15">
      <c r="A873" s="3">
        <v>872</v>
      </c>
      <c r="B873" s="1" t="s">
        <v>1366</v>
      </c>
      <c r="C873" s="1" t="s">
        <v>920</v>
      </c>
      <c r="E873" s="1" t="s">
        <v>8424</v>
      </c>
      <c r="F873" s="1" t="s">
        <v>8425</v>
      </c>
      <c r="G873" s="3">
        <v>1</v>
      </c>
      <c r="H873" s="20" t="s">
        <v>8426</v>
      </c>
      <c r="I873" s="20" t="s">
        <v>8427</v>
      </c>
      <c r="J873" s="20" t="s">
        <v>2860</v>
      </c>
      <c r="K873" s="20" t="s">
        <v>10013</v>
      </c>
      <c r="L873" s="3">
        <v>31</v>
      </c>
      <c r="M873" s="3" t="s">
        <v>8428</v>
      </c>
      <c r="N873" s="3" t="str">
        <f>HYPERLINK("http://ictvonline.org/taxonomyHistory.asp?taxnode_id=20165017","ICTVonline=20165017")</f>
        <v>ICTVonline=20165017</v>
      </c>
    </row>
    <row r="874" spans="1:14" x14ac:dyDescent="0.15">
      <c r="A874" s="3">
        <v>873</v>
      </c>
      <c r="B874" s="1" t="s">
        <v>1366</v>
      </c>
      <c r="C874" s="1" t="s">
        <v>920</v>
      </c>
      <c r="E874" s="1" t="s">
        <v>8424</v>
      </c>
      <c r="F874" s="1" t="s">
        <v>8429</v>
      </c>
      <c r="G874" s="3">
        <v>0</v>
      </c>
      <c r="H874" s="20" t="s">
        <v>8430</v>
      </c>
      <c r="I874" s="20" t="s">
        <v>8431</v>
      </c>
      <c r="J874" s="20" t="s">
        <v>2860</v>
      </c>
      <c r="K874" s="20" t="s">
        <v>10013</v>
      </c>
      <c r="L874" s="3">
        <v>31</v>
      </c>
      <c r="M874" s="3" t="s">
        <v>8428</v>
      </c>
      <c r="N874" s="3" t="str">
        <f>HYPERLINK("http://ictvonline.org/taxonomyHistory.asp?taxnode_id=20165018","ICTVonline=20165018")</f>
        <v>ICTVonline=20165018</v>
      </c>
    </row>
    <row r="875" spans="1:14" x14ac:dyDescent="0.15">
      <c r="A875" s="3">
        <v>874</v>
      </c>
      <c r="B875" s="1" t="s">
        <v>1366</v>
      </c>
      <c r="C875" s="1" t="s">
        <v>920</v>
      </c>
      <c r="E875" s="1" t="s">
        <v>8432</v>
      </c>
      <c r="F875" s="1" t="s">
        <v>8433</v>
      </c>
      <c r="G875" s="3">
        <v>0</v>
      </c>
      <c r="H875" s="20" t="s">
        <v>8434</v>
      </c>
      <c r="I875" s="20" t="s">
        <v>8435</v>
      </c>
      <c r="J875" s="20" t="s">
        <v>2860</v>
      </c>
      <c r="K875" s="20" t="s">
        <v>10013</v>
      </c>
      <c r="L875" s="3">
        <v>31</v>
      </c>
      <c r="M875" s="3" t="s">
        <v>8436</v>
      </c>
      <c r="N875" s="3" t="str">
        <f>HYPERLINK("http://ictvonline.org/taxonomyHistory.asp?taxnode_id=20165019","ICTVonline=20165019")</f>
        <v>ICTVonline=20165019</v>
      </c>
    </row>
    <row r="876" spans="1:14" x14ac:dyDescent="0.15">
      <c r="A876" s="3">
        <v>875</v>
      </c>
      <c r="B876" s="1" t="s">
        <v>1366</v>
      </c>
      <c r="C876" s="1" t="s">
        <v>920</v>
      </c>
      <c r="E876" s="1" t="s">
        <v>8432</v>
      </c>
      <c r="F876" s="1" t="s">
        <v>8437</v>
      </c>
      <c r="G876" s="3">
        <v>1</v>
      </c>
      <c r="H876" s="20" t="s">
        <v>8438</v>
      </c>
      <c r="I876" s="20" t="s">
        <v>8435</v>
      </c>
      <c r="J876" s="20" t="s">
        <v>2860</v>
      </c>
      <c r="K876" s="20" t="s">
        <v>10013</v>
      </c>
      <c r="L876" s="3">
        <v>31</v>
      </c>
      <c r="M876" s="3" t="s">
        <v>8436</v>
      </c>
      <c r="N876" s="3" t="str">
        <f>HYPERLINK("http://ictvonline.org/taxonomyHistory.asp?taxnode_id=20165020","ICTVonline=20165020")</f>
        <v>ICTVonline=20165020</v>
      </c>
    </row>
    <row r="877" spans="1:14" x14ac:dyDescent="0.15">
      <c r="A877" s="3">
        <v>876</v>
      </c>
      <c r="B877" s="1" t="s">
        <v>1366</v>
      </c>
      <c r="C877" s="1" t="s">
        <v>920</v>
      </c>
      <c r="E877" s="1" t="s">
        <v>4028</v>
      </c>
      <c r="F877" s="1" t="s">
        <v>4029</v>
      </c>
      <c r="G877" s="3">
        <v>1</v>
      </c>
      <c r="H877" s="20" t="s">
        <v>3036</v>
      </c>
      <c r="J877" s="20" t="s">
        <v>2860</v>
      </c>
      <c r="K877" s="20" t="s">
        <v>10014</v>
      </c>
      <c r="L877" s="3">
        <v>30</v>
      </c>
      <c r="M877" s="3" t="s">
        <v>10017</v>
      </c>
      <c r="N877" s="3" t="str">
        <f>HYPERLINK("http://ictvonline.org/taxonomyHistory.asp?taxnode_id=20160635","ICTVonline=20160635")</f>
        <v>ICTVonline=20160635</v>
      </c>
    </row>
    <row r="878" spans="1:14" x14ac:dyDescent="0.15">
      <c r="A878" s="3">
        <v>877</v>
      </c>
      <c r="B878" s="1" t="s">
        <v>1366</v>
      </c>
      <c r="C878" s="1" t="s">
        <v>920</v>
      </c>
      <c r="E878" s="1" t="s">
        <v>4028</v>
      </c>
      <c r="F878" s="1" t="s">
        <v>4030</v>
      </c>
      <c r="G878" s="3">
        <v>0</v>
      </c>
      <c r="H878" s="20" t="s">
        <v>3037</v>
      </c>
      <c r="J878" s="20" t="s">
        <v>2860</v>
      </c>
      <c r="K878" s="20" t="s">
        <v>10014</v>
      </c>
      <c r="L878" s="3">
        <v>30</v>
      </c>
      <c r="M878" s="3" t="s">
        <v>10017</v>
      </c>
      <c r="N878" s="3" t="str">
        <f>HYPERLINK("http://ictvonline.org/taxonomyHistory.asp?taxnode_id=20160636","ICTVonline=20160636")</f>
        <v>ICTVonline=20160636</v>
      </c>
    </row>
    <row r="879" spans="1:14" x14ac:dyDescent="0.15">
      <c r="A879" s="3">
        <v>878</v>
      </c>
      <c r="B879" s="1" t="s">
        <v>1366</v>
      </c>
      <c r="C879" s="1" t="s">
        <v>920</v>
      </c>
      <c r="E879" s="1" t="s">
        <v>4031</v>
      </c>
      <c r="F879" s="1" t="s">
        <v>4032</v>
      </c>
      <c r="G879" s="3">
        <v>0</v>
      </c>
      <c r="H879" s="20" t="s">
        <v>6671</v>
      </c>
      <c r="I879" s="20" t="s">
        <v>4033</v>
      </c>
      <c r="J879" s="20" t="s">
        <v>2860</v>
      </c>
      <c r="K879" s="20" t="s">
        <v>10013</v>
      </c>
      <c r="L879" s="3">
        <v>30</v>
      </c>
      <c r="M879" s="3" t="s">
        <v>10060</v>
      </c>
      <c r="N879" s="3" t="str">
        <f>HYPERLINK("http://ictvonline.org/taxonomyHistory.asp?taxnode_id=20160638","ICTVonline=20160638")</f>
        <v>ICTVonline=20160638</v>
      </c>
    </row>
    <row r="880" spans="1:14" x14ac:dyDescent="0.15">
      <c r="A880" s="3">
        <v>879</v>
      </c>
      <c r="B880" s="1" t="s">
        <v>1366</v>
      </c>
      <c r="C880" s="1" t="s">
        <v>920</v>
      </c>
      <c r="E880" s="1" t="s">
        <v>4031</v>
      </c>
      <c r="F880" s="1" t="s">
        <v>4034</v>
      </c>
      <c r="G880" s="3">
        <v>0</v>
      </c>
      <c r="H880" s="20" t="s">
        <v>6672</v>
      </c>
      <c r="I880" s="20" t="s">
        <v>4035</v>
      </c>
      <c r="J880" s="20" t="s">
        <v>2860</v>
      </c>
      <c r="K880" s="20" t="s">
        <v>10013</v>
      </c>
      <c r="L880" s="3">
        <v>30</v>
      </c>
      <c r="M880" s="3" t="s">
        <v>10060</v>
      </c>
      <c r="N880" s="3" t="str">
        <f>HYPERLINK("http://ictvonline.org/taxonomyHistory.asp?taxnode_id=20160639","ICTVonline=20160639")</f>
        <v>ICTVonline=20160639</v>
      </c>
    </row>
    <row r="881" spans="1:14" x14ac:dyDescent="0.15">
      <c r="A881" s="3">
        <v>880</v>
      </c>
      <c r="B881" s="1" t="s">
        <v>1366</v>
      </c>
      <c r="C881" s="1" t="s">
        <v>920</v>
      </c>
      <c r="E881" s="1" t="s">
        <v>4031</v>
      </c>
      <c r="F881" s="1" t="s">
        <v>4036</v>
      </c>
      <c r="G881" s="3">
        <v>0</v>
      </c>
      <c r="H881" s="20" t="s">
        <v>6673</v>
      </c>
      <c r="I881" s="20" t="s">
        <v>4037</v>
      </c>
      <c r="J881" s="20" t="s">
        <v>2860</v>
      </c>
      <c r="K881" s="20" t="s">
        <v>10013</v>
      </c>
      <c r="L881" s="3">
        <v>30</v>
      </c>
      <c r="M881" s="3" t="s">
        <v>10060</v>
      </c>
      <c r="N881" s="3" t="str">
        <f>HYPERLINK("http://ictvonline.org/taxonomyHistory.asp?taxnode_id=20160640","ICTVonline=20160640")</f>
        <v>ICTVonline=20160640</v>
      </c>
    </row>
    <row r="882" spans="1:14" x14ac:dyDescent="0.15">
      <c r="A882" s="3">
        <v>881</v>
      </c>
      <c r="B882" s="1" t="s">
        <v>1366</v>
      </c>
      <c r="C882" s="1" t="s">
        <v>920</v>
      </c>
      <c r="E882" s="1" t="s">
        <v>4031</v>
      </c>
      <c r="F882" s="1" t="s">
        <v>4038</v>
      </c>
      <c r="G882" s="3">
        <v>0</v>
      </c>
      <c r="H882" s="20" t="s">
        <v>6674</v>
      </c>
      <c r="I882" s="20" t="s">
        <v>4039</v>
      </c>
      <c r="J882" s="20" t="s">
        <v>2860</v>
      </c>
      <c r="K882" s="20" t="s">
        <v>10013</v>
      </c>
      <c r="L882" s="3">
        <v>30</v>
      </c>
      <c r="M882" s="3" t="s">
        <v>10060</v>
      </c>
      <c r="N882" s="3" t="str">
        <f>HYPERLINK("http://ictvonline.org/taxonomyHistory.asp?taxnode_id=20160641","ICTVonline=20160641")</f>
        <v>ICTVonline=20160641</v>
      </c>
    </row>
    <row r="883" spans="1:14" x14ac:dyDescent="0.15">
      <c r="A883" s="3">
        <v>882</v>
      </c>
      <c r="B883" s="1" t="s">
        <v>1366</v>
      </c>
      <c r="C883" s="1" t="s">
        <v>920</v>
      </c>
      <c r="E883" s="1" t="s">
        <v>4031</v>
      </c>
      <c r="F883" s="1" t="s">
        <v>4040</v>
      </c>
      <c r="G883" s="3">
        <v>1</v>
      </c>
      <c r="H883" s="20" t="s">
        <v>6675</v>
      </c>
      <c r="I883" s="20" t="s">
        <v>4041</v>
      </c>
      <c r="J883" s="20" t="s">
        <v>2860</v>
      </c>
      <c r="K883" s="20" t="s">
        <v>10013</v>
      </c>
      <c r="L883" s="3">
        <v>30</v>
      </c>
      <c r="M883" s="3" t="s">
        <v>10060</v>
      </c>
      <c r="N883" s="3" t="str">
        <f>HYPERLINK("http://ictvonline.org/taxonomyHistory.asp?taxnode_id=20160642","ICTVonline=20160642")</f>
        <v>ICTVonline=20160642</v>
      </c>
    </row>
    <row r="884" spans="1:14" x14ac:dyDescent="0.15">
      <c r="A884" s="3">
        <v>883</v>
      </c>
      <c r="B884" s="1" t="s">
        <v>1366</v>
      </c>
      <c r="C884" s="1" t="s">
        <v>920</v>
      </c>
      <c r="E884" s="1" t="s">
        <v>8439</v>
      </c>
      <c r="F884" s="1" t="s">
        <v>8440</v>
      </c>
      <c r="G884" s="3">
        <v>0</v>
      </c>
      <c r="H884" s="20" t="s">
        <v>8441</v>
      </c>
      <c r="I884" s="20" t="s">
        <v>8442</v>
      </c>
      <c r="J884" s="20" t="s">
        <v>2860</v>
      </c>
      <c r="K884" s="20" t="s">
        <v>10013</v>
      </c>
      <c r="L884" s="3">
        <v>31</v>
      </c>
      <c r="M884" s="3" t="s">
        <v>8443</v>
      </c>
      <c r="N884" s="3" t="str">
        <f>HYPERLINK("http://ictvonline.org/taxonomyHistory.asp?taxnode_id=20165021","ICTVonline=20165021")</f>
        <v>ICTVonline=20165021</v>
      </c>
    </row>
    <row r="885" spans="1:14" x14ac:dyDescent="0.15">
      <c r="A885" s="3">
        <v>884</v>
      </c>
      <c r="B885" s="1" t="s">
        <v>1366</v>
      </c>
      <c r="C885" s="1" t="s">
        <v>920</v>
      </c>
      <c r="E885" s="1" t="s">
        <v>8439</v>
      </c>
      <c r="F885" s="1" t="s">
        <v>8444</v>
      </c>
      <c r="G885" s="3">
        <v>0</v>
      </c>
      <c r="H885" s="20" t="s">
        <v>8445</v>
      </c>
      <c r="I885" s="20" t="s">
        <v>8446</v>
      </c>
      <c r="J885" s="20" t="s">
        <v>2860</v>
      </c>
      <c r="K885" s="20" t="s">
        <v>10013</v>
      </c>
      <c r="L885" s="3">
        <v>31</v>
      </c>
      <c r="M885" s="3" t="s">
        <v>8443</v>
      </c>
      <c r="N885" s="3" t="str">
        <f>HYPERLINK("http://ictvonline.org/taxonomyHistory.asp?taxnode_id=20165022","ICTVonline=20165022")</f>
        <v>ICTVonline=20165022</v>
      </c>
    </row>
    <row r="886" spans="1:14" x14ac:dyDescent="0.15">
      <c r="A886" s="3">
        <v>885</v>
      </c>
      <c r="B886" s="1" t="s">
        <v>1366</v>
      </c>
      <c r="C886" s="1" t="s">
        <v>920</v>
      </c>
      <c r="E886" s="1" t="s">
        <v>8439</v>
      </c>
      <c r="F886" s="1" t="s">
        <v>8447</v>
      </c>
      <c r="G886" s="3">
        <v>0</v>
      </c>
      <c r="H886" s="20" t="s">
        <v>8448</v>
      </c>
      <c r="I886" s="20" t="s">
        <v>8449</v>
      </c>
      <c r="J886" s="20" t="s">
        <v>2860</v>
      </c>
      <c r="K886" s="20" t="s">
        <v>10013</v>
      </c>
      <c r="L886" s="3">
        <v>31</v>
      </c>
      <c r="M886" s="3" t="s">
        <v>8443</v>
      </c>
      <c r="N886" s="3" t="str">
        <f>HYPERLINK("http://ictvonline.org/taxonomyHistory.asp?taxnode_id=20165023","ICTVonline=20165023")</f>
        <v>ICTVonline=20165023</v>
      </c>
    </row>
    <row r="887" spans="1:14" x14ac:dyDescent="0.15">
      <c r="A887" s="3">
        <v>886</v>
      </c>
      <c r="B887" s="1" t="s">
        <v>1366</v>
      </c>
      <c r="C887" s="1" t="s">
        <v>920</v>
      </c>
      <c r="E887" s="1" t="s">
        <v>8439</v>
      </c>
      <c r="F887" s="1" t="s">
        <v>8450</v>
      </c>
      <c r="G887" s="3">
        <v>0</v>
      </c>
      <c r="H887" s="20" t="s">
        <v>8451</v>
      </c>
      <c r="I887" s="20" t="s">
        <v>8452</v>
      </c>
      <c r="J887" s="20" t="s">
        <v>2860</v>
      </c>
      <c r="K887" s="20" t="s">
        <v>10013</v>
      </c>
      <c r="L887" s="3">
        <v>31</v>
      </c>
      <c r="M887" s="3" t="s">
        <v>8443</v>
      </c>
      <c r="N887" s="3" t="str">
        <f>HYPERLINK("http://ictvonline.org/taxonomyHistory.asp?taxnode_id=20165024","ICTVonline=20165024")</f>
        <v>ICTVonline=20165024</v>
      </c>
    </row>
    <row r="888" spans="1:14" x14ac:dyDescent="0.15">
      <c r="A888" s="3">
        <v>887</v>
      </c>
      <c r="B888" s="1" t="s">
        <v>1366</v>
      </c>
      <c r="C888" s="1" t="s">
        <v>920</v>
      </c>
      <c r="E888" s="1" t="s">
        <v>8439</v>
      </c>
      <c r="F888" s="1" t="s">
        <v>8453</v>
      </c>
      <c r="G888" s="3">
        <v>0</v>
      </c>
      <c r="H888" s="20" t="s">
        <v>8454</v>
      </c>
      <c r="I888" s="20" t="s">
        <v>8455</v>
      </c>
      <c r="J888" s="20" t="s">
        <v>2860</v>
      </c>
      <c r="K888" s="20" t="s">
        <v>10013</v>
      </c>
      <c r="L888" s="3">
        <v>31</v>
      </c>
      <c r="M888" s="3" t="s">
        <v>8443</v>
      </c>
      <c r="N888" s="3" t="str">
        <f>HYPERLINK("http://ictvonline.org/taxonomyHistory.asp?taxnode_id=20165025","ICTVonline=20165025")</f>
        <v>ICTVonline=20165025</v>
      </c>
    </row>
    <row r="889" spans="1:14" x14ac:dyDescent="0.15">
      <c r="A889" s="3">
        <v>888</v>
      </c>
      <c r="B889" s="1" t="s">
        <v>1366</v>
      </c>
      <c r="C889" s="1" t="s">
        <v>920</v>
      </c>
      <c r="E889" s="1" t="s">
        <v>8439</v>
      </c>
      <c r="F889" s="1" t="s">
        <v>8456</v>
      </c>
      <c r="G889" s="3">
        <v>0</v>
      </c>
      <c r="H889" s="20" t="s">
        <v>8457</v>
      </c>
      <c r="I889" s="20" t="s">
        <v>8458</v>
      </c>
      <c r="J889" s="20" t="s">
        <v>2860</v>
      </c>
      <c r="K889" s="20" t="s">
        <v>10013</v>
      </c>
      <c r="L889" s="3">
        <v>31</v>
      </c>
      <c r="M889" s="3" t="s">
        <v>8443</v>
      </c>
      <c r="N889" s="3" t="str">
        <f>HYPERLINK("http://ictvonline.org/taxonomyHistory.asp?taxnode_id=20165026","ICTVonline=20165026")</f>
        <v>ICTVonline=20165026</v>
      </c>
    </row>
    <row r="890" spans="1:14" x14ac:dyDescent="0.15">
      <c r="A890" s="3">
        <v>889</v>
      </c>
      <c r="B890" s="1" t="s">
        <v>1366</v>
      </c>
      <c r="C890" s="1" t="s">
        <v>920</v>
      </c>
      <c r="E890" s="1" t="s">
        <v>8439</v>
      </c>
      <c r="F890" s="1" t="s">
        <v>8459</v>
      </c>
      <c r="G890" s="3">
        <v>0</v>
      </c>
      <c r="H890" s="20" t="s">
        <v>8460</v>
      </c>
      <c r="I890" s="20" t="s">
        <v>8461</v>
      </c>
      <c r="J890" s="20" t="s">
        <v>2860</v>
      </c>
      <c r="K890" s="20" t="s">
        <v>10013</v>
      </c>
      <c r="L890" s="3">
        <v>31</v>
      </c>
      <c r="M890" s="3" t="s">
        <v>8443</v>
      </c>
      <c r="N890" s="3" t="str">
        <f>HYPERLINK("http://ictvonline.org/taxonomyHistory.asp?taxnode_id=20165027","ICTVonline=20165027")</f>
        <v>ICTVonline=20165027</v>
      </c>
    </row>
    <row r="891" spans="1:14" x14ac:dyDescent="0.15">
      <c r="A891" s="3">
        <v>890</v>
      </c>
      <c r="B891" s="1" t="s">
        <v>1366</v>
      </c>
      <c r="C891" s="1" t="s">
        <v>920</v>
      </c>
      <c r="E891" s="1" t="s">
        <v>8439</v>
      </c>
      <c r="F891" s="1" t="s">
        <v>8462</v>
      </c>
      <c r="G891" s="3">
        <v>0</v>
      </c>
      <c r="H891" s="20" t="s">
        <v>8463</v>
      </c>
      <c r="I891" s="20" t="s">
        <v>8464</v>
      </c>
      <c r="J891" s="20" t="s">
        <v>2860</v>
      </c>
      <c r="K891" s="20" t="s">
        <v>10013</v>
      </c>
      <c r="L891" s="3">
        <v>31</v>
      </c>
      <c r="M891" s="3" t="s">
        <v>8443</v>
      </c>
      <c r="N891" s="3" t="str">
        <f>HYPERLINK("http://ictvonline.org/taxonomyHistory.asp?taxnode_id=20165028","ICTVonline=20165028")</f>
        <v>ICTVonline=20165028</v>
      </c>
    </row>
    <row r="892" spans="1:14" x14ac:dyDescent="0.15">
      <c r="A892" s="3">
        <v>891</v>
      </c>
      <c r="B892" s="1" t="s">
        <v>1366</v>
      </c>
      <c r="C892" s="1" t="s">
        <v>920</v>
      </c>
      <c r="E892" s="1" t="s">
        <v>8439</v>
      </c>
      <c r="F892" s="1" t="s">
        <v>8465</v>
      </c>
      <c r="G892" s="3">
        <v>0</v>
      </c>
      <c r="H892" s="20" t="s">
        <v>8466</v>
      </c>
      <c r="I892" s="20" t="s">
        <v>8467</v>
      </c>
      <c r="J892" s="20" t="s">
        <v>2860</v>
      </c>
      <c r="K892" s="20" t="s">
        <v>10013</v>
      </c>
      <c r="L892" s="3">
        <v>31</v>
      </c>
      <c r="M892" s="3" t="s">
        <v>8443</v>
      </c>
      <c r="N892" s="3" t="str">
        <f>HYPERLINK("http://ictvonline.org/taxonomyHistory.asp?taxnode_id=20165037","ICTVonline=20165037")</f>
        <v>ICTVonline=20165037</v>
      </c>
    </row>
    <row r="893" spans="1:14" x14ac:dyDescent="0.15">
      <c r="A893" s="3">
        <v>892</v>
      </c>
      <c r="B893" s="1" t="s">
        <v>1366</v>
      </c>
      <c r="C893" s="1" t="s">
        <v>920</v>
      </c>
      <c r="E893" s="1" t="s">
        <v>8439</v>
      </c>
      <c r="F893" s="1" t="s">
        <v>8468</v>
      </c>
      <c r="G893" s="3">
        <v>0</v>
      </c>
      <c r="H893" s="20" t="s">
        <v>8469</v>
      </c>
      <c r="I893" s="20" t="s">
        <v>8470</v>
      </c>
      <c r="J893" s="20" t="s">
        <v>2860</v>
      </c>
      <c r="K893" s="20" t="s">
        <v>10013</v>
      </c>
      <c r="L893" s="3">
        <v>31</v>
      </c>
      <c r="M893" s="3" t="s">
        <v>8443</v>
      </c>
      <c r="N893" s="3" t="str">
        <f>HYPERLINK("http://ictvonline.org/taxonomyHistory.asp?taxnode_id=20165035","ICTVonline=20165035")</f>
        <v>ICTVonline=20165035</v>
      </c>
    </row>
    <row r="894" spans="1:14" x14ac:dyDescent="0.15">
      <c r="A894" s="3">
        <v>893</v>
      </c>
      <c r="B894" s="1" t="s">
        <v>1366</v>
      </c>
      <c r="C894" s="1" t="s">
        <v>920</v>
      </c>
      <c r="E894" s="1" t="s">
        <v>8439</v>
      </c>
      <c r="F894" s="1" t="s">
        <v>8471</v>
      </c>
      <c r="G894" s="3">
        <v>0</v>
      </c>
      <c r="H894" s="20" t="s">
        <v>8472</v>
      </c>
      <c r="I894" s="20" t="s">
        <v>8473</v>
      </c>
      <c r="J894" s="20" t="s">
        <v>2860</v>
      </c>
      <c r="K894" s="20" t="s">
        <v>10013</v>
      </c>
      <c r="L894" s="3">
        <v>31</v>
      </c>
      <c r="M894" s="3" t="s">
        <v>8443</v>
      </c>
      <c r="N894" s="3" t="str">
        <f>HYPERLINK("http://ictvonline.org/taxonomyHistory.asp?taxnode_id=20165036","ICTVonline=20165036")</f>
        <v>ICTVonline=20165036</v>
      </c>
    </row>
    <row r="895" spans="1:14" x14ac:dyDescent="0.15">
      <c r="A895" s="3">
        <v>894</v>
      </c>
      <c r="B895" s="1" t="s">
        <v>1366</v>
      </c>
      <c r="C895" s="1" t="s">
        <v>920</v>
      </c>
      <c r="E895" s="1" t="s">
        <v>8439</v>
      </c>
      <c r="F895" s="1" t="s">
        <v>8474</v>
      </c>
      <c r="G895" s="3">
        <v>0</v>
      </c>
      <c r="H895" s="20" t="s">
        <v>8475</v>
      </c>
      <c r="I895" s="20" t="s">
        <v>8476</v>
      </c>
      <c r="J895" s="20" t="s">
        <v>2860</v>
      </c>
      <c r="K895" s="20" t="s">
        <v>10013</v>
      </c>
      <c r="L895" s="3">
        <v>31</v>
      </c>
      <c r="M895" s="3" t="s">
        <v>8443</v>
      </c>
      <c r="N895" s="3" t="str">
        <f>HYPERLINK("http://ictvonline.org/taxonomyHistory.asp?taxnode_id=20165030","ICTVonline=20165030")</f>
        <v>ICTVonline=20165030</v>
      </c>
    </row>
    <row r="896" spans="1:14" x14ac:dyDescent="0.15">
      <c r="A896" s="3">
        <v>895</v>
      </c>
      <c r="B896" s="1" t="s">
        <v>1366</v>
      </c>
      <c r="C896" s="1" t="s">
        <v>920</v>
      </c>
      <c r="E896" s="1" t="s">
        <v>8439</v>
      </c>
      <c r="F896" s="1" t="s">
        <v>8477</v>
      </c>
      <c r="G896" s="3">
        <v>0</v>
      </c>
      <c r="H896" s="20" t="s">
        <v>8478</v>
      </c>
      <c r="I896" s="20" t="s">
        <v>8479</v>
      </c>
      <c r="J896" s="20" t="s">
        <v>2860</v>
      </c>
      <c r="K896" s="20" t="s">
        <v>10013</v>
      </c>
      <c r="L896" s="3">
        <v>31</v>
      </c>
      <c r="M896" s="3" t="s">
        <v>8443</v>
      </c>
      <c r="N896" s="3" t="str">
        <f>HYPERLINK("http://ictvonline.org/taxonomyHistory.asp?taxnode_id=20165029","ICTVonline=20165029")</f>
        <v>ICTVonline=20165029</v>
      </c>
    </row>
    <row r="897" spans="1:14" x14ac:dyDescent="0.15">
      <c r="A897" s="3">
        <v>896</v>
      </c>
      <c r="B897" s="1" t="s">
        <v>1366</v>
      </c>
      <c r="C897" s="1" t="s">
        <v>920</v>
      </c>
      <c r="E897" s="1" t="s">
        <v>8439</v>
      </c>
      <c r="F897" s="1" t="s">
        <v>8480</v>
      </c>
      <c r="G897" s="3">
        <v>0</v>
      </c>
      <c r="H897" s="20" t="s">
        <v>8481</v>
      </c>
      <c r="I897" s="20" t="s">
        <v>8482</v>
      </c>
      <c r="J897" s="20" t="s">
        <v>2860</v>
      </c>
      <c r="K897" s="20" t="s">
        <v>10013</v>
      </c>
      <c r="L897" s="3">
        <v>31</v>
      </c>
      <c r="M897" s="3" t="s">
        <v>8443</v>
      </c>
      <c r="N897" s="3" t="str">
        <f>HYPERLINK("http://ictvonline.org/taxonomyHistory.asp?taxnode_id=20165031","ICTVonline=20165031")</f>
        <v>ICTVonline=20165031</v>
      </c>
    </row>
    <row r="898" spans="1:14" x14ac:dyDescent="0.15">
      <c r="A898" s="3">
        <v>897</v>
      </c>
      <c r="B898" s="1" t="s">
        <v>1366</v>
      </c>
      <c r="C898" s="1" t="s">
        <v>920</v>
      </c>
      <c r="E898" s="1" t="s">
        <v>8439</v>
      </c>
      <c r="F898" s="1" t="s">
        <v>8483</v>
      </c>
      <c r="G898" s="3">
        <v>0</v>
      </c>
      <c r="H898" s="20" t="s">
        <v>8484</v>
      </c>
      <c r="I898" s="20" t="s">
        <v>8485</v>
      </c>
      <c r="J898" s="20" t="s">
        <v>2860</v>
      </c>
      <c r="K898" s="20" t="s">
        <v>10013</v>
      </c>
      <c r="L898" s="3">
        <v>31</v>
      </c>
      <c r="M898" s="3" t="s">
        <v>8443</v>
      </c>
      <c r="N898" s="3" t="str">
        <f>HYPERLINK("http://ictvonline.org/taxonomyHistory.asp?taxnode_id=20165032","ICTVonline=20165032")</f>
        <v>ICTVonline=20165032</v>
      </c>
    </row>
    <row r="899" spans="1:14" x14ac:dyDescent="0.15">
      <c r="A899" s="3">
        <v>898</v>
      </c>
      <c r="B899" s="1" t="s">
        <v>1366</v>
      </c>
      <c r="C899" s="1" t="s">
        <v>920</v>
      </c>
      <c r="E899" s="1" t="s">
        <v>8439</v>
      </c>
      <c r="F899" s="1" t="s">
        <v>8486</v>
      </c>
      <c r="G899" s="3">
        <v>0</v>
      </c>
      <c r="H899" s="20" t="s">
        <v>8487</v>
      </c>
      <c r="I899" s="20" t="s">
        <v>8488</v>
      </c>
      <c r="J899" s="20" t="s">
        <v>2860</v>
      </c>
      <c r="K899" s="20" t="s">
        <v>10013</v>
      </c>
      <c r="L899" s="3">
        <v>31</v>
      </c>
      <c r="M899" s="3" t="s">
        <v>8443</v>
      </c>
      <c r="N899" s="3" t="str">
        <f>HYPERLINK("http://ictvonline.org/taxonomyHistory.asp?taxnode_id=20165033","ICTVonline=20165033")</f>
        <v>ICTVonline=20165033</v>
      </c>
    </row>
    <row r="900" spans="1:14" x14ac:dyDescent="0.15">
      <c r="A900" s="3">
        <v>899</v>
      </c>
      <c r="B900" s="1" t="s">
        <v>1366</v>
      </c>
      <c r="C900" s="1" t="s">
        <v>920</v>
      </c>
      <c r="E900" s="1" t="s">
        <v>8439</v>
      </c>
      <c r="F900" s="1" t="s">
        <v>8489</v>
      </c>
      <c r="G900" s="3">
        <v>0</v>
      </c>
      <c r="H900" s="20" t="s">
        <v>8490</v>
      </c>
      <c r="I900" s="20" t="s">
        <v>8491</v>
      </c>
      <c r="J900" s="20" t="s">
        <v>2860</v>
      </c>
      <c r="K900" s="20" t="s">
        <v>10013</v>
      </c>
      <c r="L900" s="3">
        <v>31</v>
      </c>
      <c r="M900" s="3" t="s">
        <v>8443</v>
      </c>
      <c r="N900" s="3" t="str">
        <f>HYPERLINK("http://ictvonline.org/taxonomyHistory.asp?taxnode_id=20165034","ICTVonline=20165034")</f>
        <v>ICTVonline=20165034</v>
      </c>
    </row>
    <row r="901" spans="1:14" x14ac:dyDescent="0.15">
      <c r="A901" s="3">
        <v>900</v>
      </c>
      <c r="B901" s="1" t="s">
        <v>1366</v>
      </c>
      <c r="C901" s="1" t="s">
        <v>920</v>
      </c>
      <c r="E901" s="1" t="s">
        <v>8439</v>
      </c>
      <c r="F901" s="1" t="s">
        <v>8492</v>
      </c>
      <c r="G901" s="3">
        <v>1</v>
      </c>
      <c r="H901" s="20" t="s">
        <v>8493</v>
      </c>
      <c r="I901" s="20" t="s">
        <v>8494</v>
      </c>
      <c r="J901" s="20" t="s">
        <v>2860</v>
      </c>
      <c r="K901" s="20" t="s">
        <v>10013</v>
      </c>
      <c r="L901" s="3">
        <v>31</v>
      </c>
      <c r="M901" s="3" t="s">
        <v>8443</v>
      </c>
      <c r="N901" s="3" t="str">
        <f>HYPERLINK("http://ictvonline.org/taxonomyHistory.asp?taxnode_id=20165038","ICTVonline=20165038")</f>
        <v>ICTVonline=20165038</v>
      </c>
    </row>
    <row r="902" spans="1:14" x14ac:dyDescent="0.15">
      <c r="A902" s="3">
        <v>901</v>
      </c>
      <c r="B902" s="1" t="s">
        <v>1366</v>
      </c>
      <c r="C902" s="1" t="s">
        <v>920</v>
      </c>
      <c r="E902" s="1" t="s">
        <v>8439</v>
      </c>
      <c r="F902" s="1" t="s">
        <v>8495</v>
      </c>
      <c r="G902" s="3">
        <v>0</v>
      </c>
      <c r="H902" s="20" t="s">
        <v>8496</v>
      </c>
      <c r="I902" s="20" t="s">
        <v>8497</v>
      </c>
      <c r="J902" s="20" t="s">
        <v>2860</v>
      </c>
      <c r="K902" s="20" t="s">
        <v>10013</v>
      </c>
      <c r="L902" s="3">
        <v>31</v>
      </c>
      <c r="M902" s="3" t="s">
        <v>8443</v>
      </c>
      <c r="N902" s="3" t="str">
        <f>HYPERLINK("http://ictvonline.org/taxonomyHistory.asp?taxnode_id=20165039","ICTVonline=20165039")</f>
        <v>ICTVonline=20165039</v>
      </c>
    </row>
    <row r="903" spans="1:14" x14ac:dyDescent="0.15">
      <c r="A903" s="3">
        <v>902</v>
      </c>
      <c r="B903" s="1" t="s">
        <v>1366</v>
      </c>
      <c r="C903" s="1" t="s">
        <v>920</v>
      </c>
      <c r="E903" s="1" t="s">
        <v>8439</v>
      </c>
      <c r="F903" s="1" t="s">
        <v>8498</v>
      </c>
      <c r="G903" s="3">
        <v>0</v>
      </c>
      <c r="H903" s="20" t="s">
        <v>8499</v>
      </c>
      <c r="I903" s="20" t="s">
        <v>8500</v>
      </c>
      <c r="J903" s="20" t="s">
        <v>2860</v>
      </c>
      <c r="K903" s="20" t="s">
        <v>10013</v>
      </c>
      <c r="L903" s="3">
        <v>31</v>
      </c>
      <c r="M903" s="3" t="s">
        <v>8443</v>
      </c>
      <c r="N903" s="3" t="str">
        <f>HYPERLINK("http://ictvonline.org/taxonomyHistory.asp?taxnode_id=20165040","ICTVonline=20165040")</f>
        <v>ICTVonline=20165040</v>
      </c>
    </row>
    <row r="904" spans="1:14" x14ac:dyDescent="0.15">
      <c r="A904" s="3">
        <v>903</v>
      </c>
      <c r="B904" s="1" t="s">
        <v>1366</v>
      </c>
      <c r="C904" s="1" t="s">
        <v>920</v>
      </c>
      <c r="E904" s="1" t="s">
        <v>8439</v>
      </c>
      <c r="F904" s="1" t="s">
        <v>8501</v>
      </c>
      <c r="G904" s="3">
        <v>0</v>
      </c>
      <c r="H904" s="20" t="s">
        <v>8502</v>
      </c>
      <c r="I904" s="20" t="s">
        <v>8503</v>
      </c>
      <c r="J904" s="20" t="s">
        <v>2860</v>
      </c>
      <c r="K904" s="20" t="s">
        <v>10013</v>
      </c>
      <c r="L904" s="3">
        <v>31</v>
      </c>
      <c r="M904" s="3" t="s">
        <v>8443</v>
      </c>
      <c r="N904" s="3" t="str">
        <f>HYPERLINK("http://ictvonline.org/taxonomyHistory.asp?taxnode_id=20165041","ICTVonline=20165041")</f>
        <v>ICTVonline=20165041</v>
      </c>
    </row>
    <row r="905" spans="1:14" x14ac:dyDescent="0.15">
      <c r="A905" s="3">
        <v>904</v>
      </c>
      <c r="B905" s="1" t="s">
        <v>1366</v>
      </c>
      <c r="C905" s="1" t="s">
        <v>920</v>
      </c>
      <c r="E905" s="1" t="s">
        <v>8439</v>
      </c>
      <c r="F905" s="1" t="s">
        <v>8504</v>
      </c>
      <c r="G905" s="3">
        <v>0</v>
      </c>
      <c r="H905" s="20" t="s">
        <v>8505</v>
      </c>
      <c r="I905" s="20" t="s">
        <v>8506</v>
      </c>
      <c r="J905" s="20" t="s">
        <v>2860</v>
      </c>
      <c r="K905" s="20" t="s">
        <v>10013</v>
      </c>
      <c r="L905" s="3">
        <v>31</v>
      </c>
      <c r="M905" s="3" t="s">
        <v>8443</v>
      </c>
      <c r="N905" s="3" t="str">
        <f>HYPERLINK("http://ictvonline.org/taxonomyHistory.asp?taxnode_id=20165042","ICTVonline=20165042")</f>
        <v>ICTVonline=20165042</v>
      </c>
    </row>
    <row r="906" spans="1:14" x14ac:dyDescent="0.15">
      <c r="A906" s="3">
        <v>905</v>
      </c>
      <c r="B906" s="1" t="s">
        <v>1366</v>
      </c>
      <c r="C906" s="1" t="s">
        <v>920</v>
      </c>
      <c r="E906" s="1" t="s">
        <v>8439</v>
      </c>
      <c r="F906" s="1" t="s">
        <v>8507</v>
      </c>
      <c r="G906" s="3">
        <v>0</v>
      </c>
      <c r="H906" s="20" t="s">
        <v>8508</v>
      </c>
      <c r="I906" s="20" t="s">
        <v>8509</v>
      </c>
      <c r="J906" s="20" t="s">
        <v>2860</v>
      </c>
      <c r="K906" s="20" t="s">
        <v>10013</v>
      </c>
      <c r="L906" s="3">
        <v>31</v>
      </c>
      <c r="M906" s="3" t="s">
        <v>8443</v>
      </c>
      <c r="N906" s="3" t="str">
        <f>HYPERLINK("http://ictvonline.org/taxonomyHistory.asp?taxnode_id=20165043","ICTVonline=20165043")</f>
        <v>ICTVonline=20165043</v>
      </c>
    </row>
    <row r="907" spans="1:14" x14ac:dyDescent="0.15">
      <c r="A907" s="3">
        <v>906</v>
      </c>
      <c r="B907" s="1" t="s">
        <v>1366</v>
      </c>
      <c r="C907" s="1" t="s">
        <v>920</v>
      </c>
      <c r="E907" s="1" t="s">
        <v>8439</v>
      </c>
      <c r="F907" s="1" t="s">
        <v>8510</v>
      </c>
      <c r="G907" s="3">
        <v>0</v>
      </c>
      <c r="H907" s="20" t="s">
        <v>8511</v>
      </c>
      <c r="I907" s="20" t="s">
        <v>8512</v>
      </c>
      <c r="J907" s="20" t="s">
        <v>2860</v>
      </c>
      <c r="K907" s="20" t="s">
        <v>10013</v>
      </c>
      <c r="L907" s="3">
        <v>31</v>
      </c>
      <c r="M907" s="3" t="s">
        <v>8443</v>
      </c>
      <c r="N907" s="3" t="str">
        <f>HYPERLINK("http://ictvonline.org/taxonomyHistory.asp?taxnode_id=20165044","ICTVonline=20165044")</f>
        <v>ICTVonline=20165044</v>
      </c>
    </row>
    <row r="908" spans="1:14" x14ac:dyDescent="0.15">
      <c r="A908" s="3">
        <v>907</v>
      </c>
      <c r="B908" s="1" t="s">
        <v>1366</v>
      </c>
      <c r="C908" s="1" t="s">
        <v>920</v>
      </c>
      <c r="E908" s="1" t="s">
        <v>8439</v>
      </c>
      <c r="F908" s="1" t="s">
        <v>8513</v>
      </c>
      <c r="G908" s="3">
        <v>0</v>
      </c>
      <c r="H908" s="20" t="s">
        <v>8514</v>
      </c>
      <c r="I908" s="20" t="s">
        <v>8515</v>
      </c>
      <c r="J908" s="20" t="s">
        <v>2860</v>
      </c>
      <c r="K908" s="20" t="s">
        <v>10013</v>
      </c>
      <c r="L908" s="3">
        <v>31</v>
      </c>
      <c r="M908" s="3" t="s">
        <v>8443</v>
      </c>
      <c r="N908" s="3" t="str">
        <f>HYPERLINK("http://ictvonline.org/taxonomyHistory.asp?taxnode_id=20165045","ICTVonline=20165045")</f>
        <v>ICTVonline=20165045</v>
      </c>
    </row>
    <row r="909" spans="1:14" x14ac:dyDescent="0.15">
      <c r="A909" s="3">
        <v>908</v>
      </c>
      <c r="B909" s="1" t="s">
        <v>1366</v>
      </c>
      <c r="C909" s="1" t="s">
        <v>920</v>
      </c>
      <c r="E909" s="1" t="s">
        <v>8439</v>
      </c>
      <c r="F909" s="1" t="s">
        <v>8516</v>
      </c>
      <c r="G909" s="3">
        <v>0</v>
      </c>
      <c r="H909" s="20" t="s">
        <v>8517</v>
      </c>
      <c r="I909" s="20" t="s">
        <v>8518</v>
      </c>
      <c r="J909" s="20" t="s">
        <v>2860</v>
      </c>
      <c r="K909" s="20" t="s">
        <v>10013</v>
      </c>
      <c r="L909" s="3">
        <v>31</v>
      </c>
      <c r="M909" s="3" t="s">
        <v>8443</v>
      </c>
      <c r="N909" s="3" t="str">
        <f>HYPERLINK("http://ictvonline.org/taxonomyHistory.asp?taxnode_id=20165046","ICTVonline=20165046")</f>
        <v>ICTVonline=20165046</v>
      </c>
    </row>
    <row r="910" spans="1:14" x14ac:dyDescent="0.15">
      <c r="A910" s="3">
        <v>909</v>
      </c>
      <c r="B910" s="1" t="s">
        <v>1366</v>
      </c>
      <c r="C910" s="1" t="s">
        <v>920</v>
      </c>
      <c r="E910" s="1" t="s">
        <v>8439</v>
      </c>
      <c r="F910" s="1" t="s">
        <v>8519</v>
      </c>
      <c r="G910" s="3">
        <v>0</v>
      </c>
      <c r="H910" s="20" t="s">
        <v>8520</v>
      </c>
      <c r="I910" s="20" t="s">
        <v>8521</v>
      </c>
      <c r="J910" s="20" t="s">
        <v>2860</v>
      </c>
      <c r="K910" s="20" t="s">
        <v>10013</v>
      </c>
      <c r="L910" s="3">
        <v>31</v>
      </c>
      <c r="M910" s="3" t="s">
        <v>8443</v>
      </c>
      <c r="N910" s="3" t="str">
        <f>HYPERLINK("http://ictvonline.org/taxonomyHistory.asp?taxnode_id=20165047","ICTVonline=20165047")</f>
        <v>ICTVonline=20165047</v>
      </c>
    </row>
    <row r="911" spans="1:14" x14ac:dyDescent="0.15">
      <c r="A911" s="3">
        <v>910</v>
      </c>
      <c r="B911" s="1" t="s">
        <v>1366</v>
      </c>
      <c r="C911" s="1" t="s">
        <v>920</v>
      </c>
      <c r="E911" s="1" t="s">
        <v>8439</v>
      </c>
      <c r="F911" s="1" t="s">
        <v>8522</v>
      </c>
      <c r="G911" s="3">
        <v>0</v>
      </c>
      <c r="H911" s="20" t="s">
        <v>8523</v>
      </c>
      <c r="I911" s="20" t="s">
        <v>8524</v>
      </c>
      <c r="J911" s="20" t="s">
        <v>2860</v>
      </c>
      <c r="K911" s="20" t="s">
        <v>10013</v>
      </c>
      <c r="L911" s="3">
        <v>31</v>
      </c>
      <c r="M911" s="3" t="s">
        <v>8443</v>
      </c>
      <c r="N911" s="3" t="str">
        <f>HYPERLINK("http://ictvonline.org/taxonomyHistory.asp?taxnode_id=20165048","ICTVonline=20165048")</f>
        <v>ICTVonline=20165048</v>
      </c>
    </row>
    <row r="912" spans="1:14" x14ac:dyDescent="0.15">
      <c r="A912" s="3">
        <v>911</v>
      </c>
      <c r="B912" s="1" t="s">
        <v>1366</v>
      </c>
      <c r="C912" s="1" t="s">
        <v>920</v>
      </c>
      <c r="E912" s="1" t="s">
        <v>8439</v>
      </c>
      <c r="F912" s="1" t="s">
        <v>8525</v>
      </c>
      <c r="G912" s="3">
        <v>0</v>
      </c>
      <c r="H912" s="20" t="s">
        <v>8526</v>
      </c>
      <c r="I912" s="20" t="s">
        <v>8527</v>
      </c>
      <c r="J912" s="20" t="s">
        <v>2860</v>
      </c>
      <c r="K912" s="20" t="s">
        <v>10013</v>
      </c>
      <c r="L912" s="3">
        <v>31</v>
      </c>
      <c r="M912" s="3" t="s">
        <v>8443</v>
      </c>
      <c r="N912" s="3" t="str">
        <f>HYPERLINK("http://ictvonline.org/taxonomyHistory.asp?taxnode_id=20165049","ICTVonline=20165049")</f>
        <v>ICTVonline=20165049</v>
      </c>
    </row>
    <row r="913" spans="1:14" x14ac:dyDescent="0.15">
      <c r="A913" s="3">
        <v>912</v>
      </c>
      <c r="B913" s="1" t="s">
        <v>1366</v>
      </c>
      <c r="C913" s="1" t="s">
        <v>920</v>
      </c>
      <c r="E913" s="1" t="s">
        <v>8439</v>
      </c>
      <c r="F913" s="1" t="s">
        <v>8528</v>
      </c>
      <c r="G913" s="3">
        <v>0</v>
      </c>
      <c r="H913" s="20" t="s">
        <v>8529</v>
      </c>
      <c r="I913" s="20" t="s">
        <v>8530</v>
      </c>
      <c r="J913" s="20" t="s">
        <v>2860</v>
      </c>
      <c r="K913" s="20" t="s">
        <v>10013</v>
      </c>
      <c r="L913" s="3">
        <v>31</v>
      </c>
      <c r="M913" s="3" t="s">
        <v>8443</v>
      </c>
      <c r="N913" s="3" t="str">
        <f>HYPERLINK("http://ictvonline.org/taxonomyHistory.asp?taxnode_id=20165050","ICTVonline=20165050")</f>
        <v>ICTVonline=20165050</v>
      </c>
    </row>
    <row r="914" spans="1:14" x14ac:dyDescent="0.15">
      <c r="A914" s="3">
        <v>913</v>
      </c>
      <c r="B914" s="1" t="s">
        <v>1366</v>
      </c>
      <c r="C914" s="1" t="s">
        <v>920</v>
      </c>
      <c r="E914" s="1" t="s">
        <v>8439</v>
      </c>
      <c r="F914" s="1" t="s">
        <v>8531</v>
      </c>
      <c r="G914" s="3">
        <v>0</v>
      </c>
      <c r="H914" s="20" t="s">
        <v>8532</v>
      </c>
      <c r="I914" s="20" t="s">
        <v>8533</v>
      </c>
      <c r="J914" s="20" t="s">
        <v>2860</v>
      </c>
      <c r="K914" s="20" t="s">
        <v>10013</v>
      </c>
      <c r="L914" s="3">
        <v>31</v>
      </c>
      <c r="M914" s="3" t="s">
        <v>8443</v>
      </c>
      <c r="N914" s="3" t="str">
        <f>HYPERLINK("http://ictvonline.org/taxonomyHistory.asp?taxnode_id=20165051","ICTVonline=20165051")</f>
        <v>ICTVonline=20165051</v>
      </c>
    </row>
    <row r="915" spans="1:14" x14ac:dyDescent="0.15">
      <c r="A915" s="3">
        <v>914</v>
      </c>
      <c r="B915" s="1" t="s">
        <v>1366</v>
      </c>
      <c r="C915" s="1" t="s">
        <v>920</v>
      </c>
      <c r="E915" s="1" t="s">
        <v>8439</v>
      </c>
      <c r="F915" s="1" t="s">
        <v>8534</v>
      </c>
      <c r="G915" s="3">
        <v>0</v>
      </c>
      <c r="H915" s="20" t="s">
        <v>8535</v>
      </c>
      <c r="I915" s="20" t="s">
        <v>8536</v>
      </c>
      <c r="J915" s="20" t="s">
        <v>2860</v>
      </c>
      <c r="K915" s="20" t="s">
        <v>10013</v>
      </c>
      <c r="L915" s="3">
        <v>31</v>
      </c>
      <c r="M915" s="3" t="s">
        <v>8443</v>
      </c>
      <c r="N915" s="3" t="str">
        <f>HYPERLINK("http://ictvonline.org/taxonomyHistory.asp?taxnode_id=20165052","ICTVonline=20165052")</f>
        <v>ICTVonline=20165052</v>
      </c>
    </row>
    <row r="916" spans="1:14" x14ac:dyDescent="0.15">
      <c r="A916" s="3">
        <v>915</v>
      </c>
      <c r="B916" s="1" t="s">
        <v>1366</v>
      </c>
      <c r="C916" s="1" t="s">
        <v>920</v>
      </c>
      <c r="E916" s="1" t="s">
        <v>8439</v>
      </c>
      <c r="F916" s="1" t="s">
        <v>8537</v>
      </c>
      <c r="G916" s="3">
        <v>0</v>
      </c>
      <c r="H916" s="20" t="s">
        <v>8538</v>
      </c>
      <c r="I916" s="20" t="s">
        <v>8539</v>
      </c>
      <c r="J916" s="20" t="s">
        <v>2860</v>
      </c>
      <c r="K916" s="20" t="s">
        <v>10013</v>
      </c>
      <c r="L916" s="3">
        <v>31</v>
      </c>
      <c r="M916" s="3" t="s">
        <v>8443</v>
      </c>
      <c r="N916" s="3" t="str">
        <f>HYPERLINK("http://ictvonline.org/taxonomyHistory.asp?taxnode_id=20165053","ICTVonline=20165053")</f>
        <v>ICTVonline=20165053</v>
      </c>
    </row>
    <row r="917" spans="1:14" x14ac:dyDescent="0.15">
      <c r="A917" s="3">
        <v>916</v>
      </c>
      <c r="B917" s="1" t="s">
        <v>1366</v>
      </c>
      <c r="C917" s="1" t="s">
        <v>920</v>
      </c>
      <c r="E917" s="1" t="s">
        <v>8439</v>
      </c>
      <c r="F917" s="1" t="s">
        <v>8540</v>
      </c>
      <c r="G917" s="3">
        <v>0</v>
      </c>
      <c r="H917" s="20" t="s">
        <v>8541</v>
      </c>
      <c r="I917" s="20" t="s">
        <v>8542</v>
      </c>
      <c r="J917" s="20" t="s">
        <v>2860</v>
      </c>
      <c r="K917" s="20" t="s">
        <v>10013</v>
      </c>
      <c r="L917" s="3">
        <v>31</v>
      </c>
      <c r="M917" s="3" t="s">
        <v>8443</v>
      </c>
      <c r="N917" s="3" t="str">
        <f>HYPERLINK("http://ictvonline.org/taxonomyHistory.asp?taxnode_id=20165054","ICTVonline=20165054")</f>
        <v>ICTVonline=20165054</v>
      </c>
    </row>
    <row r="918" spans="1:14" x14ac:dyDescent="0.15">
      <c r="A918" s="3">
        <v>917</v>
      </c>
      <c r="B918" s="1" t="s">
        <v>1366</v>
      </c>
      <c r="C918" s="1" t="s">
        <v>920</v>
      </c>
      <c r="E918" s="1" t="s">
        <v>8439</v>
      </c>
      <c r="F918" s="1" t="s">
        <v>8543</v>
      </c>
      <c r="G918" s="3">
        <v>0</v>
      </c>
      <c r="H918" s="20" t="s">
        <v>8544</v>
      </c>
      <c r="I918" s="20" t="s">
        <v>8545</v>
      </c>
      <c r="J918" s="20" t="s">
        <v>2860</v>
      </c>
      <c r="K918" s="20" t="s">
        <v>10013</v>
      </c>
      <c r="L918" s="3">
        <v>31</v>
      </c>
      <c r="M918" s="3" t="s">
        <v>8443</v>
      </c>
      <c r="N918" s="3" t="str">
        <f>HYPERLINK("http://ictvonline.org/taxonomyHistory.asp?taxnode_id=20165055","ICTVonline=20165055")</f>
        <v>ICTVonline=20165055</v>
      </c>
    </row>
    <row r="919" spans="1:14" x14ac:dyDescent="0.15">
      <c r="A919" s="3">
        <v>918</v>
      </c>
      <c r="B919" s="1" t="s">
        <v>1366</v>
      </c>
      <c r="C919" s="1" t="s">
        <v>920</v>
      </c>
      <c r="E919" s="1" t="s">
        <v>8439</v>
      </c>
      <c r="F919" s="1" t="s">
        <v>8546</v>
      </c>
      <c r="G919" s="3">
        <v>0</v>
      </c>
      <c r="H919" s="20" t="s">
        <v>8547</v>
      </c>
      <c r="I919" s="20" t="s">
        <v>8548</v>
      </c>
      <c r="J919" s="20" t="s">
        <v>2860</v>
      </c>
      <c r="K919" s="20" t="s">
        <v>10013</v>
      </c>
      <c r="L919" s="3">
        <v>31</v>
      </c>
      <c r="M919" s="3" t="s">
        <v>8443</v>
      </c>
      <c r="N919" s="3" t="str">
        <f>HYPERLINK("http://ictvonline.org/taxonomyHistory.asp?taxnode_id=20165056","ICTVonline=20165056")</f>
        <v>ICTVonline=20165056</v>
      </c>
    </row>
    <row r="920" spans="1:14" x14ac:dyDescent="0.15">
      <c r="A920" s="3">
        <v>919</v>
      </c>
      <c r="B920" s="1" t="s">
        <v>1366</v>
      </c>
      <c r="C920" s="1" t="s">
        <v>920</v>
      </c>
      <c r="E920" s="1" t="s">
        <v>8439</v>
      </c>
      <c r="F920" s="1" t="s">
        <v>8549</v>
      </c>
      <c r="G920" s="3">
        <v>0</v>
      </c>
      <c r="H920" s="20" t="s">
        <v>8550</v>
      </c>
      <c r="I920" s="20" t="s">
        <v>8551</v>
      </c>
      <c r="J920" s="20" t="s">
        <v>2860</v>
      </c>
      <c r="K920" s="20" t="s">
        <v>10013</v>
      </c>
      <c r="L920" s="3">
        <v>31</v>
      </c>
      <c r="M920" s="3" t="s">
        <v>8443</v>
      </c>
      <c r="N920" s="3" t="str">
        <f>HYPERLINK("http://ictvonline.org/taxonomyHistory.asp?taxnode_id=20165057","ICTVonline=20165057")</f>
        <v>ICTVonline=20165057</v>
      </c>
    </row>
    <row r="921" spans="1:14" x14ac:dyDescent="0.15">
      <c r="A921" s="3">
        <v>920</v>
      </c>
      <c r="B921" s="1" t="s">
        <v>1366</v>
      </c>
      <c r="C921" s="1" t="s">
        <v>920</v>
      </c>
      <c r="E921" s="1" t="s">
        <v>8439</v>
      </c>
      <c r="F921" s="1" t="s">
        <v>8552</v>
      </c>
      <c r="G921" s="3">
        <v>0</v>
      </c>
      <c r="H921" s="20" t="s">
        <v>8553</v>
      </c>
      <c r="I921" s="20" t="s">
        <v>8554</v>
      </c>
      <c r="J921" s="20" t="s">
        <v>2860</v>
      </c>
      <c r="K921" s="20" t="s">
        <v>10013</v>
      </c>
      <c r="L921" s="3">
        <v>31</v>
      </c>
      <c r="M921" s="3" t="s">
        <v>8443</v>
      </c>
      <c r="N921" s="3" t="str">
        <f>HYPERLINK("http://ictvonline.org/taxonomyHistory.asp?taxnode_id=20165058","ICTVonline=20165058")</f>
        <v>ICTVonline=20165058</v>
      </c>
    </row>
    <row r="922" spans="1:14" x14ac:dyDescent="0.15">
      <c r="A922" s="3">
        <v>921</v>
      </c>
      <c r="B922" s="1" t="s">
        <v>1366</v>
      </c>
      <c r="C922" s="1" t="s">
        <v>920</v>
      </c>
      <c r="E922" s="1" t="s">
        <v>8439</v>
      </c>
      <c r="F922" s="1" t="s">
        <v>8555</v>
      </c>
      <c r="G922" s="3">
        <v>0</v>
      </c>
      <c r="H922" s="20" t="s">
        <v>8556</v>
      </c>
      <c r="I922" s="20" t="s">
        <v>8557</v>
      </c>
      <c r="J922" s="20" t="s">
        <v>2860</v>
      </c>
      <c r="K922" s="20" t="s">
        <v>10013</v>
      </c>
      <c r="L922" s="3">
        <v>31</v>
      </c>
      <c r="M922" s="3" t="s">
        <v>8443</v>
      </c>
      <c r="N922" s="3" t="str">
        <f>HYPERLINK("http://ictvonline.org/taxonomyHistory.asp?taxnode_id=20165059","ICTVonline=20165059")</f>
        <v>ICTVonline=20165059</v>
      </c>
    </row>
    <row r="923" spans="1:14" x14ac:dyDescent="0.15">
      <c r="A923" s="3">
        <v>922</v>
      </c>
      <c r="B923" s="1" t="s">
        <v>1366</v>
      </c>
      <c r="C923" s="1" t="s">
        <v>920</v>
      </c>
      <c r="E923" s="1" t="s">
        <v>8439</v>
      </c>
      <c r="F923" s="1" t="s">
        <v>8558</v>
      </c>
      <c r="G923" s="3">
        <v>0</v>
      </c>
      <c r="H923" s="20" t="s">
        <v>8559</v>
      </c>
      <c r="I923" s="20" t="s">
        <v>8560</v>
      </c>
      <c r="J923" s="20" t="s">
        <v>2860</v>
      </c>
      <c r="K923" s="20" t="s">
        <v>10013</v>
      </c>
      <c r="L923" s="3">
        <v>31</v>
      </c>
      <c r="M923" s="3" t="s">
        <v>8443</v>
      </c>
      <c r="N923" s="3" t="str">
        <f>HYPERLINK("http://ictvonline.org/taxonomyHistory.asp?taxnode_id=20165060","ICTVonline=20165060")</f>
        <v>ICTVonline=20165060</v>
      </c>
    </row>
    <row r="924" spans="1:14" x14ac:dyDescent="0.15">
      <c r="A924" s="3">
        <v>923</v>
      </c>
      <c r="B924" s="1" t="s">
        <v>1366</v>
      </c>
      <c r="C924" s="1" t="s">
        <v>920</v>
      </c>
      <c r="E924" s="1" t="s">
        <v>8439</v>
      </c>
      <c r="F924" s="1" t="s">
        <v>8561</v>
      </c>
      <c r="G924" s="3">
        <v>0</v>
      </c>
      <c r="H924" s="20" t="s">
        <v>8562</v>
      </c>
      <c r="I924" s="20" t="s">
        <v>8563</v>
      </c>
      <c r="J924" s="20" t="s">
        <v>2860</v>
      </c>
      <c r="K924" s="20" t="s">
        <v>10013</v>
      </c>
      <c r="L924" s="3">
        <v>31</v>
      </c>
      <c r="M924" s="3" t="s">
        <v>8443</v>
      </c>
      <c r="N924" s="3" t="str">
        <f>HYPERLINK("http://ictvonline.org/taxonomyHistory.asp?taxnode_id=20165061","ICTVonline=20165061")</f>
        <v>ICTVonline=20165061</v>
      </c>
    </row>
    <row r="925" spans="1:14" x14ac:dyDescent="0.15">
      <c r="A925" s="3">
        <v>924</v>
      </c>
      <c r="B925" s="1" t="s">
        <v>1366</v>
      </c>
      <c r="C925" s="1" t="s">
        <v>920</v>
      </c>
      <c r="E925" s="1" t="s">
        <v>8439</v>
      </c>
      <c r="F925" s="1" t="s">
        <v>8564</v>
      </c>
      <c r="G925" s="3">
        <v>0</v>
      </c>
      <c r="H925" s="20" t="s">
        <v>8565</v>
      </c>
      <c r="I925" s="20" t="s">
        <v>8566</v>
      </c>
      <c r="J925" s="20" t="s">
        <v>2860</v>
      </c>
      <c r="K925" s="20" t="s">
        <v>10013</v>
      </c>
      <c r="L925" s="3">
        <v>31</v>
      </c>
      <c r="M925" s="3" t="s">
        <v>8443</v>
      </c>
      <c r="N925" s="3" t="str">
        <f>HYPERLINK("http://ictvonline.org/taxonomyHistory.asp?taxnode_id=20165062","ICTVonline=20165062")</f>
        <v>ICTVonline=20165062</v>
      </c>
    </row>
    <row r="926" spans="1:14" x14ac:dyDescent="0.15">
      <c r="A926" s="3">
        <v>925</v>
      </c>
      <c r="B926" s="1" t="s">
        <v>1366</v>
      </c>
      <c r="C926" s="1" t="s">
        <v>920</v>
      </c>
      <c r="E926" s="1" t="s">
        <v>8439</v>
      </c>
      <c r="F926" s="1" t="s">
        <v>8567</v>
      </c>
      <c r="G926" s="3">
        <v>0</v>
      </c>
      <c r="H926" s="20" t="s">
        <v>8568</v>
      </c>
      <c r="I926" s="20" t="s">
        <v>8569</v>
      </c>
      <c r="J926" s="20" t="s">
        <v>2860</v>
      </c>
      <c r="K926" s="20" t="s">
        <v>10013</v>
      </c>
      <c r="L926" s="3">
        <v>31</v>
      </c>
      <c r="M926" s="3" t="s">
        <v>8443</v>
      </c>
      <c r="N926" s="3" t="str">
        <f>HYPERLINK("http://ictvonline.org/taxonomyHistory.asp?taxnode_id=20165063","ICTVonline=20165063")</f>
        <v>ICTVonline=20165063</v>
      </c>
    </row>
    <row r="927" spans="1:14" x14ac:dyDescent="0.15">
      <c r="A927" s="3">
        <v>926</v>
      </c>
      <c r="B927" s="1" t="s">
        <v>1366</v>
      </c>
      <c r="C927" s="1" t="s">
        <v>920</v>
      </c>
      <c r="E927" s="1" t="s">
        <v>8439</v>
      </c>
      <c r="F927" s="1" t="s">
        <v>8570</v>
      </c>
      <c r="G927" s="3">
        <v>0</v>
      </c>
      <c r="H927" s="20" t="s">
        <v>8571</v>
      </c>
      <c r="I927" s="20" t="s">
        <v>8572</v>
      </c>
      <c r="J927" s="20" t="s">
        <v>2860</v>
      </c>
      <c r="K927" s="20" t="s">
        <v>10013</v>
      </c>
      <c r="L927" s="3">
        <v>31</v>
      </c>
      <c r="M927" s="3" t="s">
        <v>8443</v>
      </c>
      <c r="N927" s="3" t="str">
        <f>HYPERLINK("http://ictvonline.org/taxonomyHistory.asp?taxnode_id=20165064","ICTVonline=20165064")</f>
        <v>ICTVonline=20165064</v>
      </c>
    </row>
    <row r="928" spans="1:14" x14ac:dyDescent="0.15">
      <c r="A928" s="3">
        <v>927</v>
      </c>
      <c r="B928" s="1" t="s">
        <v>1366</v>
      </c>
      <c r="C928" s="1" t="s">
        <v>920</v>
      </c>
      <c r="E928" s="1" t="s">
        <v>8439</v>
      </c>
      <c r="F928" s="1" t="s">
        <v>8573</v>
      </c>
      <c r="G928" s="3">
        <v>0</v>
      </c>
      <c r="H928" s="20" t="s">
        <v>8574</v>
      </c>
      <c r="I928" s="20" t="s">
        <v>8575</v>
      </c>
      <c r="J928" s="20" t="s">
        <v>2860</v>
      </c>
      <c r="K928" s="20" t="s">
        <v>10013</v>
      </c>
      <c r="L928" s="3">
        <v>31</v>
      </c>
      <c r="M928" s="3" t="s">
        <v>8443</v>
      </c>
      <c r="N928" s="3" t="str">
        <f>HYPERLINK("http://ictvonline.org/taxonomyHistory.asp?taxnode_id=20165065","ICTVonline=20165065")</f>
        <v>ICTVonline=20165065</v>
      </c>
    </row>
    <row r="929" spans="1:14" x14ac:dyDescent="0.15">
      <c r="A929" s="3">
        <v>928</v>
      </c>
      <c r="B929" s="1" t="s">
        <v>1366</v>
      </c>
      <c r="C929" s="1" t="s">
        <v>920</v>
      </c>
      <c r="E929" s="1" t="s">
        <v>8439</v>
      </c>
      <c r="F929" s="1" t="s">
        <v>8576</v>
      </c>
      <c r="G929" s="3">
        <v>0</v>
      </c>
      <c r="H929" s="20" t="s">
        <v>8577</v>
      </c>
      <c r="I929" s="20" t="s">
        <v>8578</v>
      </c>
      <c r="J929" s="20" t="s">
        <v>2860</v>
      </c>
      <c r="K929" s="20" t="s">
        <v>10013</v>
      </c>
      <c r="L929" s="3">
        <v>31</v>
      </c>
      <c r="M929" s="3" t="s">
        <v>8443</v>
      </c>
      <c r="N929" s="3" t="str">
        <f>HYPERLINK("http://ictvonline.org/taxonomyHistory.asp?taxnode_id=20165066","ICTVonline=20165066")</f>
        <v>ICTVonline=20165066</v>
      </c>
    </row>
    <row r="930" spans="1:14" x14ac:dyDescent="0.15">
      <c r="A930" s="3">
        <v>929</v>
      </c>
      <c r="B930" s="1" t="s">
        <v>1366</v>
      </c>
      <c r="C930" s="1" t="s">
        <v>920</v>
      </c>
      <c r="E930" s="1" t="s">
        <v>8439</v>
      </c>
      <c r="F930" s="1" t="s">
        <v>8579</v>
      </c>
      <c r="G930" s="3">
        <v>0</v>
      </c>
      <c r="H930" s="20" t="s">
        <v>8580</v>
      </c>
      <c r="I930" s="20" t="s">
        <v>8581</v>
      </c>
      <c r="J930" s="20" t="s">
        <v>2860</v>
      </c>
      <c r="K930" s="20" t="s">
        <v>10013</v>
      </c>
      <c r="L930" s="3">
        <v>31</v>
      </c>
      <c r="M930" s="3" t="s">
        <v>8443</v>
      </c>
      <c r="N930" s="3" t="str">
        <f>HYPERLINK("http://ictvonline.org/taxonomyHistory.asp?taxnode_id=20165067","ICTVonline=20165067")</f>
        <v>ICTVonline=20165067</v>
      </c>
    </row>
    <row r="931" spans="1:14" x14ac:dyDescent="0.15">
      <c r="A931" s="3">
        <v>930</v>
      </c>
      <c r="B931" s="1" t="s">
        <v>1366</v>
      </c>
      <c r="C931" s="1" t="s">
        <v>920</v>
      </c>
      <c r="E931" s="1" t="s">
        <v>8439</v>
      </c>
      <c r="F931" s="1" t="s">
        <v>8582</v>
      </c>
      <c r="G931" s="3">
        <v>0</v>
      </c>
      <c r="H931" s="20" t="s">
        <v>8583</v>
      </c>
      <c r="I931" s="20" t="s">
        <v>8584</v>
      </c>
      <c r="J931" s="20" t="s">
        <v>2860</v>
      </c>
      <c r="K931" s="20" t="s">
        <v>10013</v>
      </c>
      <c r="L931" s="3">
        <v>31</v>
      </c>
      <c r="M931" s="3" t="s">
        <v>8443</v>
      </c>
      <c r="N931" s="3" t="str">
        <f>HYPERLINK("http://ictvonline.org/taxonomyHistory.asp?taxnode_id=20165068","ICTVonline=20165068")</f>
        <v>ICTVonline=20165068</v>
      </c>
    </row>
    <row r="932" spans="1:14" x14ac:dyDescent="0.15">
      <c r="A932" s="3">
        <v>931</v>
      </c>
      <c r="B932" s="1" t="s">
        <v>1366</v>
      </c>
      <c r="C932" s="1" t="s">
        <v>920</v>
      </c>
      <c r="E932" s="1" t="s">
        <v>8439</v>
      </c>
      <c r="F932" s="1" t="s">
        <v>8585</v>
      </c>
      <c r="G932" s="3">
        <v>0</v>
      </c>
      <c r="H932" s="20" t="s">
        <v>8586</v>
      </c>
      <c r="I932" s="20" t="s">
        <v>8587</v>
      </c>
      <c r="J932" s="20" t="s">
        <v>2860</v>
      </c>
      <c r="K932" s="20" t="s">
        <v>10013</v>
      </c>
      <c r="L932" s="3">
        <v>31</v>
      </c>
      <c r="M932" s="3" t="s">
        <v>8443</v>
      </c>
      <c r="N932" s="3" t="str">
        <f>HYPERLINK("http://ictvonline.org/taxonomyHistory.asp?taxnode_id=20165069","ICTVonline=20165069")</f>
        <v>ICTVonline=20165069</v>
      </c>
    </row>
    <row r="933" spans="1:14" x14ac:dyDescent="0.15">
      <c r="A933" s="3">
        <v>932</v>
      </c>
      <c r="B933" s="1" t="s">
        <v>1366</v>
      </c>
      <c r="C933" s="1" t="s">
        <v>920</v>
      </c>
      <c r="E933" s="1" t="s">
        <v>8439</v>
      </c>
      <c r="F933" s="1" t="s">
        <v>8588</v>
      </c>
      <c r="G933" s="3">
        <v>0</v>
      </c>
      <c r="H933" s="20" t="s">
        <v>8589</v>
      </c>
      <c r="I933" s="20" t="s">
        <v>8590</v>
      </c>
      <c r="J933" s="20" t="s">
        <v>2860</v>
      </c>
      <c r="K933" s="20" t="s">
        <v>10013</v>
      </c>
      <c r="L933" s="3">
        <v>31</v>
      </c>
      <c r="M933" s="3" t="s">
        <v>8443</v>
      </c>
      <c r="N933" s="3" t="str">
        <f>HYPERLINK("http://ictvonline.org/taxonomyHistory.asp?taxnode_id=20165070","ICTVonline=20165070")</f>
        <v>ICTVonline=20165070</v>
      </c>
    </row>
    <row r="934" spans="1:14" x14ac:dyDescent="0.15">
      <c r="A934" s="3">
        <v>933</v>
      </c>
      <c r="B934" s="1" t="s">
        <v>1366</v>
      </c>
      <c r="C934" s="1" t="s">
        <v>920</v>
      </c>
      <c r="E934" s="1" t="s">
        <v>8439</v>
      </c>
      <c r="F934" s="1" t="s">
        <v>8591</v>
      </c>
      <c r="G934" s="3">
        <v>0</v>
      </c>
      <c r="H934" s="20" t="s">
        <v>8592</v>
      </c>
      <c r="I934" s="20" t="s">
        <v>8593</v>
      </c>
      <c r="J934" s="20" t="s">
        <v>2860</v>
      </c>
      <c r="K934" s="20" t="s">
        <v>10013</v>
      </c>
      <c r="L934" s="3">
        <v>31</v>
      </c>
      <c r="M934" s="3" t="s">
        <v>8443</v>
      </c>
      <c r="N934" s="3" t="str">
        <f>HYPERLINK("http://ictvonline.org/taxonomyHistory.asp?taxnode_id=20165071","ICTVonline=20165071")</f>
        <v>ICTVonline=20165071</v>
      </c>
    </row>
    <row r="935" spans="1:14" x14ac:dyDescent="0.15">
      <c r="A935" s="3">
        <v>934</v>
      </c>
      <c r="B935" s="1" t="s">
        <v>1366</v>
      </c>
      <c r="C935" s="1" t="s">
        <v>920</v>
      </c>
      <c r="E935" s="1" t="s">
        <v>8439</v>
      </c>
      <c r="F935" s="1" t="s">
        <v>8594</v>
      </c>
      <c r="G935" s="3">
        <v>0</v>
      </c>
      <c r="H935" s="20" t="s">
        <v>8595</v>
      </c>
      <c r="I935" s="20" t="s">
        <v>8596</v>
      </c>
      <c r="J935" s="20" t="s">
        <v>2860</v>
      </c>
      <c r="K935" s="20" t="s">
        <v>10013</v>
      </c>
      <c r="L935" s="3">
        <v>31</v>
      </c>
      <c r="M935" s="3" t="s">
        <v>8443</v>
      </c>
      <c r="N935" s="3" t="str">
        <f>HYPERLINK("http://ictvonline.org/taxonomyHistory.asp?taxnode_id=20165072","ICTVonline=20165072")</f>
        <v>ICTVonline=20165072</v>
      </c>
    </row>
    <row r="936" spans="1:14" x14ac:dyDescent="0.15">
      <c r="A936" s="3">
        <v>935</v>
      </c>
      <c r="B936" s="1" t="s">
        <v>1366</v>
      </c>
      <c r="C936" s="1" t="s">
        <v>920</v>
      </c>
      <c r="E936" s="1" t="s">
        <v>8439</v>
      </c>
      <c r="F936" s="1" t="s">
        <v>8597</v>
      </c>
      <c r="G936" s="3">
        <v>0</v>
      </c>
      <c r="H936" s="20" t="s">
        <v>8598</v>
      </c>
      <c r="I936" s="20" t="s">
        <v>8599</v>
      </c>
      <c r="J936" s="20" t="s">
        <v>2860</v>
      </c>
      <c r="K936" s="20" t="s">
        <v>10013</v>
      </c>
      <c r="L936" s="3">
        <v>31</v>
      </c>
      <c r="M936" s="3" t="s">
        <v>8443</v>
      </c>
      <c r="N936" s="3" t="str">
        <f>HYPERLINK("http://ictvonline.org/taxonomyHistory.asp?taxnode_id=20165073","ICTVonline=20165073")</f>
        <v>ICTVonline=20165073</v>
      </c>
    </row>
    <row r="937" spans="1:14" x14ac:dyDescent="0.15">
      <c r="A937" s="3">
        <v>936</v>
      </c>
      <c r="B937" s="1" t="s">
        <v>1366</v>
      </c>
      <c r="C937" s="1" t="s">
        <v>920</v>
      </c>
      <c r="E937" s="1" t="s">
        <v>8439</v>
      </c>
      <c r="F937" s="1" t="s">
        <v>8600</v>
      </c>
      <c r="G937" s="3">
        <v>0</v>
      </c>
      <c r="H937" s="20" t="s">
        <v>8601</v>
      </c>
      <c r="I937" s="20" t="s">
        <v>8602</v>
      </c>
      <c r="J937" s="20" t="s">
        <v>2860</v>
      </c>
      <c r="K937" s="20" t="s">
        <v>10013</v>
      </c>
      <c r="L937" s="3">
        <v>31</v>
      </c>
      <c r="M937" s="3" t="s">
        <v>8443</v>
      </c>
      <c r="N937" s="3" t="str">
        <f>HYPERLINK("http://ictvonline.org/taxonomyHistory.asp?taxnode_id=20165074","ICTVonline=20165074")</f>
        <v>ICTVonline=20165074</v>
      </c>
    </row>
    <row r="938" spans="1:14" x14ac:dyDescent="0.15">
      <c r="A938" s="3">
        <v>937</v>
      </c>
      <c r="B938" s="1" t="s">
        <v>1366</v>
      </c>
      <c r="C938" s="1" t="s">
        <v>920</v>
      </c>
      <c r="E938" s="1" t="s">
        <v>8439</v>
      </c>
      <c r="F938" s="1" t="s">
        <v>8603</v>
      </c>
      <c r="G938" s="3">
        <v>0</v>
      </c>
      <c r="H938" s="20" t="s">
        <v>8604</v>
      </c>
      <c r="I938" s="20" t="s">
        <v>8605</v>
      </c>
      <c r="J938" s="20" t="s">
        <v>2860</v>
      </c>
      <c r="K938" s="20" t="s">
        <v>10013</v>
      </c>
      <c r="L938" s="3">
        <v>31</v>
      </c>
      <c r="M938" s="3" t="s">
        <v>8443</v>
      </c>
      <c r="N938" s="3" t="str">
        <f>HYPERLINK("http://ictvonline.org/taxonomyHistory.asp?taxnode_id=20165075","ICTVonline=20165075")</f>
        <v>ICTVonline=20165075</v>
      </c>
    </row>
    <row r="939" spans="1:14" x14ac:dyDescent="0.15">
      <c r="A939" s="3">
        <v>938</v>
      </c>
      <c r="B939" s="1" t="s">
        <v>1366</v>
      </c>
      <c r="C939" s="1" t="s">
        <v>920</v>
      </c>
      <c r="E939" s="1" t="s">
        <v>8439</v>
      </c>
      <c r="F939" s="1" t="s">
        <v>8606</v>
      </c>
      <c r="G939" s="3">
        <v>0</v>
      </c>
      <c r="H939" s="20" t="s">
        <v>8607</v>
      </c>
      <c r="I939" s="20" t="s">
        <v>8608</v>
      </c>
      <c r="J939" s="20" t="s">
        <v>2860</v>
      </c>
      <c r="K939" s="20" t="s">
        <v>10013</v>
      </c>
      <c r="L939" s="3">
        <v>31</v>
      </c>
      <c r="M939" s="3" t="s">
        <v>8443</v>
      </c>
      <c r="N939" s="3" t="str">
        <f>HYPERLINK("http://ictvonline.org/taxonomyHistory.asp?taxnode_id=20165076","ICTVonline=20165076")</f>
        <v>ICTVonline=20165076</v>
      </c>
    </row>
    <row r="940" spans="1:14" x14ac:dyDescent="0.15">
      <c r="A940" s="3">
        <v>939</v>
      </c>
      <c r="B940" s="1" t="s">
        <v>1366</v>
      </c>
      <c r="C940" s="1" t="s">
        <v>920</v>
      </c>
      <c r="E940" s="1" t="s">
        <v>8439</v>
      </c>
      <c r="F940" s="1" t="s">
        <v>8609</v>
      </c>
      <c r="G940" s="3">
        <v>0</v>
      </c>
      <c r="H940" s="20" t="s">
        <v>8610</v>
      </c>
      <c r="I940" s="20" t="s">
        <v>8611</v>
      </c>
      <c r="J940" s="20" t="s">
        <v>2860</v>
      </c>
      <c r="K940" s="20" t="s">
        <v>10013</v>
      </c>
      <c r="L940" s="3">
        <v>31</v>
      </c>
      <c r="M940" s="3" t="s">
        <v>8443</v>
      </c>
      <c r="N940" s="3" t="str">
        <f>HYPERLINK("http://ictvonline.org/taxonomyHistory.asp?taxnode_id=20165077","ICTVonline=20165077")</f>
        <v>ICTVonline=20165077</v>
      </c>
    </row>
    <row r="941" spans="1:14" x14ac:dyDescent="0.15">
      <c r="A941" s="3">
        <v>940</v>
      </c>
      <c r="B941" s="1" t="s">
        <v>1366</v>
      </c>
      <c r="C941" s="1" t="s">
        <v>920</v>
      </c>
      <c r="E941" s="1" t="s">
        <v>8612</v>
      </c>
      <c r="F941" s="1" t="s">
        <v>8613</v>
      </c>
      <c r="G941" s="3">
        <v>0</v>
      </c>
      <c r="H941" s="20" t="s">
        <v>8614</v>
      </c>
      <c r="I941" s="20" t="s">
        <v>8615</v>
      </c>
      <c r="J941" s="20" t="s">
        <v>2860</v>
      </c>
      <c r="K941" s="20" t="s">
        <v>10013</v>
      </c>
      <c r="L941" s="3">
        <v>31</v>
      </c>
      <c r="M941" s="3" t="s">
        <v>8616</v>
      </c>
      <c r="N941" s="3" t="str">
        <f>HYPERLINK("http://ictvonline.org/taxonomyHistory.asp?taxnode_id=20165078","ICTVonline=20165078")</f>
        <v>ICTVonline=20165078</v>
      </c>
    </row>
    <row r="942" spans="1:14" x14ac:dyDescent="0.15">
      <c r="A942" s="3">
        <v>941</v>
      </c>
      <c r="B942" s="1" t="s">
        <v>1366</v>
      </c>
      <c r="C942" s="1" t="s">
        <v>920</v>
      </c>
      <c r="E942" s="1" t="s">
        <v>8612</v>
      </c>
      <c r="F942" s="1" t="s">
        <v>8617</v>
      </c>
      <c r="G942" s="3">
        <v>1</v>
      </c>
      <c r="H942" s="20" t="s">
        <v>8618</v>
      </c>
      <c r="I942" s="20" t="s">
        <v>8619</v>
      </c>
      <c r="J942" s="20" t="s">
        <v>2860</v>
      </c>
      <c r="K942" s="20" t="s">
        <v>10013</v>
      </c>
      <c r="L942" s="3">
        <v>31</v>
      </c>
      <c r="M942" s="3" t="s">
        <v>8616</v>
      </c>
      <c r="N942" s="3" t="str">
        <f>HYPERLINK("http://ictvonline.org/taxonomyHistory.asp?taxnode_id=20165079","ICTVonline=20165079")</f>
        <v>ICTVonline=20165079</v>
      </c>
    </row>
    <row r="943" spans="1:14" x14ac:dyDescent="0.15">
      <c r="A943" s="3">
        <v>942</v>
      </c>
      <c r="B943" s="1" t="s">
        <v>1366</v>
      </c>
      <c r="C943" s="1" t="s">
        <v>920</v>
      </c>
      <c r="E943" s="1" t="s">
        <v>7486</v>
      </c>
      <c r="F943" s="1" t="s">
        <v>3830</v>
      </c>
      <c r="G943" s="3">
        <v>1</v>
      </c>
      <c r="H943" s="20" t="s">
        <v>2886</v>
      </c>
      <c r="J943" s="20" t="s">
        <v>2860</v>
      </c>
      <c r="K943" s="20" t="s">
        <v>10016</v>
      </c>
      <c r="L943" s="3">
        <v>31</v>
      </c>
      <c r="M943" s="3" t="s">
        <v>10061</v>
      </c>
      <c r="N943" s="3" t="str">
        <f>HYPERLINK("http://ictvonline.org/taxonomyHistory.asp?taxnode_id=20160441","ICTVonline=20160441")</f>
        <v>ICTVonline=20160441</v>
      </c>
    </row>
    <row r="944" spans="1:14" x14ac:dyDescent="0.15">
      <c r="A944" s="3">
        <v>943</v>
      </c>
      <c r="B944" s="1" t="s">
        <v>1366</v>
      </c>
      <c r="C944" s="1" t="s">
        <v>920</v>
      </c>
      <c r="E944" s="1" t="s">
        <v>4042</v>
      </c>
      <c r="F944" s="1" t="s">
        <v>4043</v>
      </c>
      <c r="G944" s="3">
        <v>1</v>
      </c>
      <c r="H944" s="20" t="s">
        <v>3038</v>
      </c>
      <c r="J944" s="20" t="s">
        <v>2860</v>
      </c>
      <c r="K944" s="20" t="s">
        <v>10014</v>
      </c>
      <c r="L944" s="3">
        <v>30</v>
      </c>
      <c r="M944" s="3" t="s">
        <v>10017</v>
      </c>
      <c r="N944" s="3" t="str">
        <f>HYPERLINK("http://ictvonline.org/taxonomyHistory.asp?taxnode_id=20160644","ICTVonline=20160644")</f>
        <v>ICTVonline=20160644</v>
      </c>
    </row>
    <row r="945" spans="1:14" x14ac:dyDescent="0.15">
      <c r="A945" s="3">
        <v>944</v>
      </c>
      <c r="B945" s="1" t="s">
        <v>1366</v>
      </c>
      <c r="C945" s="1" t="s">
        <v>920</v>
      </c>
      <c r="E945" s="1" t="s">
        <v>8620</v>
      </c>
      <c r="F945" s="1" t="s">
        <v>8621</v>
      </c>
      <c r="G945" s="3">
        <v>1</v>
      </c>
      <c r="H945" s="20" t="s">
        <v>8622</v>
      </c>
      <c r="I945" s="20" t="s">
        <v>8623</v>
      </c>
      <c r="J945" s="20" t="s">
        <v>2860</v>
      </c>
      <c r="K945" s="20" t="s">
        <v>10013</v>
      </c>
      <c r="L945" s="3">
        <v>31</v>
      </c>
      <c r="M945" s="3" t="s">
        <v>8624</v>
      </c>
      <c r="N945" s="3" t="str">
        <f>HYPERLINK("http://ictvonline.org/taxonomyHistory.asp?taxnode_id=20165080","ICTVonline=20165080")</f>
        <v>ICTVonline=20165080</v>
      </c>
    </row>
    <row r="946" spans="1:14" x14ac:dyDescent="0.15">
      <c r="A946" s="3">
        <v>945</v>
      </c>
      <c r="B946" s="1" t="s">
        <v>1366</v>
      </c>
      <c r="C946" s="1" t="s">
        <v>920</v>
      </c>
      <c r="E946" s="1" t="s">
        <v>8620</v>
      </c>
      <c r="F946" s="1" t="s">
        <v>8625</v>
      </c>
      <c r="G946" s="3">
        <v>0</v>
      </c>
      <c r="H946" s="20" t="s">
        <v>8626</v>
      </c>
      <c r="I946" s="20" t="s">
        <v>8627</v>
      </c>
      <c r="J946" s="20" t="s">
        <v>2860</v>
      </c>
      <c r="K946" s="20" t="s">
        <v>10013</v>
      </c>
      <c r="L946" s="3">
        <v>31</v>
      </c>
      <c r="M946" s="3" t="s">
        <v>8624</v>
      </c>
      <c r="N946" s="3" t="str">
        <f>HYPERLINK("http://ictvonline.org/taxonomyHistory.asp?taxnode_id=20165081","ICTVonline=20165081")</f>
        <v>ICTVonline=20165081</v>
      </c>
    </row>
    <row r="947" spans="1:14" x14ac:dyDescent="0.15">
      <c r="A947" s="3">
        <v>946</v>
      </c>
      <c r="B947" s="1" t="s">
        <v>1366</v>
      </c>
      <c r="C947" s="1" t="s">
        <v>920</v>
      </c>
      <c r="E947" s="1" t="s">
        <v>4057</v>
      </c>
      <c r="F947" s="1" t="s">
        <v>4058</v>
      </c>
      <c r="G947" s="3">
        <v>0</v>
      </c>
      <c r="H947" s="20" t="s">
        <v>3051</v>
      </c>
      <c r="J947" s="20" t="s">
        <v>2860</v>
      </c>
      <c r="K947" s="20" t="s">
        <v>10014</v>
      </c>
      <c r="L947" s="3">
        <v>30</v>
      </c>
      <c r="M947" s="3" t="s">
        <v>10017</v>
      </c>
      <c r="N947" s="3" t="str">
        <f>HYPERLINK("http://ictvonline.org/taxonomyHistory.asp?taxnode_id=20160659","ICTVonline=20160659")</f>
        <v>ICTVonline=20160659</v>
      </c>
    </row>
    <row r="948" spans="1:14" x14ac:dyDescent="0.15">
      <c r="A948" s="3">
        <v>947</v>
      </c>
      <c r="B948" s="1" t="s">
        <v>1366</v>
      </c>
      <c r="C948" s="1" t="s">
        <v>920</v>
      </c>
      <c r="E948" s="1" t="s">
        <v>4057</v>
      </c>
      <c r="F948" s="1" t="s">
        <v>4059</v>
      </c>
      <c r="G948" s="3">
        <v>1</v>
      </c>
      <c r="J948" s="20" t="s">
        <v>2860</v>
      </c>
      <c r="K948" s="20" t="s">
        <v>10014</v>
      </c>
      <c r="L948" s="3">
        <v>30</v>
      </c>
      <c r="M948" s="3" t="s">
        <v>10017</v>
      </c>
      <c r="N948" s="3" t="str">
        <f>HYPERLINK("http://ictvonline.org/taxonomyHistory.asp?taxnode_id=20160660","ICTVonline=20160660")</f>
        <v>ICTVonline=20160660</v>
      </c>
    </row>
    <row r="949" spans="1:14" x14ac:dyDescent="0.15">
      <c r="A949" s="3">
        <v>948</v>
      </c>
      <c r="B949" s="1" t="s">
        <v>1366</v>
      </c>
      <c r="C949" s="1" t="s">
        <v>920</v>
      </c>
      <c r="E949" s="1" t="s">
        <v>4057</v>
      </c>
      <c r="F949" s="1" t="s">
        <v>4060</v>
      </c>
      <c r="G949" s="3">
        <v>0</v>
      </c>
      <c r="H949" s="20" t="s">
        <v>3052</v>
      </c>
      <c r="J949" s="20" t="s">
        <v>2860</v>
      </c>
      <c r="K949" s="20" t="s">
        <v>10014</v>
      </c>
      <c r="L949" s="3">
        <v>30</v>
      </c>
      <c r="M949" s="3" t="s">
        <v>10017</v>
      </c>
      <c r="N949" s="3" t="str">
        <f>HYPERLINK("http://ictvonline.org/taxonomyHistory.asp?taxnode_id=20160661","ICTVonline=20160661")</f>
        <v>ICTVonline=20160661</v>
      </c>
    </row>
    <row r="950" spans="1:14" x14ac:dyDescent="0.15">
      <c r="A950" s="3">
        <v>949</v>
      </c>
      <c r="B950" s="1" t="s">
        <v>1366</v>
      </c>
      <c r="C950" s="1" t="s">
        <v>920</v>
      </c>
      <c r="E950" s="1" t="s">
        <v>4061</v>
      </c>
      <c r="F950" s="1" t="s">
        <v>4062</v>
      </c>
      <c r="G950" s="3">
        <v>0</v>
      </c>
      <c r="H950" s="20" t="s">
        <v>3053</v>
      </c>
      <c r="J950" s="20" t="s">
        <v>2860</v>
      </c>
      <c r="K950" s="20" t="s">
        <v>10014</v>
      </c>
      <c r="L950" s="3">
        <v>30</v>
      </c>
      <c r="M950" s="3" t="s">
        <v>10017</v>
      </c>
      <c r="N950" s="3" t="str">
        <f>HYPERLINK("http://ictvonline.org/taxonomyHistory.asp?taxnode_id=20160663","ICTVonline=20160663")</f>
        <v>ICTVonline=20160663</v>
      </c>
    </row>
    <row r="951" spans="1:14" x14ac:dyDescent="0.15">
      <c r="A951" s="3">
        <v>950</v>
      </c>
      <c r="B951" s="1" t="s">
        <v>1366</v>
      </c>
      <c r="C951" s="1" t="s">
        <v>920</v>
      </c>
      <c r="E951" s="1" t="s">
        <v>4061</v>
      </c>
      <c r="F951" s="1" t="s">
        <v>4063</v>
      </c>
      <c r="G951" s="3">
        <v>0</v>
      </c>
      <c r="H951" s="20" t="s">
        <v>3054</v>
      </c>
      <c r="J951" s="20" t="s">
        <v>2860</v>
      </c>
      <c r="K951" s="20" t="s">
        <v>10014</v>
      </c>
      <c r="L951" s="3">
        <v>30</v>
      </c>
      <c r="M951" s="3" t="s">
        <v>10017</v>
      </c>
      <c r="N951" s="3" t="str">
        <f>HYPERLINK("http://ictvonline.org/taxonomyHistory.asp?taxnode_id=20160664","ICTVonline=20160664")</f>
        <v>ICTVonline=20160664</v>
      </c>
    </row>
    <row r="952" spans="1:14" x14ac:dyDescent="0.15">
      <c r="A952" s="3">
        <v>951</v>
      </c>
      <c r="B952" s="1" t="s">
        <v>1366</v>
      </c>
      <c r="C952" s="1" t="s">
        <v>920</v>
      </c>
      <c r="E952" s="1" t="s">
        <v>4061</v>
      </c>
      <c r="F952" s="1" t="s">
        <v>4064</v>
      </c>
      <c r="G952" s="3">
        <v>1</v>
      </c>
      <c r="H952" s="20" t="s">
        <v>3055</v>
      </c>
      <c r="J952" s="20" t="s">
        <v>2860</v>
      </c>
      <c r="K952" s="20" t="s">
        <v>10014</v>
      </c>
      <c r="L952" s="3">
        <v>30</v>
      </c>
      <c r="M952" s="3" t="s">
        <v>10017</v>
      </c>
      <c r="N952" s="3" t="str">
        <f>HYPERLINK("http://ictvonline.org/taxonomyHistory.asp?taxnode_id=20160665","ICTVonline=20160665")</f>
        <v>ICTVonline=20160665</v>
      </c>
    </row>
    <row r="953" spans="1:14" x14ac:dyDescent="0.15">
      <c r="A953" s="3">
        <v>952</v>
      </c>
      <c r="B953" s="1" t="s">
        <v>1366</v>
      </c>
      <c r="C953" s="1" t="s">
        <v>920</v>
      </c>
      <c r="E953" s="1" t="s">
        <v>4061</v>
      </c>
      <c r="F953" s="1" t="s">
        <v>4065</v>
      </c>
      <c r="G953" s="3">
        <v>0</v>
      </c>
      <c r="H953" s="20" t="s">
        <v>3056</v>
      </c>
      <c r="J953" s="20" t="s">
        <v>2860</v>
      </c>
      <c r="K953" s="20" t="s">
        <v>10014</v>
      </c>
      <c r="L953" s="3">
        <v>30</v>
      </c>
      <c r="M953" s="3" t="s">
        <v>10017</v>
      </c>
      <c r="N953" s="3" t="str">
        <f>HYPERLINK("http://ictvonline.org/taxonomyHistory.asp?taxnode_id=20160666","ICTVonline=20160666")</f>
        <v>ICTVonline=20160666</v>
      </c>
    </row>
    <row r="954" spans="1:14" x14ac:dyDescent="0.15">
      <c r="A954" s="3">
        <v>953</v>
      </c>
      <c r="B954" s="1" t="s">
        <v>1366</v>
      </c>
      <c r="C954" s="1" t="s">
        <v>920</v>
      </c>
      <c r="E954" s="1" t="s">
        <v>4061</v>
      </c>
      <c r="F954" s="1" t="s">
        <v>4066</v>
      </c>
      <c r="G954" s="3">
        <v>0</v>
      </c>
      <c r="H954" s="20" t="s">
        <v>3057</v>
      </c>
      <c r="J954" s="20" t="s">
        <v>2860</v>
      </c>
      <c r="K954" s="20" t="s">
        <v>10014</v>
      </c>
      <c r="L954" s="3">
        <v>30</v>
      </c>
      <c r="M954" s="3" t="s">
        <v>10017</v>
      </c>
      <c r="N954" s="3" t="str">
        <f>HYPERLINK("http://ictvonline.org/taxonomyHistory.asp?taxnode_id=20160667","ICTVonline=20160667")</f>
        <v>ICTVonline=20160667</v>
      </c>
    </row>
    <row r="955" spans="1:14" x14ac:dyDescent="0.15">
      <c r="A955" s="3">
        <v>954</v>
      </c>
      <c r="B955" s="1" t="s">
        <v>1366</v>
      </c>
      <c r="C955" s="1" t="s">
        <v>920</v>
      </c>
      <c r="E955" s="1" t="s">
        <v>4067</v>
      </c>
      <c r="F955" s="1" t="s">
        <v>4068</v>
      </c>
      <c r="G955" s="3">
        <v>0</v>
      </c>
      <c r="H955" s="20" t="s">
        <v>3061</v>
      </c>
      <c r="J955" s="20" t="s">
        <v>2860</v>
      </c>
      <c r="K955" s="20" t="s">
        <v>10014</v>
      </c>
      <c r="L955" s="3">
        <v>30</v>
      </c>
      <c r="M955" s="3" t="s">
        <v>10017</v>
      </c>
      <c r="N955" s="3" t="str">
        <f>HYPERLINK("http://ictvonline.org/taxonomyHistory.asp?taxnode_id=20160669","ICTVonline=20160669")</f>
        <v>ICTVonline=20160669</v>
      </c>
    </row>
    <row r="956" spans="1:14" x14ac:dyDescent="0.15">
      <c r="A956" s="3">
        <v>955</v>
      </c>
      <c r="B956" s="1" t="s">
        <v>1366</v>
      </c>
      <c r="C956" s="1" t="s">
        <v>920</v>
      </c>
      <c r="E956" s="1" t="s">
        <v>4067</v>
      </c>
      <c r="F956" s="1" t="s">
        <v>4069</v>
      </c>
      <c r="G956" s="3">
        <v>0</v>
      </c>
      <c r="H956" s="20" t="s">
        <v>3062</v>
      </c>
      <c r="J956" s="20" t="s">
        <v>2860</v>
      </c>
      <c r="K956" s="20" t="s">
        <v>10014</v>
      </c>
      <c r="L956" s="3">
        <v>30</v>
      </c>
      <c r="M956" s="3" t="s">
        <v>10017</v>
      </c>
      <c r="N956" s="3" t="str">
        <f>HYPERLINK("http://ictvonline.org/taxonomyHistory.asp?taxnode_id=20160670","ICTVonline=20160670")</f>
        <v>ICTVonline=20160670</v>
      </c>
    </row>
    <row r="957" spans="1:14" x14ac:dyDescent="0.15">
      <c r="A957" s="3">
        <v>956</v>
      </c>
      <c r="B957" s="1" t="s">
        <v>1366</v>
      </c>
      <c r="C957" s="1" t="s">
        <v>920</v>
      </c>
      <c r="E957" s="1" t="s">
        <v>4067</v>
      </c>
      <c r="F957" s="1" t="s">
        <v>4070</v>
      </c>
      <c r="G957" s="3">
        <v>0</v>
      </c>
      <c r="H957" s="20" t="s">
        <v>3063</v>
      </c>
      <c r="J957" s="20" t="s">
        <v>2860</v>
      </c>
      <c r="K957" s="20" t="s">
        <v>10014</v>
      </c>
      <c r="L957" s="3">
        <v>30</v>
      </c>
      <c r="M957" s="3" t="s">
        <v>10017</v>
      </c>
      <c r="N957" s="3" t="str">
        <f>HYPERLINK("http://ictvonline.org/taxonomyHistory.asp?taxnode_id=20160671","ICTVonline=20160671")</f>
        <v>ICTVonline=20160671</v>
      </c>
    </row>
    <row r="958" spans="1:14" x14ac:dyDescent="0.15">
      <c r="A958" s="3">
        <v>957</v>
      </c>
      <c r="B958" s="1" t="s">
        <v>1366</v>
      </c>
      <c r="C958" s="1" t="s">
        <v>920</v>
      </c>
      <c r="E958" s="1" t="s">
        <v>4067</v>
      </c>
      <c r="F958" s="1" t="s">
        <v>4071</v>
      </c>
      <c r="G958" s="3">
        <v>0</v>
      </c>
      <c r="H958" s="20" t="s">
        <v>3064</v>
      </c>
      <c r="J958" s="20" t="s">
        <v>2860</v>
      </c>
      <c r="K958" s="20" t="s">
        <v>10014</v>
      </c>
      <c r="L958" s="3">
        <v>30</v>
      </c>
      <c r="M958" s="3" t="s">
        <v>10017</v>
      </c>
      <c r="N958" s="3" t="str">
        <f>HYPERLINK("http://ictvonline.org/taxonomyHistory.asp?taxnode_id=20160672","ICTVonline=20160672")</f>
        <v>ICTVonline=20160672</v>
      </c>
    </row>
    <row r="959" spans="1:14" x14ac:dyDescent="0.15">
      <c r="A959" s="3">
        <v>958</v>
      </c>
      <c r="B959" s="1" t="s">
        <v>1366</v>
      </c>
      <c r="C959" s="1" t="s">
        <v>920</v>
      </c>
      <c r="E959" s="1" t="s">
        <v>4067</v>
      </c>
      <c r="F959" s="1" t="s">
        <v>4072</v>
      </c>
      <c r="G959" s="3">
        <v>0</v>
      </c>
      <c r="H959" s="20" t="s">
        <v>3065</v>
      </c>
      <c r="J959" s="20" t="s">
        <v>2860</v>
      </c>
      <c r="K959" s="20" t="s">
        <v>10014</v>
      </c>
      <c r="L959" s="3">
        <v>30</v>
      </c>
      <c r="M959" s="3" t="s">
        <v>10017</v>
      </c>
      <c r="N959" s="3" t="str">
        <f>HYPERLINK("http://ictvonline.org/taxonomyHistory.asp?taxnode_id=20160673","ICTVonline=20160673")</f>
        <v>ICTVonline=20160673</v>
      </c>
    </row>
    <row r="960" spans="1:14" x14ac:dyDescent="0.15">
      <c r="A960" s="3">
        <v>959</v>
      </c>
      <c r="B960" s="1" t="s">
        <v>1366</v>
      </c>
      <c r="C960" s="1" t="s">
        <v>920</v>
      </c>
      <c r="E960" s="1" t="s">
        <v>4067</v>
      </c>
      <c r="F960" s="1" t="s">
        <v>4073</v>
      </c>
      <c r="G960" s="3">
        <v>0</v>
      </c>
      <c r="H960" s="20" t="s">
        <v>3066</v>
      </c>
      <c r="J960" s="20" t="s">
        <v>2860</v>
      </c>
      <c r="K960" s="20" t="s">
        <v>10014</v>
      </c>
      <c r="L960" s="3">
        <v>30</v>
      </c>
      <c r="M960" s="3" t="s">
        <v>10017</v>
      </c>
      <c r="N960" s="3" t="str">
        <f>HYPERLINK("http://ictvonline.org/taxonomyHistory.asp?taxnode_id=20160674","ICTVonline=20160674")</f>
        <v>ICTVonline=20160674</v>
      </c>
    </row>
    <row r="961" spans="1:14" x14ac:dyDescent="0.15">
      <c r="A961" s="3">
        <v>960</v>
      </c>
      <c r="B961" s="1" t="s">
        <v>1366</v>
      </c>
      <c r="C961" s="1" t="s">
        <v>920</v>
      </c>
      <c r="E961" s="1" t="s">
        <v>4067</v>
      </c>
      <c r="F961" s="1" t="s">
        <v>4074</v>
      </c>
      <c r="G961" s="3">
        <v>0</v>
      </c>
      <c r="H961" s="20" t="s">
        <v>3067</v>
      </c>
      <c r="J961" s="20" t="s">
        <v>2860</v>
      </c>
      <c r="K961" s="20" t="s">
        <v>10014</v>
      </c>
      <c r="L961" s="3">
        <v>30</v>
      </c>
      <c r="M961" s="3" t="s">
        <v>10017</v>
      </c>
      <c r="N961" s="3" t="str">
        <f>HYPERLINK("http://ictvonline.org/taxonomyHistory.asp?taxnode_id=20160675","ICTVonline=20160675")</f>
        <v>ICTVonline=20160675</v>
      </c>
    </row>
    <row r="962" spans="1:14" x14ac:dyDescent="0.15">
      <c r="A962" s="3">
        <v>961</v>
      </c>
      <c r="B962" s="1" t="s">
        <v>1366</v>
      </c>
      <c r="C962" s="1" t="s">
        <v>920</v>
      </c>
      <c r="E962" s="1" t="s">
        <v>4067</v>
      </c>
      <c r="F962" s="1" t="s">
        <v>4075</v>
      </c>
      <c r="G962" s="3">
        <v>0</v>
      </c>
      <c r="H962" s="20" t="s">
        <v>3068</v>
      </c>
      <c r="J962" s="20" t="s">
        <v>2860</v>
      </c>
      <c r="K962" s="20" t="s">
        <v>10014</v>
      </c>
      <c r="L962" s="3">
        <v>30</v>
      </c>
      <c r="M962" s="3" t="s">
        <v>10017</v>
      </c>
      <c r="N962" s="3" t="str">
        <f>HYPERLINK("http://ictvonline.org/taxonomyHistory.asp?taxnode_id=20160676","ICTVonline=20160676")</f>
        <v>ICTVonline=20160676</v>
      </c>
    </row>
    <row r="963" spans="1:14" x14ac:dyDescent="0.15">
      <c r="A963" s="3">
        <v>962</v>
      </c>
      <c r="B963" s="1" t="s">
        <v>1366</v>
      </c>
      <c r="C963" s="1" t="s">
        <v>920</v>
      </c>
      <c r="E963" s="1" t="s">
        <v>4067</v>
      </c>
      <c r="F963" s="1" t="s">
        <v>4076</v>
      </c>
      <c r="G963" s="3">
        <v>0</v>
      </c>
      <c r="H963" s="20" t="s">
        <v>3069</v>
      </c>
      <c r="J963" s="20" t="s">
        <v>2860</v>
      </c>
      <c r="K963" s="20" t="s">
        <v>10014</v>
      </c>
      <c r="L963" s="3">
        <v>30</v>
      </c>
      <c r="M963" s="3" t="s">
        <v>10017</v>
      </c>
      <c r="N963" s="3" t="str">
        <f>HYPERLINK("http://ictvonline.org/taxonomyHistory.asp?taxnode_id=20160677","ICTVonline=20160677")</f>
        <v>ICTVonline=20160677</v>
      </c>
    </row>
    <row r="964" spans="1:14" x14ac:dyDescent="0.15">
      <c r="A964" s="3">
        <v>963</v>
      </c>
      <c r="B964" s="1" t="s">
        <v>1366</v>
      </c>
      <c r="C964" s="1" t="s">
        <v>920</v>
      </c>
      <c r="E964" s="1" t="s">
        <v>4067</v>
      </c>
      <c r="F964" s="1" t="s">
        <v>4077</v>
      </c>
      <c r="G964" s="3">
        <v>0</v>
      </c>
      <c r="H964" s="20" t="s">
        <v>3070</v>
      </c>
      <c r="J964" s="20" t="s">
        <v>2860</v>
      </c>
      <c r="K964" s="20" t="s">
        <v>10014</v>
      </c>
      <c r="L964" s="3">
        <v>30</v>
      </c>
      <c r="M964" s="3" t="s">
        <v>10017</v>
      </c>
      <c r="N964" s="3" t="str">
        <f>HYPERLINK("http://ictvonline.org/taxonomyHistory.asp?taxnode_id=20160678","ICTVonline=20160678")</f>
        <v>ICTVonline=20160678</v>
      </c>
    </row>
    <row r="965" spans="1:14" x14ac:dyDescent="0.15">
      <c r="A965" s="3">
        <v>964</v>
      </c>
      <c r="B965" s="1" t="s">
        <v>1366</v>
      </c>
      <c r="C965" s="1" t="s">
        <v>920</v>
      </c>
      <c r="E965" s="1" t="s">
        <v>4067</v>
      </c>
      <c r="F965" s="1" t="s">
        <v>4078</v>
      </c>
      <c r="G965" s="3">
        <v>0</v>
      </c>
      <c r="H965" s="20" t="s">
        <v>3071</v>
      </c>
      <c r="J965" s="20" t="s">
        <v>2860</v>
      </c>
      <c r="K965" s="20" t="s">
        <v>10014</v>
      </c>
      <c r="L965" s="3">
        <v>30</v>
      </c>
      <c r="M965" s="3" t="s">
        <v>10017</v>
      </c>
      <c r="N965" s="3" t="str">
        <f>HYPERLINK("http://ictvonline.org/taxonomyHistory.asp?taxnode_id=20160679","ICTVonline=20160679")</f>
        <v>ICTVonline=20160679</v>
      </c>
    </row>
    <row r="966" spans="1:14" x14ac:dyDescent="0.15">
      <c r="A966" s="3">
        <v>965</v>
      </c>
      <c r="B966" s="1" t="s">
        <v>1366</v>
      </c>
      <c r="C966" s="1" t="s">
        <v>920</v>
      </c>
      <c r="E966" s="1" t="s">
        <v>4067</v>
      </c>
      <c r="F966" s="1" t="s">
        <v>4079</v>
      </c>
      <c r="G966" s="3">
        <v>0</v>
      </c>
      <c r="H966" s="20" t="s">
        <v>3072</v>
      </c>
      <c r="J966" s="20" t="s">
        <v>2860</v>
      </c>
      <c r="K966" s="20" t="s">
        <v>10014</v>
      </c>
      <c r="L966" s="3">
        <v>30</v>
      </c>
      <c r="M966" s="3" t="s">
        <v>10017</v>
      </c>
      <c r="N966" s="3" t="str">
        <f>HYPERLINK("http://ictvonline.org/taxonomyHistory.asp?taxnode_id=20160680","ICTVonline=20160680")</f>
        <v>ICTVonline=20160680</v>
      </c>
    </row>
    <row r="967" spans="1:14" x14ac:dyDescent="0.15">
      <c r="A967" s="3">
        <v>966</v>
      </c>
      <c r="B967" s="1" t="s">
        <v>1366</v>
      </c>
      <c r="C967" s="1" t="s">
        <v>920</v>
      </c>
      <c r="E967" s="1" t="s">
        <v>4067</v>
      </c>
      <c r="F967" s="1" t="s">
        <v>4080</v>
      </c>
      <c r="G967" s="3">
        <v>0</v>
      </c>
      <c r="H967" s="20" t="s">
        <v>3073</v>
      </c>
      <c r="J967" s="20" t="s">
        <v>2860</v>
      </c>
      <c r="K967" s="20" t="s">
        <v>10014</v>
      </c>
      <c r="L967" s="3">
        <v>30</v>
      </c>
      <c r="M967" s="3" t="s">
        <v>10017</v>
      </c>
      <c r="N967" s="3" t="str">
        <f>HYPERLINK("http://ictvonline.org/taxonomyHistory.asp?taxnode_id=20160681","ICTVonline=20160681")</f>
        <v>ICTVonline=20160681</v>
      </c>
    </row>
    <row r="968" spans="1:14" x14ac:dyDescent="0.15">
      <c r="A968" s="3">
        <v>967</v>
      </c>
      <c r="B968" s="1" t="s">
        <v>1366</v>
      </c>
      <c r="C968" s="1" t="s">
        <v>920</v>
      </c>
      <c r="E968" s="1" t="s">
        <v>4067</v>
      </c>
      <c r="F968" s="1" t="s">
        <v>4081</v>
      </c>
      <c r="G968" s="3">
        <v>0</v>
      </c>
      <c r="H968" s="20" t="s">
        <v>3074</v>
      </c>
      <c r="J968" s="20" t="s">
        <v>2860</v>
      </c>
      <c r="K968" s="20" t="s">
        <v>10014</v>
      </c>
      <c r="L968" s="3">
        <v>30</v>
      </c>
      <c r="M968" s="3" t="s">
        <v>10017</v>
      </c>
      <c r="N968" s="3" t="str">
        <f>HYPERLINK("http://ictvonline.org/taxonomyHistory.asp?taxnode_id=20160682","ICTVonline=20160682")</f>
        <v>ICTVonline=20160682</v>
      </c>
    </row>
    <row r="969" spans="1:14" x14ac:dyDescent="0.15">
      <c r="A969" s="3">
        <v>968</v>
      </c>
      <c r="B969" s="1" t="s">
        <v>1366</v>
      </c>
      <c r="C969" s="1" t="s">
        <v>920</v>
      </c>
      <c r="E969" s="1" t="s">
        <v>4067</v>
      </c>
      <c r="F969" s="1" t="s">
        <v>4082</v>
      </c>
      <c r="G969" s="3">
        <v>0</v>
      </c>
      <c r="H969" s="20" t="s">
        <v>3075</v>
      </c>
      <c r="J969" s="20" t="s">
        <v>2860</v>
      </c>
      <c r="K969" s="20" t="s">
        <v>10014</v>
      </c>
      <c r="L969" s="3">
        <v>30</v>
      </c>
      <c r="M969" s="3" t="s">
        <v>10017</v>
      </c>
      <c r="N969" s="3" t="str">
        <f>HYPERLINK("http://ictvonline.org/taxonomyHistory.asp?taxnode_id=20160683","ICTVonline=20160683")</f>
        <v>ICTVonline=20160683</v>
      </c>
    </row>
    <row r="970" spans="1:14" x14ac:dyDescent="0.15">
      <c r="A970" s="3">
        <v>969</v>
      </c>
      <c r="B970" s="1" t="s">
        <v>1366</v>
      </c>
      <c r="C970" s="1" t="s">
        <v>920</v>
      </c>
      <c r="E970" s="1" t="s">
        <v>4067</v>
      </c>
      <c r="F970" s="1" t="s">
        <v>4083</v>
      </c>
      <c r="G970" s="3">
        <v>0</v>
      </c>
      <c r="H970" s="20" t="s">
        <v>3076</v>
      </c>
      <c r="J970" s="20" t="s">
        <v>2860</v>
      </c>
      <c r="K970" s="20" t="s">
        <v>10014</v>
      </c>
      <c r="L970" s="3">
        <v>30</v>
      </c>
      <c r="M970" s="3" t="s">
        <v>10017</v>
      </c>
      <c r="N970" s="3" t="str">
        <f>HYPERLINK("http://ictvonline.org/taxonomyHistory.asp?taxnode_id=20160684","ICTVonline=20160684")</f>
        <v>ICTVonline=20160684</v>
      </c>
    </row>
    <row r="971" spans="1:14" x14ac:dyDescent="0.15">
      <c r="A971" s="3">
        <v>970</v>
      </c>
      <c r="B971" s="1" t="s">
        <v>1366</v>
      </c>
      <c r="C971" s="1" t="s">
        <v>920</v>
      </c>
      <c r="E971" s="1" t="s">
        <v>4067</v>
      </c>
      <c r="F971" s="1" t="s">
        <v>4084</v>
      </c>
      <c r="G971" s="3">
        <v>0</v>
      </c>
      <c r="H971" s="20" t="s">
        <v>3077</v>
      </c>
      <c r="J971" s="20" t="s">
        <v>2860</v>
      </c>
      <c r="K971" s="20" t="s">
        <v>10014</v>
      </c>
      <c r="L971" s="3">
        <v>30</v>
      </c>
      <c r="M971" s="3" t="s">
        <v>10017</v>
      </c>
      <c r="N971" s="3" t="str">
        <f>HYPERLINK("http://ictvonline.org/taxonomyHistory.asp?taxnode_id=20160685","ICTVonline=20160685")</f>
        <v>ICTVonline=20160685</v>
      </c>
    </row>
    <row r="972" spans="1:14" x14ac:dyDescent="0.15">
      <c r="A972" s="3">
        <v>971</v>
      </c>
      <c r="B972" s="1" t="s">
        <v>1366</v>
      </c>
      <c r="C972" s="1" t="s">
        <v>920</v>
      </c>
      <c r="E972" s="1" t="s">
        <v>4067</v>
      </c>
      <c r="F972" s="1" t="s">
        <v>4085</v>
      </c>
      <c r="G972" s="3">
        <v>0</v>
      </c>
      <c r="H972" s="20" t="s">
        <v>3078</v>
      </c>
      <c r="J972" s="20" t="s">
        <v>2860</v>
      </c>
      <c r="K972" s="20" t="s">
        <v>10014</v>
      </c>
      <c r="L972" s="3">
        <v>30</v>
      </c>
      <c r="M972" s="3" t="s">
        <v>10017</v>
      </c>
      <c r="N972" s="3" t="str">
        <f>HYPERLINK("http://ictvonline.org/taxonomyHistory.asp?taxnode_id=20160686","ICTVonline=20160686")</f>
        <v>ICTVonline=20160686</v>
      </c>
    </row>
    <row r="973" spans="1:14" x14ac:dyDescent="0.15">
      <c r="A973" s="3">
        <v>972</v>
      </c>
      <c r="B973" s="1" t="s">
        <v>1366</v>
      </c>
      <c r="C973" s="1" t="s">
        <v>920</v>
      </c>
      <c r="E973" s="1" t="s">
        <v>4067</v>
      </c>
      <c r="F973" s="1" t="s">
        <v>4086</v>
      </c>
      <c r="G973" s="3">
        <v>0</v>
      </c>
      <c r="H973" s="20" t="s">
        <v>3079</v>
      </c>
      <c r="J973" s="20" t="s">
        <v>2860</v>
      </c>
      <c r="K973" s="20" t="s">
        <v>10014</v>
      </c>
      <c r="L973" s="3">
        <v>30</v>
      </c>
      <c r="M973" s="3" t="s">
        <v>10017</v>
      </c>
      <c r="N973" s="3" t="str">
        <f>HYPERLINK("http://ictvonline.org/taxonomyHistory.asp?taxnode_id=20160687","ICTVonline=20160687")</f>
        <v>ICTVonline=20160687</v>
      </c>
    </row>
    <row r="974" spans="1:14" x14ac:dyDescent="0.15">
      <c r="A974" s="3">
        <v>973</v>
      </c>
      <c r="B974" s="1" t="s">
        <v>1366</v>
      </c>
      <c r="C974" s="1" t="s">
        <v>920</v>
      </c>
      <c r="E974" s="1" t="s">
        <v>4067</v>
      </c>
      <c r="F974" s="1" t="s">
        <v>4087</v>
      </c>
      <c r="G974" s="3">
        <v>0</v>
      </c>
      <c r="H974" s="20" t="s">
        <v>3080</v>
      </c>
      <c r="J974" s="20" t="s">
        <v>2860</v>
      </c>
      <c r="K974" s="20" t="s">
        <v>10014</v>
      </c>
      <c r="L974" s="3">
        <v>30</v>
      </c>
      <c r="M974" s="3" t="s">
        <v>10017</v>
      </c>
      <c r="N974" s="3" t="str">
        <f>HYPERLINK("http://ictvonline.org/taxonomyHistory.asp?taxnode_id=20160688","ICTVonline=20160688")</f>
        <v>ICTVonline=20160688</v>
      </c>
    </row>
    <row r="975" spans="1:14" x14ac:dyDescent="0.15">
      <c r="A975" s="3">
        <v>974</v>
      </c>
      <c r="B975" s="1" t="s">
        <v>1366</v>
      </c>
      <c r="C975" s="1" t="s">
        <v>920</v>
      </c>
      <c r="E975" s="1" t="s">
        <v>4067</v>
      </c>
      <c r="F975" s="1" t="s">
        <v>4088</v>
      </c>
      <c r="G975" s="3">
        <v>0</v>
      </c>
      <c r="H975" s="20" t="s">
        <v>3081</v>
      </c>
      <c r="J975" s="20" t="s">
        <v>2860</v>
      </c>
      <c r="K975" s="20" t="s">
        <v>10014</v>
      </c>
      <c r="L975" s="3">
        <v>30</v>
      </c>
      <c r="M975" s="3" t="s">
        <v>10017</v>
      </c>
      <c r="N975" s="3" t="str">
        <f>HYPERLINK("http://ictvonline.org/taxonomyHistory.asp?taxnode_id=20160689","ICTVonline=20160689")</f>
        <v>ICTVonline=20160689</v>
      </c>
    </row>
    <row r="976" spans="1:14" x14ac:dyDescent="0.15">
      <c r="A976" s="3">
        <v>975</v>
      </c>
      <c r="B976" s="1" t="s">
        <v>1366</v>
      </c>
      <c r="C976" s="1" t="s">
        <v>920</v>
      </c>
      <c r="E976" s="1" t="s">
        <v>4067</v>
      </c>
      <c r="F976" s="1" t="s">
        <v>4089</v>
      </c>
      <c r="G976" s="3">
        <v>1</v>
      </c>
      <c r="H976" s="20" t="s">
        <v>3082</v>
      </c>
      <c r="J976" s="20" t="s">
        <v>2860</v>
      </c>
      <c r="K976" s="20" t="s">
        <v>10014</v>
      </c>
      <c r="L976" s="3">
        <v>30</v>
      </c>
      <c r="M976" s="3" t="s">
        <v>10017</v>
      </c>
      <c r="N976" s="3" t="str">
        <f>HYPERLINK("http://ictvonline.org/taxonomyHistory.asp?taxnode_id=20160690","ICTVonline=20160690")</f>
        <v>ICTVonline=20160690</v>
      </c>
    </row>
    <row r="977" spans="1:14" x14ac:dyDescent="0.15">
      <c r="A977" s="3">
        <v>976</v>
      </c>
      <c r="B977" s="1" t="s">
        <v>1366</v>
      </c>
      <c r="C977" s="1" t="s">
        <v>920</v>
      </c>
      <c r="E977" s="1" t="s">
        <v>4067</v>
      </c>
      <c r="F977" s="1" t="s">
        <v>4090</v>
      </c>
      <c r="G977" s="3">
        <v>0</v>
      </c>
      <c r="H977" s="20" t="s">
        <v>3083</v>
      </c>
      <c r="J977" s="20" t="s">
        <v>2860</v>
      </c>
      <c r="K977" s="20" t="s">
        <v>10014</v>
      </c>
      <c r="L977" s="3">
        <v>30</v>
      </c>
      <c r="M977" s="3" t="s">
        <v>10017</v>
      </c>
      <c r="N977" s="3" t="str">
        <f>HYPERLINK("http://ictvonline.org/taxonomyHistory.asp?taxnode_id=20160691","ICTVonline=20160691")</f>
        <v>ICTVonline=20160691</v>
      </c>
    </row>
    <row r="978" spans="1:14" x14ac:dyDescent="0.15">
      <c r="A978" s="3">
        <v>977</v>
      </c>
      <c r="B978" s="1" t="s">
        <v>1366</v>
      </c>
      <c r="C978" s="1" t="s">
        <v>920</v>
      </c>
      <c r="E978" s="1" t="s">
        <v>4067</v>
      </c>
      <c r="F978" s="1" t="s">
        <v>4091</v>
      </c>
      <c r="G978" s="3">
        <v>0</v>
      </c>
      <c r="H978" s="20" t="s">
        <v>3084</v>
      </c>
      <c r="J978" s="20" t="s">
        <v>2860</v>
      </c>
      <c r="K978" s="20" t="s">
        <v>10014</v>
      </c>
      <c r="L978" s="3">
        <v>30</v>
      </c>
      <c r="M978" s="3" t="s">
        <v>10017</v>
      </c>
      <c r="N978" s="3" t="str">
        <f>HYPERLINK("http://ictvonline.org/taxonomyHistory.asp?taxnode_id=20160692","ICTVonline=20160692")</f>
        <v>ICTVonline=20160692</v>
      </c>
    </row>
    <row r="979" spans="1:14" x14ac:dyDescent="0.15">
      <c r="A979" s="3">
        <v>978</v>
      </c>
      <c r="B979" s="1" t="s">
        <v>1366</v>
      </c>
      <c r="C979" s="1" t="s">
        <v>920</v>
      </c>
      <c r="E979" s="1" t="s">
        <v>4067</v>
      </c>
      <c r="F979" s="1" t="s">
        <v>4092</v>
      </c>
      <c r="G979" s="3">
        <v>0</v>
      </c>
      <c r="H979" s="20" t="s">
        <v>3085</v>
      </c>
      <c r="J979" s="20" t="s">
        <v>2860</v>
      </c>
      <c r="K979" s="20" t="s">
        <v>10014</v>
      </c>
      <c r="L979" s="3">
        <v>30</v>
      </c>
      <c r="M979" s="3" t="s">
        <v>10017</v>
      </c>
      <c r="N979" s="3" t="str">
        <f>HYPERLINK("http://ictvonline.org/taxonomyHistory.asp?taxnode_id=20160693","ICTVonline=20160693")</f>
        <v>ICTVonline=20160693</v>
      </c>
    </row>
    <row r="980" spans="1:14" x14ac:dyDescent="0.15">
      <c r="A980" s="3">
        <v>979</v>
      </c>
      <c r="B980" s="1" t="s">
        <v>1366</v>
      </c>
      <c r="C980" s="1" t="s">
        <v>920</v>
      </c>
      <c r="E980" s="1" t="s">
        <v>4067</v>
      </c>
      <c r="F980" s="1" t="s">
        <v>4093</v>
      </c>
      <c r="G980" s="3">
        <v>0</v>
      </c>
      <c r="H980" s="20" t="s">
        <v>3086</v>
      </c>
      <c r="J980" s="20" t="s">
        <v>2860</v>
      </c>
      <c r="K980" s="20" t="s">
        <v>10014</v>
      </c>
      <c r="L980" s="3">
        <v>30</v>
      </c>
      <c r="M980" s="3" t="s">
        <v>10017</v>
      </c>
      <c r="N980" s="3" t="str">
        <f>HYPERLINK("http://ictvonline.org/taxonomyHistory.asp?taxnode_id=20160694","ICTVonline=20160694")</f>
        <v>ICTVonline=20160694</v>
      </c>
    </row>
    <row r="981" spans="1:14" x14ac:dyDescent="0.15">
      <c r="A981" s="3">
        <v>980</v>
      </c>
      <c r="B981" s="1" t="s">
        <v>1366</v>
      </c>
      <c r="C981" s="1" t="s">
        <v>920</v>
      </c>
      <c r="E981" s="1" t="s">
        <v>4067</v>
      </c>
      <c r="F981" s="1" t="s">
        <v>4094</v>
      </c>
      <c r="G981" s="3">
        <v>0</v>
      </c>
      <c r="H981" s="20" t="s">
        <v>3087</v>
      </c>
      <c r="J981" s="20" t="s">
        <v>2860</v>
      </c>
      <c r="K981" s="20" t="s">
        <v>10014</v>
      </c>
      <c r="L981" s="3">
        <v>30</v>
      </c>
      <c r="M981" s="3" t="s">
        <v>10017</v>
      </c>
      <c r="N981" s="3" t="str">
        <f>HYPERLINK("http://ictvonline.org/taxonomyHistory.asp?taxnode_id=20160695","ICTVonline=20160695")</f>
        <v>ICTVonline=20160695</v>
      </c>
    </row>
    <row r="982" spans="1:14" x14ac:dyDescent="0.15">
      <c r="A982" s="3">
        <v>981</v>
      </c>
      <c r="B982" s="1" t="s">
        <v>1366</v>
      </c>
      <c r="C982" s="1" t="s">
        <v>920</v>
      </c>
      <c r="E982" s="1" t="s">
        <v>4067</v>
      </c>
      <c r="F982" s="1" t="s">
        <v>4095</v>
      </c>
      <c r="G982" s="3">
        <v>0</v>
      </c>
      <c r="H982" s="20" t="s">
        <v>3088</v>
      </c>
      <c r="J982" s="20" t="s">
        <v>2860</v>
      </c>
      <c r="K982" s="20" t="s">
        <v>10014</v>
      </c>
      <c r="L982" s="3">
        <v>30</v>
      </c>
      <c r="M982" s="3" t="s">
        <v>10017</v>
      </c>
      <c r="N982" s="3" t="str">
        <f>HYPERLINK("http://ictvonline.org/taxonomyHistory.asp?taxnode_id=20160696","ICTVonline=20160696")</f>
        <v>ICTVonline=20160696</v>
      </c>
    </row>
    <row r="983" spans="1:14" x14ac:dyDescent="0.15">
      <c r="A983" s="3">
        <v>982</v>
      </c>
      <c r="B983" s="1" t="s">
        <v>1366</v>
      </c>
      <c r="C983" s="1" t="s">
        <v>920</v>
      </c>
      <c r="E983" s="1" t="s">
        <v>4067</v>
      </c>
      <c r="F983" s="1" t="s">
        <v>4096</v>
      </c>
      <c r="G983" s="3">
        <v>0</v>
      </c>
      <c r="H983" s="20" t="s">
        <v>3089</v>
      </c>
      <c r="J983" s="20" t="s">
        <v>2860</v>
      </c>
      <c r="K983" s="20" t="s">
        <v>10014</v>
      </c>
      <c r="L983" s="3">
        <v>30</v>
      </c>
      <c r="M983" s="3" t="s">
        <v>10017</v>
      </c>
      <c r="N983" s="3" t="str">
        <f>HYPERLINK("http://ictvonline.org/taxonomyHistory.asp?taxnode_id=20160697","ICTVonline=20160697")</f>
        <v>ICTVonline=20160697</v>
      </c>
    </row>
    <row r="984" spans="1:14" x14ac:dyDescent="0.15">
      <c r="A984" s="3">
        <v>983</v>
      </c>
      <c r="B984" s="1" t="s">
        <v>1366</v>
      </c>
      <c r="C984" s="1" t="s">
        <v>920</v>
      </c>
      <c r="E984" s="1" t="s">
        <v>4067</v>
      </c>
      <c r="F984" s="1" t="s">
        <v>4097</v>
      </c>
      <c r="G984" s="3">
        <v>0</v>
      </c>
      <c r="H984" s="20" t="s">
        <v>3090</v>
      </c>
      <c r="J984" s="20" t="s">
        <v>2860</v>
      </c>
      <c r="K984" s="20" t="s">
        <v>10014</v>
      </c>
      <c r="L984" s="3">
        <v>30</v>
      </c>
      <c r="M984" s="3" t="s">
        <v>10017</v>
      </c>
      <c r="N984" s="3" t="str">
        <f>HYPERLINK("http://ictvonline.org/taxonomyHistory.asp?taxnode_id=20160698","ICTVonline=20160698")</f>
        <v>ICTVonline=20160698</v>
      </c>
    </row>
    <row r="985" spans="1:14" x14ac:dyDescent="0.15">
      <c r="A985" s="3">
        <v>984</v>
      </c>
      <c r="B985" s="1" t="s">
        <v>1366</v>
      </c>
      <c r="C985" s="1" t="s">
        <v>920</v>
      </c>
      <c r="E985" s="1" t="s">
        <v>4067</v>
      </c>
      <c r="F985" s="1" t="s">
        <v>4098</v>
      </c>
      <c r="G985" s="3">
        <v>0</v>
      </c>
      <c r="H985" s="20" t="s">
        <v>3091</v>
      </c>
      <c r="J985" s="20" t="s">
        <v>2860</v>
      </c>
      <c r="K985" s="20" t="s">
        <v>10014</v>
      </c>
      <c r="L985" s="3">
        <v>30</v>
      </c>
      <c r="M985" s="3" t="s">
        <v>10017</v>
      </c>
      <c r="N985" s="3" t="str">
        <f>HYPERLINK("http://ictvonline.org/taxonomyHistory.asp?taxnode_id=20160699","ICTVonline=20160699")</f>
        <v>ICTVonline=20160699</v>
      </c>
    </row>
    <row r="986" spans="1:14" x14ac:dyDescent="0.15">
      <c r="A986" s="3">
        <v>985</v>
      </c>
      <c r="B986" s="1" t="s">
        <v>1366</v>
      </c>
      <c r="C986" s="1" t="s">
        <v>920</v>
      </c>
      <c r="E986" s="1" t="s">
        <v>4099</v>
      </c>
      <c r="F986" s="1" t="s">
        <v>4100</v>
      </c>
      <c r="G986" s="3">
        <v>1</v>
      </c>
      <c r="H986" s="20" t="s">
        <v>3092</v>
      </c>
      <c r="J986" s="20" t="s">
        <v>2860</v>
      </c>
      <c r="K986" s="20" t="s">
        <v>10014</v>
      </c>
      <c r="L986" s="3">
        <v>30</v>
      </c>
      <c r="M986" s="3" t="s">
        <v>10017</v>
      </c>
      <c r="N986" s="3" t="str">
        <f>HYPERLINK("http://ictvonline.org/taxonomyHistory.asp?taxnode_id=20160701","ICTVonline=20160701")</f>
        <v>ICTVonline=20160701</v>
      </c>
    </row>
    <row r="987" spans="1:14" x14ac:dyDescent="0.15">
      <c r="A987" s="3">
        <v>986</v>
      </c>
      <c r="B987" s="1" t="s">
        <v>1366</v>
      </c>
      <c r="C987" s="1" t="s">
        <v>920</v>
      </c>
      <c r="E987" s="1" t="s">
        <v>4099</v>
      </c>
      <c r="F987" s="1" t="s">
        <v>4101</v>
      </c>
      <c r="G987" s="3">
        <v>0</v>
      </c>
      <c r="H987" s="20" t="s">
        <v>3093</v>
      </c>
      <c r="J987" s="20" t="s">
        <v>2860</v>
      </c>
      <c r="K987" s="20" t="s">
        <v>10014</v>
      </c>
      <c r="L987" s="3">
        <v>30</v>
      </c>
      <c r="M987" s="3" t="s">
        <v>10017</v>
      </c>
      <c r="N987" s="3" t="str">
        <f>HYPERLINK("http://ictvonline.org/taxonomyHistory.asp?taxnode_id=20160702","ICTVonline=20160702")</f>
        <v>ICTVonline=20160702</v>
      </c>
    </row>
    <row r="988" spans="1:14" x14ac:dyDescent="0.15">
      <c r="A988" s="3">
        <v>987</v>
      </c>
      <c r="B988" s="1" t="s">
        <v>1366</v>
      </c>
      <c r="C988" s="1" t="s">
        <v>920</v>
      </c>
      <c r="E988" s="1" t="s">
        <v>4099</v>
      </c>
      <c r="F988" s="1" t="s">
        <v>4102</v>
      </c>
      <c r="G988" s="3">
        <v>0</v>
      </c>
      <c r="H988" s="20" t="s">
        <v>3094</v>
      </c>
      <c r="J988" s="20" t="s">
        <v>2860</v>
      </c>
      <c r="K988" s="20" t="s">
        <v>10014</v>
      </c>
      <c r="L988" s="3">
        <v>30</v>
      </c>
      <c r="M988" s="3" t="s">
        <v>10017</v>
      </c>
      <c r="N988" s="3" t="str">
        <f>HYPERLINK("http://ictvonline.org/taxonomyHistory.asp?taxnode_id=20160703","ICTVonline=20160703")</f>
        <v>ICTVonline=20160703</v>
      </c>
    </row>
    <row r="989" spans="1:14" x14ac:dyDescent="0.15">
      <c r="A989" s="3">
        <v>988</v>
      </c>
      <c r="B989" s="1" t="s">
        <v>1366</v>
      </c>
      <c r="C989" s="1" t="s">
        <v>920</v>
      </c>
      <c r="E989" s="1" t="s">
        <v>4103</v>
      </c>
      <c r="F989" s="1" t="s">
        <v>4104</v>
      </c>
      <c r="G989" s="3">
        <v>0</v>
      </c>
      <c r="H989" s="20" t="s">
        <v>3095</v>
      </c>
      <c r="J989" s="20" t="s">
        <v>2860</v>
      </c>
      <c r="K989" s="20" t="s">
        <v>10014</v>
      </c>
      <c r="L989" s="3">
        <v>30</v>
      </c>
      <c r="M989" s="3" t="s">
        <v>10017</v>
      </c>
      <c r="N989" s="3" t="str">
        <f>HYPERLINK("http://ictvonline.org/taxonomyHistory.asp?taxnode_id=20160705","ICTVonline=20160705")</f>
        <v>ICTVonline=20160705</v>
      </c>
    </row>
    <row r="990" spans="1:14" x14ac:dyDescent="0.15">
      <c r="A990" s="3">
        <v>989</v>
      </c>
      <c r="B990" s="1" t="s">
        <v>1366</v>
      </c>
      <c r="C990" s="1" t="s">
        <v>920</v>
      </c>
      <c r="E990" s="1" t="s">
        <v>4103</v>
      </c>
      <c r="F990" s="1" t="s">
        <v>4105</v>
      </c>
      <c r="G990" s="3">
        <v>1</v>
      </c>
      <c r="H990" s="20" t="s">
        <v>3096</v>
      </c>
      <c r="J990" s="20" t="s">
        <v>2860</v>
      </c>
      <c r="K990" s="20" t="s">
        <v>10014</v>
      </c>
      <c r="L990" s="3">
        <v>30</v>
      </c>
      <c r="M990" s="3" t="s">
        <v>10017</v>
      </c>
      <c r="N990" s="3" t="str">
        <f>HYPERLINK("http://ictvonline.org/taxonomyHistory.asp?taxnode_id=20160706","ICTVonline=20160706")</f>
        <v>ICTVonline=20160706</v>
      </c>
    </row>
    <row r="991" spans="1:14" x14ac:dyDescent="0.15">
      <c r="A991" s="3">
        <v>990</v>
      </c>
      <c r="B991" s="1" t="s">
        <v>1366</v>
      </c>
      <c r="C991" s="1" t="s">
        <v>920</v>
      </c>
      <c r="E991" s="1" t="s">
        <v>4103</v>
      </c>
      <c r="F991" s="1" t="s">
        <v>4106</v>
      </c>
      <c r="G991" s="3">
        <v>0</v>
      </c>
      <c r="H991" s="20" t="s">
        <v>3097</v>
      </c>
      <c r="J991" s="20" t="s">
        <v>2860</v>
      </c>
      <c r="K991" s="20" t="s">
        <v>10014</v>
      </c>
      <c r="L991" s="3">
        <v>30</v>
      </c>
      <c r="M991" s="3" t="s">
        <v>10017</v>
      </c>
      <c r="N991" s="3" t="str">
        <f>HYPERLINK("http://ictvonline.org/taxonomyHistory.asp?taxnode_id=20160707","ICTVonline=20160707")</f>
        <v>ICTVonline=20160707</v>
      </c>
    </row>
    <row r="992" spans="1:14" x14ac:dyDescent="0.15">
      <c r="A992" s="3">
        <v>991</v>
      </c>
      <c r="B992" s="1" t="s">
        <v>1366</v>
      </c>
      <c r="C992" s="1" t="s">
        <v>920</v>
      </c>
      <c r="E992" s="1" t="s">
        <v>8628</v>
      </c>
      <c r="F992" s="1" t="s">
        <v>8629</v>
      </c>
      <c r="G992" s="3">
        <v>1</v>
      </c>
      <c r="H992" s="20" t="s">
        <v>8630</v>
      </c>
      <c r="I992" s="20" t="s">
        <v>8631</v>
      </c>
      <c r="J992" s="20" t="s">
        <v>2860</v>
      </c>
      <c r="K992" s="20" t="s">
        <v>10013</v>
      </c>
      <c r="L992" s="3">
        <v>31</v>
      </c>
      <c r="M992" s="3" t="s">
        <v>8632</v>
      </c>
      <c r="N992" s="3" t="str">
        <f>HYPERLINK("http://ictvonline.org/taxonomyHistory.asp?taxnode_id=20165082","ICTVonline=20165082")</f>
        <v>ICTVonline=20165082</v>
      </c>
    </row>
    <row r="993" spans="1:14" x14ac:dyDescent="0.15">
      <c r="A993" s="3">
        <v>992</v>
      </c>
      <c r="B993" s="1" t="s">
        <v>1366</v>
      </c>
      <c r="C993" s="1" t="s">
        <v>920</v>
      </c>
      <c r="E993" s="1" t="s">
        <v>4107</v>
      </c>
      <c r="F993" s="1" t="s">
        <v>4108</v>
      </c>
      <c r="G993" s="3">
        <v>0</v>
      </c>
      <c r="H993" s="20" t="s">
        <v>6676</v>
      </c>
      <c r="I993" s="20" t="s">
        <v>4109</v>
      </c>
      <c r="J993" s="20" t="s">
        <v>2860</v>
      </c>
      <c r="K993" s="20" t="s">
        <v>10013</v>
      </c>
      <c r="L993" s="3">
        <v>30</v>
      </c>
      <c r="M993" s="3" t="s">
        <v>10062</v>
      </c>
      <c r="N993" s="3" t="str">
        <f>HYPERLINK("http://ictvonline.org/taxonomyHistory.asp?taxnode_id=20160709","ICTVonline=20160709")</f>
        <v>ICTVonline=20160709</v>
      </c>
    </row>
    <row r="994" spans="1:14" x14ac:dyDescent="0.15">
      <c r="A994" s="3">
        <v>993</v>
      </c>
      <c r="B994" s="1" t="s">
        <v>1366</v>
      </c>
      <c r="C994" s="1" t="s">
        <v>920</v>
      </c>
      <c r="E994" s="1" t="s">
        <v>4107</v>
      </c>
      <c r="F994" s="1" t="s">
        <v>4110</v>
      </c>
      <c r="G994" s="3">
        <v>1</v>
      </c>
      <c r="H994" s="20" t="s">
        <v>6677</v>
      </c>
      <c r="I994" s="20" t="s">
        <v>4111</v>
      </c>
      <c r="J994" s="20" t="s">
        <v>2860</v>
      </c>
      <c r="K994" s="20" t="s">
        <v>10013</v>
      </c>
      <c r="L994" s="3">
        <v>30</v>
      </c>
      <c r="M994" s="3" t="s">
        <v>10062</v>
      </c>
      <c r="N994" s="3" t="str">
        <f>HYPERLINK("http://ictvonline.org/taxonomyHistory.asp?taxnode_id=20160710","ICTVonline=20160710")</f>
        <v>ICTVonline=20160710</v>
      </c>
    </row>
    <row r="995" spans="1:14" x14ac:dyDescent="0.15">
      <c r="A995" s="3">
        <v>994</v>
      </c>
      <c r="B995" s="1" t="s">
        <v>1366</v>
      </c>
      <c r="C995" s="1" t="s">
        <v>920</v>
      </c>
      <c r="E995" s="1" t="s">
        <v>4112</v>
      </c>
      <c r="F995" s="1" t="s">
        <v>4113</v>
      </c>
      <c r="G995" s="3">
        <v>1</v>
      </c>
      <c r="J995" s="20" t="s">
        <v>2860</v>
      </c>
      <c r="K995" s="20" t="s">
        <v>10014</v>
      </c>
      <c r="L995" s="3">
        <v>30</v>
      </c>
      <c r="M995" s="3" t="s">
        <v>10017</v>
      </c>
      <c r="N995" s="3" t="str">
        <f>HYPERLINK("http://ictvonline.org/taxonomyHistory.asp?taxnode_id=20160712","ICTVonline=20160712")</f>
        <v>ICTVonline=20160712</v>
      </c>
    </row>
    <row r="996" spans="1:14" x14ac:dyDescent="0.15">
      <c r="A996" s="3">
        <v>995</v>
      </c>
      <c r="B996" s="1" t="s">
        <v>1366</v>
      </c>
      <c r="C996" s="1" t="s">
        <v>920</v>
      </c>
      <c r="E996" s="1" t="s">
        <v>8633</v>
      </c>
      <c r="F996" s="1" t="s">
        <v>8634</v>
      </c>
      <c r="G996" s="3">
        <v>1</v>
      </c>
      <c r="H996" s="20" t="s">
        <v>8635</v>
      </c>
      <c r="I996" s="20" t="s">
        <v>8636</v>
      </c>
      <c r="J996" s="20" t="s">
        <v>2860</v>
      </c>
      <c r="K996" s="20" t="s">
        <v>10013</v>
      </c>
      <c r="L996" s="3">
        <v>31</v>
      </c>
      <c r="M996" s="3" t="s">
        <v>8637</v>
      </c>
      <c r="N996" s="3" t="str">
        <f>HYPERLINK("http://ictvonline.org/taxonomyHistory.asp?taxnode_id=20165083","ICTVonline=20165083")</f>
        <v>ICTVonline=20165083</v>
      </c>
    </row>
    <row r="997" spans="1:14" x14ac:dyDescent="0.15">
      <c r="A997" s="3">
        <v>996</v>
      </c>
      <c r="B997" s="1" t="s">
        <v>1366</v>
      </c>
      <c r="C997" s="1" t="s">
        <v>920</v>
      </c>
      <c r="E997" s="1" t="s">
        <v>8633</v>
      </c>
      <c r="F997" s="1" t="s">
        <v>8638</v>
      </c>
      <c r="G997" s="3">
        <v>0</v>
      </c>
      <c r="H997" s="20" t="s">
        <v>8639</v>
      </c>
      <c r="I997" s="20" t="s">
        <v>8640</v>
      </c>
      <c r="J997" s="20" t="s">
        <v>2860</v>
      </c>
      <c r="K997" s="20" t="s">
        <v>10013</v>
      </c>
      <c r="L997" s="3">
        <v>31</v>
      </c>
      <c r="M997" s="3" t="s">
        <v>8637</v>
      </c>
      <c r="N997" s="3" t="str">
        <f>HYPERLINK("http://ictvonline.org/taxonomyHistory.asp?taxnode_id=20165084","ICTVonline=20165084")</f>
        <v>ICTVonline=20165084</v>
      </c>
    </row>
    <row r="998" spans="1:14" x14ac:dyDescent="0.15">
      <c r="A998" s="3">
        <v>997</v>
      </c>
      <c r="B998" s="1" t="s">
        <v>1366</v>
      </c>
      <c r="C998" s="1" t="s">
        <v>920</v>
      </c>
      <c r="E998" s="1" t="s">
        <v>7487</v>
      </c>
      <c r="F998" s="1" t="s">
        <v>4001</v>
      </c>
      <c r="G998" s="3">
        <v>1</v>
      </c>
      <c r="H998" s="20" t="s">
        <v>3028</v>
      </c>
      <c r="I998" s="20" t="s">
        <v>7488</v>
      </c>
      <c r="J998" s="20" t="s">
        <v>2860</v>
      </c>
      <c r="K998" s="20" t="s">
        <v>10016</v>
      </c>
      <c r="L998" s="3">
        <v>31</v>
      </c>
      <c r="M998" s="3" t="s">
        <v>10063</v>
      </c>
      <c r="N998" s="3" t="str">
        <f>HYPERLINK("http://ictvonline.org/taxonomyHistory.asp?taxnode_id=20160611","ICTVonline=20160611")</f>
        <v>ICTVonline=20160611</v>
      </c>
    </row>
    <row r="999" spans="1:14" x14ac:dyDescent="0.15">
      <c r="A999" s="3">
        <v>998</v>
      </c>
      <c r="B999" s="1" t="s">
        <v>1366</v>
      </c>
      <c r="C999" s="1" t="s">
        <v>920</v>
      </c>
      <c r="E999" s="1" t="s">
        <v>4117</v>
      </c>
      <c r="F999" s="1" t="s">
        <v>4118</v>
      </c>
      <c r="G999" s="3">
        <v>0</v>
      </c>
      <c r="H999" s="20" t="s">
        <v>3100</v>
      </c>
      <c r="J999" s="20" t="s">
        <v>2860</v>
      </c>
      <c r="K999" s="20" t="s">
        <v>10014</v>
      </c>
      <c r="L999" s="3">
        <v>30</v>
      </c>
      <c r="M999" s="3" t="s">
        <v>10017</v>
      </c>
      <c r="N999" s="3" t="str">
        <f>HYPERLINK("http://ictvonline.org/taxonomyHistory.asp?taxnode_id=20160717","ICTVonline=20160717")</f>
        <v>ICTVonline=20160717</v>
      </c>
    </row>
    <row r="1000" spans="1:14" x14ac:dyDescent="0.15">
      <c r="A1000" s="3">
        <v>999</v>
      </c>
      <c r="B1000" s="1" t="s">
        <v>1366</v>
      </c>
      <c r="C1000" s="1" t="s">
        <v>920</v>
      </c>
      <c r="E1000" s="1" t="s">
        <v>4117</v>
      </c>
      <c r="F1000" s="1" t="s">
        <v>4119</v>
      </c>
      <c r="G1000" s="3">
        <v>0</v>
      </c>
      <c r="H1000" s="20" t="s">
        <v>3101</v>
      </c>
      <c r="J1000" s="20" t="s">
        <v>2860</v>
      </c>
      <c r="K1000" s="20" t="s">
        <v>10014</v>
      </c>
      <c r="L1000" s="3">
        <v>30</v>
      </c>
      <c r="M1000" s="3" t="s">
        <v>10017</v>
      </c>
      <c r="N1000" s="3" t="str">
        <f>HYPERLINK("http://ictvonline.org/taxonomyHistory.asp?taxnode_id=20160718","ICTVonline=20160718")</f>
        <v>ICTVonline=20160718</v>
      </c>
    </row>
    <row r="1001" spans="1:14" x14ac:dyDescent="0.15">
      <c r="A1001" s="3">
        <v>1000</v>
      </c>
      <c r="B1001" s="1" t="s">
        <v>1366</v>
      </c>
      <c r="C1001" s="1" t="s">
        <v>920</v>
      </c>
      <c r="E1001" s="1" t="s">
        <v>4117</v>
      </c>
      <c r="F1001" s="1" t="s">
        <v>4120</v>
      </c>
      <c r="G1001" s="3">
        <v>1</v>
      </c>
      <c r="H1001" s="20" t="s">
        <v>3102</v>
      </c>
      <c r="J1001" s="20" t="s">
        <v>2860</v>
      </c>
      <c r="K1001" s="20" t="s">
        <v>10014</v>
      </c>
      <c r="L1001" s="3">
        <v>30</v>
      </c>
      <c r="M1001" s="3" t="s">
        <v>10017</v>
      </c>
      <c r="N1001" s="3" t="str">
        <f>HYPERLINK("http://ictvonline.org/taxonomyHistory.asp?taxnode_id=20160719","ICTVonline=20160719")</f>
        <v>ICTVonline=20160719</v>
      </c>
    </row>
    <row r="1002" spans="1:14" x14ac:dyDescent="0.15">
      <c r="A1002" s="3">
        <v>1001</v>
      </c>
      <c r="B1002" s="1" t="s">
        <v>1366</v>
      </c>
      <c r="C1002" s="1" t="s">
        <v>920</v>
      </c>
      <c r="E1002" s="1" t="s">
        <v>4117</v>
      </c>
      <c r="F1002" s="1" t="s">
        <v>4121</v>
      </c>
      <c r="G1002" s="3">
        <v>0</v>
      </c>
      <c r="H1002" s="20" t="s">
        <v>3103</v>
      </c>
      <c r="J1002" s="20" t="s">
        <v>2860</v>
      </c>
      <c r="K1002" s="20" t="s">
        <v>10014</v>
      </c>
      <c r="L1002" s="3">
        <v>30</v>
      </c>
      <c r="M1002" s="3" t="s">
        <v>10017</v>
      </c>
      <c r="N1002" s="3" t="str">
        <f>HYPERLINK("http://ictvonline.org/taxonomyHistory.asp?taxnode_id=20160720","ICTVonline=20160720")</f>
        <v>ICTVonline=20160720</v>
      </c>
    </row>
    <row r="1003" spans="1:14" x14ac:dyDescent="0.15">
      <c r="A1003" s="3">
        <v>1002</v>
      </c>
      <c r="B1003" s="1" t="s">
        <v>1366</v>
      </c>
      <c r="C1003" s="1" t="s">
        <v>920</v>
      </c>
      <c r="E1003" s="1" t="s">
        <v>4117</v>
      </c>
      <c r="F1003" s="1" t="s">
        <v>4122</v>
      </c>
      <c r="G1003" s="3">
        <v>0</v>
      </c>
      <c r="H1003" s="20" t="s">
        <v>3104</v>
      </c>
      <c r="J1003" s="20" t="s">
        <v>2860</v>
      </c>
      <c r="K1003" s="20" t="s">
        <v>10014</v>
      </c>
      <c r="L1003" s="3">
        <v>30</v>
      </c>
      <c r="M1003" s="3" t="s">
        <v>10017</v>
      </c>
      <c r="N1003" s="3" t="str">
        <f>HYPERLINK("http://ictvonline.org/taxonomyHistory.asp?taxnode_id=20160721","ICTVonline=20160721")</f>
        <v>ICTVonline=20160721</v>
      </c>
    </row>
    <row r="1004" spans="1:14" x14ac:dyDescent="0.15">
      <c r="A1004" s="3">
        <v>1003</v>
      </c>
      <c r="B1004" s="1" t="s">
        <v>1366</v>
      </c>
      <c r="C1004" s="1" t="s">
        <v>920</v>
      </c>
      <c r="E1004" s="1" t="s">
        <v>8641</v>
      </c>
      <c r="F1004" s="1" t="s">
        <v>8642</v>
      </c>
      <c r="G1004" s="3">
        <v>0</v>
      </c>
      <c r="H1004" s="20" t="s">
        <v>8643</v>
      </c>
      <c r="I1004" s="20" t="s">
        <v>8644</v>
      </c>
      <c r="J1004" s="20" t="s">
        <v>2860</v>
      </c>
      <c r="K1004" s="20" t="s">
        <v>10013</v>
      </c>
      <c r="L1004" s="3">
        <v>31</v>
      </c>
      <c r="M1004" s="3" t="s">
        <v>8645</v>
      </c>
      <c r="N1004" s="3" t="str">
        <f>HYPERLINK("http://ictvonline.org/taxonomyHistory.asp?taxnode_id=20165085","ICTVonline=20165085")</f>
        <v>ICTVonline=20165085</v>
      </c>
    </row>
    <row r="1005" spans="1:14" x14ac:dyDescent="0.15">
      <c r="A1005" s="3">
        <v>1004</v>
      </c>
      <c r="B1005" s="1" t="s">
        <v>1366</v>
      </c>
      <c r="C1005" s="1" t="s">
        <v>920</v>
      </c>
      <c r="E1005" s="1" t="s">
        <v>8641</v>
      </c>
      <c r="F1005" s="1" t="s">
        <v>8646</v>
      </c>
      <c r="G1005" s="3">
        <v>1</v>
      </c>
      <c r="H1005" s="20" t="s">
        <v>8647</v>
      </c>
      <c r="I1005" s="20" t="s">
        <v>8648</v>
      </c>
      <c r="J1005" s="20" t="s">
        <v>2860</v>
      </c>
      <c r="K1005" s="20" t="s">
        <v>10013</v>
      </c>
      <c r="L1005" s="3">
        <v>31</v>
      </c>
      <c r="M1005" s="3" t="s">
        <v>8645</v>
      </c>
      <c r="N1005" s="3" t="str">
        <f>HYPERLINK("http://ictvonline.org/taxonomyHistory.asp?taxnode_id=20165086","ICTVonline=20165086")</f>
        <v>ICTVonline=20165086</v>
      </c>
    </row>
    <row r="1006" spans="1:14" x14ac:dyDescent="0.15">
      <c r="A1006" s="3">
        <v>1005</v>
      </c>
      <c r="B1006" s="1" t="s">
        <v>1366</v>
      </c>
      <c r="C1006" s="1" t="s">
        <v>920</v>
      </c>
      <c r="E1006" s="1" t="s">
        <v>4123</v>
      </c>
      <c r="F1006" s="1" t="s">
        <v>4124</v>
      </c>
      <c r="G1006" s="3">
        <v>0</v>
      </c>
      <c r="H1006" s="20" t="s">
        <v>6678</v>
      </c>
      <c r="I1006" s="20" t="s">
        <v>4125</v>
      </c>
      <c r="J1006" s="20" t="s">
        <v>2860</v>
      </c>
      <c r="K1006" s="20" t="s">
        <v>10013</v>
      </c>
      <c r="L1006" s="3">
        <v>30</v>
      </c>
      <c r="M1006" s="3" t="s">
        <v>10064</v>
      </c>
      <c r="N1006" s="3" t="str">
        <f>HYPERLINK("http://ictvonline.org/taxonomyHistory.asp?taxnode_id=20160723","ICTVonline=20160723")</f>
        <v>ICTVonline=20160723</v>
      </c>
    </row>
    <row r="1007" spans="1:14" x14ac:dyDescent="0.15">
      <c r="A1007" s="3">
        <v>1006</v>
      </c>
      <c r="B1007" s="1" t="s">
        <v>1366</v>
      </c>
      <c r="C1007" s="1" t="s">
        <v>920</v>
      </c>
      <c r="E1007" s="1" t="s">
        <v>4123</v>
      </c>
      <c r="F1007" s="1" t="s">
        <v>4126</v>
      </c>
      <c r="G1007" s="3">
        <v>1</v>
      </c>
      <c r="H1007" s="20" t="s">
        <v>6679</v>
      </c>
      <c r="I1007" s="20" t="s">
        <v>4127</v>
      </c>
      <c r="J1007" s="20" t="s">
        <v>2860</v>
      </c>
      <c r="K1007" s="20" t="s">
        <v>10013</v>
      </c>
      <c r="L1007" s="3">
        <v>30</v>
      </c>
      <c r="M1007" s="3" t="s">
        <v>10064</v>
      </c>
      <c r="N1007" s="3" t="str">
        <f>HYPERLINK("http://ictvonline.org/taxonomyHistory.asp?taxnode_id=20160724","ICTVonline=20160724")</f>
        <v>ICTVonline=20160724</v>
      </c>
    </row>
    <row r="1008" spans="1:14" x14ac:dyDescent="0.15">
      <c r="A1008" s="3">
        <v>1007</v>
      </c>
      <c r="B1008" s="1" t="s">
        <v>1366</v>
      </c>
      <c r="C1008" s="1" t="s">
        <v>920</v>
      </c>
      <c r="E1008" s="1" t="s">
        <v>4123</v>
      </c>
      <c r="F1008" s="1" t="s">
        <v>4128</v>
      </c>
      <c r="G1008" s="3">
        <v>0</v>
      </c>
      <c r="H1008" s="20" t="s">
        <v>6680</v>
      </c>
      <c r="I1008" s="20" t="s">
        <v>4129</v>
      </c>
      <c r="J1008" s="20" t="s">
        <v>2860</v>
      </c>
      <c r="K1008" s="20" t="s">
        <v>10013</v>
      </c>
      <c r="L1008" s="3">
        <v>30</v>
      </c>
      <c r="M1008" s="3" t="s">
        <v>10064</v>
      </c>
      <c r="N1008" s="3" t="str">
        <f>HYPERLINK("http://ictvonline.org/taxonomyHistory.asp?taxnode_id=20160725","ICTVonline=20160725")</f>
        <v>ICTVonline=20160725</v>
      </c>
    </row>
    <row r="1009" spans="1:14" x14ac:dyDescent="0.15">
      <c r="A1009" s="3">
        <v>1008</v>
      </c>
      <c r="B1009" s="1" t="s">
        <v>1366</v>
      </c>
      <c r="C1009" s="1" t="s">
        <v>920</v>
      </c>
      <c r="E1009" s="1" t="s">
        <v>4123</v>
      </c>
      <c r="F1009" s="1" t="s">
        <v>4130</v>
      </c>
      <c r="G1009" s="3">
        <v>0</v>
      </c>
      <c r="H1009" s="20" t="s">
        <v>6681</v>
      </c>
      <c r="I1009" s="20" t="s">
        <v>4131</v>
      </c>
      <c r="J1009" s="20" t="s">
        <v>2860</v>
      </c>
      <c r="K1009" s="20" t="s">
        <v>10013</v>
      </c>
      <c r="L1009" s="3">
        <v>30</v>
      </c>
      <c r="M1009" s="3" t="s">
        <v>10064</v>
      </c>
      <c r="N1009" s="3" t="str">
        <f>HYPERLINK("http://ictvonline.org/taxonomyHistory.asp?taxnode_id=20160726","ICTVonline=20160726")</f>
        <v>ICTVonline=20160726</v>
      </c>
    </row>
    <row r="1010" spans="1:14" x14ac:dyDescent="0.15">
      <c r="A1010" s="3">
        <v>1009</v>
      </c>
      <c r="B1010" s="1" t="s">
        <v>1366</v>
      </c>
      <c r="C1010" s="1" t="s">
        <v>920</v>
      </c>
      <c r="E1010" s="1" t="s">
        <v>4132</v>
      </c>
      <c r="F1010" s="1" t="s">
        <v>4133</v>
      </c>
      <c r="G1010" s="3">
        <v>0</v>
      </c>
      <c r="H1010" s="20" t="s">
        <v>6682</v>
      </c>
      <c r="I1010" s="20" t="s">
        <v>4134</v>
      </c>
      <c r="J1010" s="20" t="s">
        <v>2860</v>
      </c>
      <c r="K1010" s="20" t="s">
        <v>10013</v>
      </c>
      <c r="L1010" s="3">
        <v>30</v>
      </c>
      <c r="M1010" s="3" t="s">
        <v>10065</v>
      </c>
      <c r="N1010" s="3" t="str">
        <f>HYPERLINK("http://ictvonline.org/taxonomyHistory.asp?taxnode_id=20160728","ICTVonline=20160728")</f>
        <v>ICTVonline=20160728</v>
      </c>
    </row>
    <row r="1011" spans="1:14" x14ac:dyDescent="0.15">
      <c r="A1011" s="3">
        <v>1010</v>
      </c>
      <c r="B1011" s="1" t="s">
        <v>1366</v>
      </c>
      <c r="C1011" s="1" t="s">
        <v>920</v>
      </c>
      <c r="E1011" s="1" t="s">
        <v>4132</v>
      </c>
      <c r="F1011" s="1" t="s">
        <v>4135</v>
      </c>
      <c r="G1011" s="3">
        <v>1</v>
      </c>
      <c r="H1011" s="20" t="s">
        <v>6683</v>
      </c>
      <c r="I1011" s="20" t="s">
        <v>4136</v>
      </c>
      <c r="J1011" s="20" t="s">
        <v>2860</v>
      </c>
      <c r="K1011" s="20" t="s">
        <v>10013</v>
      </c>
      <c r="L1011" s="3">
        <v>30</v>
      </c>
      <c r="M1011" s="3" t="s">
        <v>10065</v>
      </c>
      <c r="N1011" s="3" t="str">
        <f>HYPERLINK("http://ictvonline.org/taxonomyHistory.asp?taxnode_id=20160729","ICTVonline=20160729")</f>
        <v>ICTVonline=20160729</v>
      </c>
    </row>
    <row r="1012" spans="1:14" x14ac:dyDescent="0.15">
      <c r="A1012" s="3">
        <v>1011</v>
      </c>
      <c r="B1012" s="1" t="s">
        <v>1366</v>
      </c>
      <c r="C1012" s="1" t="s">
        <v>920</v>
      </c>
      <c r="E1012" s="1" t="s">
        <v>4137</v>
      </c>
      <c r="F1012" s="1" t="s">
        <v>4138</v>
      </c>
      <c r="G1012" s="3">
        <v>0</v>
      </c>
      <c r="H1012" s="20" t="s">
        <v>6684</v>
      </c>
      <c r="I1012" s="20" t="s">
        <v>4139</v>
      </c>
      <c r="J1012" s="20" t="s">
        <v>2860</v>
      </c>
      <c r="K1012" s="20" t="s">
        <v>10013</v>
      </c>
      <c r="L1012" s="3">
        <v>30</v>
      </c>
      <c r="M1012" s="3" t="s">
        <v>10066</v>
      </c>
      <c r="N1012" s="3" t="str">
        <f>HYPERLINK("http://ictvonline.org/taxonomyHistory.asp?taxnode_id=20160731","ICTVonline=20160731")</f>
        <v>ICTVonline=20160731</v>
      </c>
    </row>
    <row r="1013" spans="1:14" x14ac:dyDescent="0.15">
      <c r="A1013" s="3">
        <v>1012</v>
      </c>
      <c r="B1013" s="1" t="s">
        <v>1366</v>
      </c>
      <c r="C1013" s="1" t="s">
        <v>920</v>
      </c>
      <c r="E1013" s="1" t="s">
        <v>4137</v>
      </c>
      <c r="F1013" s="1" t="s">
        <v>4140</v>
      </c>
      <c r="G1013" s="3">
        <v>1</v>
      </c>
      <c r="H1013" s="20" t="s">
        <v>6685</v>
      </c>
      <c r="I1013" s="20" t="s">
        <v>4141</v>
      </c>
      <c r="J1013" s="20" t="s">
        <v>2860</v>
      </c>
      <c r="K1013" s="20" t="s">
        <v>10013</v>
      </c>
      <c r="L1013" s="3">
        <v>30</v>
      </c>
      <c r="M1013" s="3" t="s">
        <v>10066</v>
      </c>
      <c r="N1013" s="3" t="str">
        <f>HYPERLINK("http://ictvonline.org/taxonomyHistory.asp?taxnode_id=20160732","ICTVonline=20160732")</f>
        <v>ICTVonline=20160732</v>
      </c>
    </row>
    <row r="1014" spans="1:14" x14ac:dyDescent="0.15">
      <c r="A1014" s="3">
        <v>1013</v>
      </c>
      <c r="B1014" s="1" t="s">
        <v>1366</v>
      </c>
      <c r="C1014" s="1" t="s">
        <v>920</v>
      </c>
      <c r="E1014" s="1" t="s">
        <v>4142</v>
      </c>
      <c r="F1014" s="1" t="s">
        <v>4143</v>
      </c>
      <c r="G1014" s="3">
        <v>0</v>
      </c>
      <c r="H1014" s="20" t="s">
        <v>3105</v>
      </c>
      <c r="J1014" s="20" t="s">
        <v>2860</v>
      </c>
      <c r="K1014" s="20" t="s">
        <v>10014</v>
      </c>
      <c r="L1014" s="3">
        <v>30</v>
      </c>
      <c r="M1014" s="3" t="s">
        <v>10017</v>
      </c>
      <c r="N1014" s="3" t="str">
        <f>HYPERLINK("http://ictvonline.org/taxonomyHistory.asp?taxnode_id=20160734","ICTVonline=20160734")</f>
        <v>ICTVonline=20160734</v>
      </c>
    </row>
    <row r="1015" spans="1:14" x14ac:dyDescent="0.15">
      <c r="A1015" s="3">
        <v>1014</v>
      </c>
      <c r="B1015" s="1" t="s">
        <v>1366</v>
      </c>
      <c r="C1015" s="1" t="s">
        <v>920</v>
      </c>
      <c r="E1015" s="1" t="s">
        <v>4142</v>
      </c>
      <c r="F1015" s="1" t="s">
        <v>4144</v>
      </c>
      <c r="G1015" s="3">
        <v>0</v>
      </c>
      <c r="H1015" s="20" t="s">
        <v>3106</v>
      </c>
      <c r="J1015" s="20" t="s">
        <v>2860</v>
      </c>
      <c r="K1015" s="20" t="s">
        <v>10014</v>
      </c>
      <c r="L1015" s="3">
        <v>30</v>
      </c>
      <c r="M1015" s="3" t="s">
        <v>10017</v>
      </c>
      <c r="N1015" s="3" t="str">
        <f>HYPERLINK("http://ictvonline.org/taxonomyHistory.asp?taxnode_id=20160735","ICTVonline=20160735")</f>
        <v>ICTVonline=20160735</v>
      </c>
    </row>
    <row r="1016" spans="1:14" x14ac:dyDescent="0.15">
      <c r="A1016" s="3">
        <v>1015</v>
      </c>
      <c r="B1016" s="1" t="s">
        <v>1366</v>
      </c>
      <c r="C1016" s="1" t="s">
        <v>920</v>
      </c>
      <c r="E1016" s="1" t="s">
        <v>4142</v>
      </c>
      <c r="F1016" s="1" t="s">
        <v>4145</v>
      </c>
      <c r="G1016" s="3">
        <v>0</v>
      </c>
      <c r="H1016" s="20" t="s">
        <v>3107</v>
      </c>
      <c r="J1016" s="20" t="s">
        <v>2860</v>
      </c>
      <c r="K1016" s="20" t="s">
        <v>10014</v>
      </c>
      <c r="L1016" s="3">
        <v>30</v>
      </c>
      <c r="M1016" s="3" t="s">
        <v>10017</v>
      </c>
      <c r="N1016" s="3" t="str">
        <f>HYPERLINK("http://ictvonline.org/taxonomyHistory.asp?taxnode_id=20160736","ICTVonline=20160736")</f>
        <v>ICTVonline=20160736</v>
      </c>
    </row>
    <row r="1017" spans="1:14" x14ac:dyDescent="0.15">
      <c r="A1017" s="3">
        <v>1016</v>
      </c>
      <c r="B1017" s="1" t="s">
        <v>1366</v>
      </c>
      <c r="C1017" s="1" t="s">
        <v>920</v>
      </c>
      <c r="E1017" s="1" t="s">
        <v>4142</v>
      </c>
      <c r="F1017" s="1" t="s">
        <v>4146</v>
      </c>
      <c r="G1017" s="3">
        <v>0</v>
      </c>
      <c r="H1017" s="20" t="s">
        <v>3108</v>
      </c>
      <c r="J1017" s="20" t="s">
        <v>2860</v>
      </c>
      <c r="K1017" s="20" t="s">
        <v>10014</v>
      </c>
      <c r="L1017" s="3">
        <v>30</v>
      </c>
      <c r="M1017" s="3" t="s">
        <v>10017</v>
      </c>
      <c r="N1017" s="3" t="str">
        <f>HYPERLINK("http://ictvonline.org/taxonomyHistory.asp?taxnode_id=20160737","ICTVonline=20160737")</f>
        <v>ICTVonline=20160737</v>
      </c>
    </row>
    <row r="1018" spans="1:14" x14ac:dyDescent="0.15">
      <c r="A1018" s="3">
        <v>1017</v>
      </c>
      <c r="B1018" s="1" t="s">
        <v>1366</v>
      </c>
      <c r="C1018" s="1" t="s">
        <v>920</v>
      </c>
      <c r="E1018" s="1" t="s">
        <v>4142</v>
      </c>
      <c r="F1018" s="1" t="s">
        <v>4147</v>
      </c>
      <c r="G1018" s="3">
        <v>1</v>
      </c>
      <c r="H1018" s="20" t="s">
        <v>3109</v>
      </c>
      <c r="J1018" s="20" t="s">
        <v>2860</v>
      </c>
      <c r="K1018" s="20" t="s">
        <v>10014</v>
      </c>
      <c r="L1018" s="3">
        <v>30</v>
      </c>
      <c r="M1018" s="3" t="s">
        <v>10017</v>
      </c>
      <c r="N1018" s="3" t="str">
        <f>HYPERLINK("http://ictvonline.org/taxonomyHistory.asp?taxnode_id=20160738","ICTVonline=20160738")</f>
        <v>ICTVonline=20160738</v>
      </c>
    </row>
    <row r="1019" spans="1:14" x14ac:dyDescent="0.15">
      <c r="A1019" s="3">
        <v>1018</v>
      </c>
      <c r="B1019" s="1" t="s">
        <v>1366</v>
      </c>
      <c r="C1019" s="1" t="s">
        <v>920</v>
      </c>
      <c r="E1019" s="1" t="s">
        <v>4148</v>
      </c>
      <c r="F1019" s="1" t="s">
        <v>4149</v>
      </c>
      <c r="G1019" s="3">
        <v>0</v>
      </c>
      <c r="H1019" s="20" t="s">
        <v>3110</v>
      </c>
      <c r="J1019" s="20" t="s">
        <v>2860</v>
      </c>
      <c r="K1019" s="20" t="s">
        <v>10014</v>
      </c>
      <c r="L1019" s="3">
        <v>30</v>
      </c>
      <c r="M1019" s="3" t="s">
        <v>10017</v>
      </c>
      <c r="N1019" s="3" t="str">
        <f>HYPERLINK("http://ictvonline.org/taxonomyHistory.asp?taxnode_id=20160740","ICTVonline=20160740")</f>
        <v>ICTVonline=20160740</v>
      </c>
    </row>
    <row r="1020" spans="1:14" x14ac:dyDescent="0.15">
      <c r="A1020" s="3">
        <v>1019</v>
      </c>
      <c r="B1020" s="1" t="s">
        <v>1366</v>
      </c>
      <c r="C1020" s="1" t="s">
        <v>920</v>
      </c>
      <c r="E1020" s="1" t="s">
        <v>4148</v>
      </c>
      <c r="F1020" s="1" t="s">
        <v>4150</v>
      </c>
      <c r="G1020" s="3">
        <v>1</v>
      </c>
      <c r="H1020" s="20" t="s">
        <v>3112</v>
      </c>
      <c r="J1020" s="20" t="s">
        <v>2860</v>
      </c>
      <c r="K1020" s="20" t="s">
        <v>10014</v>
      </c>
      <c r="L1020" s="3">
        <v>30</v>
      </c>
      <c r="M1020" s="3" t="s">
        <v>10017</v>
      </c>
      <c r="N1020" s="3" t="str">
        <f>HYPERLINK("http://ictvonline.org/taxonomyHistory.asp?taxnode_id=20160741","ICTVonline=20160741")</f>
        <v>ICTVonline=20160741</v>
      </c>
    </row>
    <row r="1021" spans="1:14" x14ac:dyDescent="0.15">
      <c r="A1021" s="3">
        <v>1020</v>
      </c>
      <c r="B1021" s="1" t="s">
        <v>1366</v>
      </c>
      <c r="C1021" s="1" t="s">
        <v>920</v>
      </c>
      <c r="E1021" s="1" t="s">
        <v>4148</v>
      </c>
      <c r="F1021" s="1" t="s">
        <v>4151</v>
      </c>
      <c r="G1021" s="3">
        <v>0</v>
      </c>
      <c r="H1021" s="20" t="s">
        <v>3111</v>
      </c>
      <c r="J1021" s="20" t="s">
        <v>2860</v>
      </c>
      <c r="K1021" s="20" t="s">
        <v>10014</v>
      </c>
      <c r="L1021" s="3">
        <v>30</v>
      </c>
      <c r="M1021" s="3" t="s">
        <v>10017</v>
      </c>
      <c r="N1021" s="3" t="str">
        <f>HYPERLINK("http://ictvonline.org/taxonomyHistory.asp?taxnode_id=20160742","ICTVonline=20160742")</f>
        <v>ICTVonline=20160742</v>
      </c>
    </row>
    <row r="1022" spans="1:14" x14ac:dyDescent="0.15">
      <c r="A1022" s="3">
        <v>1021</v>
      </c>
      <c r="B1022" s="1" t="s">
        <v>1366</v>
      </c>
      <c r="C1022" s="1" t="s">
        <v>920</v>
      </c>
      <c r="E1022" s="1" t="s">
        <v>4148</v>
      </c>
      <c r="F1022" s="1" t="s">
        <v>4152</v>
      </c>
      <c r="G1022" s="3">
        <v>0</v>
      </c>
      <c r="H1022" s="20" t="s">
        <v>3113</v>
      </c>
      <c r="J1022" s="20" t="s">
        <v>2860</v>
      </c>
      <c r="K1022" s="20" t="s">
        <v>10014</v>
      </c>
      <c r="L1022" s="3">
        <v>30</v>
      </c>
      <c r="M1022" s="3" t="s">
        <v>10017</v>
      </c>
      <c r="N1022" s="3" t="str">
        <f>HYPERLINK("http://ictvonline.org/taxonomyHistory.asp?taxnode_id=20160743","ICTVonline=20160743")</f>
        <v>ICTVonline=20160743</v>
      </c>
    </row>
    <row r="1023" spans="1:14" x14ac:dyDescent="0.15">
      <c r="A1023" s="3">
        <v>1022</v>
      </c>
      <c r="B1023" s="1" t="s">
        <v>1366</v>
      </c>
      <c r="C1023" s="1" t="s">
        <v>920</v>
      </c>
      <c r="E1023" s="1" t="s">
        <v>4148</v>
      </c>
      <c r="F1023" s="1" t="s">
        <v>4153</v>
      </c>
      <c r="G1023" s="3">
        <v>0</v>
      </c>
      <c r="H1023" s="20" t="s">
        <v>3114</v>
      </c>
      <c r="J1023" s="20" t="s">
        <v>2860</v>
      </c>
      <c r="K1023" s="20" t="s">
        <v>10014</v>
      </c>
      <c r="L1023" s="3">
        <v>30</v>
      </c>
      <c r="M1023" s="3" t="s">
        <v>10017</v>
      </c>
      <c r="N1023" s="3" t="str">
        <f>HYPERLINK("http://ictvonline.org/taxonomyHistory.asp?taxnode_id=20160744","ICTVonline=20160744")</f>
        <v>ICTVonline=20160744</v>
      </c>
    </row>
    <row r="1024" spans="1:14" x14ac:dyDescent="0.15">
      <c r="A1024" s="3">
        <v>1023</v>
      </c>
      <c r="B1024" s="1" t="s">
        <v>1366</v>
      </c>
      <c r="C1024" s="1" t="s">
        <v>920</v>
      </c>
      <c r="E1024" s="1" t="s">
        <v>4154</v>
      </c>
      <c r="F1024" s="1" t="s">
        <v>4155</v>
      </c>
      <c r="G1024" s="3">
        <v>1</v>
      </c>
      <c r="H1024" s="20" t="s">
        <v>6686</v>
      </c>
      <c r="I1024" s="20" t="s">
        <v>4156</v>
      </c>
      <c r="J1024" s="20" t="s">
        <v>2860</v>
      </c>
      <c r="K1024" s="20" t="s">
        <v>10013</v>
      </c>
      <c r="L1024" s="3">
        <v>30</v>
      </c>
      <c r="M1024" s="3" t="s">
        <v>10067</v>
      </c>
      <c r="N1024" s="3" t="str">
        <f>HYPERLINK("http://ictvonline.org/taxonomyHistory.asp?taxnode_id=20160746","ICTVonline=20160746")</f>
        <v>ICTVonline=20160746</v>
      </c>
    </row>
    <row r="1025" spans="1:14" x14ac:dyDescent="0.15">
      <c r="A1025" s="3">
        <v>1024</v>
      </c>
      <c r="B1025" s="1" t="s">
        <v>1366</v>
      </c>
      <c r="C1025" s="1" t="s">
        <v>920</v>
      </c>
      <c r="E1025" s="1" t="s">
        <v>4154</v>
      </c>
      <c r="F1025" s="1" t="s">
        <v>4157</v>
      </c>
      <c r="G1025" s="3">
        <v>0</v>
      </c>
      <c r="H1025" s="20" t="s">
        <v>6687</v>
      </c>
      <c r="I1025" s="20" t="s">
        <v>4158</v>
      </c>
      <c r="J1025" s="20" t="s">
        <v>2860</v>
      </c>
      <c r="K1025" s="20" t="s">
        <v>10013</v>
      </c>
      <c r="L1025" s="3">
        <v>30</v>
      </c>
      <c r="M1025" s="3" t="s">
        <v>10067</v>
      </c>
      <c r="N1025" s="3" t="str">
        <f>HYPERLINK("http://ictvonline.org/taxonomyHistory.asp?taxnode_id=20160747","ICTVonline=20160747")</f>
        <v>ICTVonline=20160747</v>
      </c>
    </row>
    <row r="1026" spans="1:14" x14ac:dyDescent="0.15">
      <c r="A1026" s="3">
        <v>1025</v>
      </c>
      <c r="B1026" s="1" t="s">
        <v>1366</v>
      </c>
      <c r="C1026" s="1" t="s">
        <v>920</v>
      </c>
      <c r="E1026" s="1" t="s">
        <v>4154</v>
      </c>
      <c r="F1026" s="1" t="s">
        <v>4159</v>
      </c>
      <c r="G1026" s="3">
        <v>0</v>
      </c>
      <c r="H1026" s="20" t="s">
        <v>6688</v>
      </c>
      <c r="I1026" s="20" t="s">
        <v>4160</v>
      </c>
      <c r="J1026" s="20" t="s">
        <v>2860</v>
      </c>
      <c r="K1026" s="20" t="s">
        <v>10013</v>
      </c>
      <c r="L1026" s="3">
        <v>30</v>
      </c>
      <c r="M1026" s="3" t="s">
        <v>10067</v>
      </c>
      <c r="N1026" s="3" t="str">
        <f>HYPERLINK("http://ictvonline.org/taxonomyHistory.asp?taxnode_id=20160748","ICTVonline=20160748")</f>
        <v>ICTVonline=20160748</v>
      </c>
    </row>
    <row r="1027" spans="1:14" x14ac:dyDescent="0.15">
      <c r="A1027" s="3">
        <v>1026</v>
      </c>
      <c r="B1027" s="1" t="s">
        <v>1366</v>
      </c>
      <c r="C1027" s="1" t="s">
        <v>920</v>
      </c>
      <c r="E1027" s="1" t="s">
        <v>4154</v>
      </c>
      <c r="F1027" s="1" t="s">
        <v>4161</v>
      </c>
      <c r="G1027" s="3">
        <v>0</v>
      </c>
      <c r="H1027" s="20" t="s">
        <v>6689</v>
      </c>
      <c r="I1027" s="20" t="s">
        <v>4162</v>
      </c>
      <c r="J1027" s="20" t="s">
        <v>2860</v>
      </c>
      <c r="K1027" s="20" t="s">
        <v>10013</v>
      </c>
      <c r="L1027" s="3">
        <v>30</v>
      </c>
      <c r="M1027" s="3" t="s">
        <v>10067</v>
      </c>
      <c r="N1027" s="3" t="str">
        <f>HYPERLINK("http://ictvonline.org/taxonomyHistory.asp?taxnode_id=20160749","ICTVonline=20160749")</f>
        <v>ICTVonline=20160749</v>
      </c>
    </row>
    <row r="1028" spans="1:14" x14ac:dyDescent="0.15">
      <c r="A1028" s="3">
        <v>1027</v>
      </c>
      <c r="B1028" s="1" t="s">
        <v>1366</v>
      </c>
      <c r="C1028" s="1" t="s">
        <v>920</v>
      </c>
      <c r="E1028" s="1" t="s">
        <v>4154</v>
      </c>
      <c r="F1028" s="1" t="s">
        <v>4163</v>
      </c>
      <c r="G1028" s="3">
        <v>0</v>
      </c>
      <c r="H1028" s="20" t="s">
        <v>6690</v>
      </c>
      <c r="I1028" s="20" t="s">
        <v>4164</v>
      </c>
      <c r="J1028" s="20" t="s">
        <v>2860</v>
      </c>
      <c r="K1028" s="20" t="s">
        <v>10013</v>
      </c>
      <c r="L1028" s="3">
        <v>30</v>
      </c>
      <c r="M1028" s="3" t="s">
        <v>10067</v>
      </c>
      <c r="N1028" s="3" t="str">
        <f>HYPERLINK("http://ictvonline.org/taxonomyHistory.asp?taxnode_id=20160750","ICTVonline=20160750")</f>
        <v>ICTVonline=20160750</v>
      </c>
    </row>
    <row r="1029" spans="1:14" x14ac:dyDescent="0.15">
      <c r="A1029" s="3">
        <v>1028</v>
      </c>
      <c r="B1029" s="1" t="s">
        <v>1366</v>
      </c>
      <c r="C1029" s="1" t="s">
        <v>920</v>
      </c>
      <c r="E1029" s="1" t="s">
        <v>4154</v>
      </c>
      <c r="F1029" s="1" t="s">
        <v>8649</v>
      </c>
      <c r="G1029" s="3">
        <v>0</v>
      </c>
      <c r="H1029" s="20" t="s">
        <v>8650</v>
      </c>
      <c r="I1029" s="20" t="s">
        <v>8651</v>
      </c>
      <c r="J1029" s="20" t="s">
        <v>2860</v>
      </c>
      <c r="K1029" s="20" t="s">
        <v>10013</v>
      </c>
      <c r="L1029" s="3">
        <v>31</v>
      </c>
      <c r="M1029" s="3" t="s">
        <v>7480</v>
      </c>
      <c r="N1029" s="3" t="str">
        <f>HYPERLINK("http://ictvonline.org/taxonomyHistory.asp?taxnode_id=20165087","ICTVonline=20165087")</f>
        <v>ICTVonline=20165087</v>
      </c>
    </row>
    <row r="1030" spans="1:14" x14ac:dyDescent="0.15">
      <c r="A1030" s="3">
        <v>1029</v>
      </c>
      <c r="B1030" s="1" t="s">
        <v>1366</v>
      </c>
      <c r="C1030" s="1" t="s">
        <v>920</v>
      </c>
      <c r="E1030" s="1" t="s">
        <v>4165</v>
      </c>
      <c r="F1030" s="1" t="s">
        <v>4166</v>
      </c>
      <c r="G1030" s="3">
        <v>0</v>
      </c>
      <c r="H1030" s="20" t="s">
        <v>3115</v>
      </c>
      <c r="J1030" s="20" t="s">
        <v>2860</v>
      </c>
      <c r="K1030" s="20" t="s">
        <v>10014</v>
      </c>
      <c r="L1030" s="3">
        <v>30</v>
      </c>
      <c r="M1030" s="3" t="s">
        <v>10017</v>
      </c>
      <c r="N1030" s="3" t="str">
        <f>HYPERLINK("http://ictvonline.org/taxonomyHistory.asp?taxnode_id=20160752","ICTVonline=20160752")</f>
        <v>ICTVonline=20160752</v>
      </c>
    </row>
    <row r="1031" spans="1:14" x14ac:dyDescent="0.15">
      <c r="A1031" s="3">
        <v>1030</v>
      </c>
      <c r="B1031" s="1" t="s">
        <v>1366</v>
      </c>
      <c r="C1031" s="1" t="s">
        <v>920</v>
      </c>
      <c r="E1031" s="1" t="s">
        <v>4165</v>
      </c>
      <c r="F1031" s="1" t="s">
        <v>4167</v>
      </c>
      <c r="G1031" s="3">
        <v>0</v>
      </c>
      <c r="H1031" s="20" t="s">
        <v>3116</v>
      </c>
      <c r="J1031" s="20" t="s">
        <v>2860</v>
      </c>
      <c r="K1031" s="20" t="s">
        <v>10014</v>
      </c>
      <c r="L1031" s="3">
        <v>30</v>
      </c>
      <c r="M1031" s="3" t="s">
        <v>10017</v>
      </c>
      <c r="N1031" s="3" t="str">
        <f>HYPERLINK("http://ictvonline.org/taxonomyHistory.asp?taxnode_id=20160753","ICTVonline=20160753")</f>
        <v>ICTVonline=20160753</v>
      </c>
    </row>
    <row r="1032" spans="1:14" x14ac:dyDescent="0.15">
      <c r="A1032" s="3">
        <v>1031</v>
      </c>
      <c r="B1032" s="1" t="s">
        <v>1366</v>
      </c>
      <c r="C1032" s="1" t="s">
        <v>920</v>
      </c>
      <c r="E1032" s="1" t="s">
        <v>4165</v>
      </c>
      <c r="F1032" s="1" t="s">
        <v>4168</v>
      </c>
      <c r="G1032" s="3">
        <v>0</v>
      </c>
      <c r="H1032" s="20" t="s">
        <v>3117</v>
      </c>
      <c r="J1032" s="20" t="s">
        <v>2860</v>
      </c>
      <c r="K1032" s="20" t="s">
        <v>10014</v>
      </c>
      <c r="L1032" s="3">
        <v>30</v>
      </c>
      <c r="M1032" s="3" t="s">
        <v>10017</v>
      </c>
      <c r="N1032" s="3" t="str">
        <f>HYPERLINK("http://ictvonline.org/taxonomyHistory.asp?taxnode_id=20160754","ICTVonline=20160754")</f>
        <v>ICTVonline=20160754</v>
      </c>
    </row>
    <row r="1033" spans="1:14" x14ac:dyDescent="0.15">
      <c r="A1033" s="3">
        <v>1032</v>
      </c>
      <c r="B1033" s="1" t="s">
        <v>1366</v>
      </c>
      <c r="C1033" s="1" t="s">
        <v>920</v>
      </c>
      <c r="E1033" s="1" t="s">
        <v>4165</v>
      </c>
      <c r="F1033" s="1" t="s">
        <v>4169</v>
      </c>
      <c r="G1033" s="3">
        <v>0</v>
      </c>
      <c r="H1033" s="20" t="s">
        <v>3118</v>
      </c>
      <c r="J1033" s="20" t="s">
        <v>2860</v>
      </c>
      <c r="K1033" s="20" t="s">
        <v>10014</v>
      </c>
      <c r="L1033" s="3">
        <v>30</v>
      </c>
      <c r="M1033" s="3" t="s">
        <v>10017</v>
      </c>
      <c r="N1033" s="3" t="str">
        <f>HYPERLINK("http://ictvonline.org/taxonomyHistory.asp?taxnode_id=20160755","ICTVonline=20160755")</f>
        <v>ICTVonline=20160755</v>
      </c>
    </row>
    <row r="1034" spans="1:14" x14ac:dyDescent="0.15">
      <c r="A1034" s="3">
        <v>1033</v>
      </c>
      <c r="B1034" s="1" t="s">
        <v>1366</v>
      </c>
      <c r="C1034" s="1" t="s">
        <v>920</v>
      </c>
      <c r="E1034" s="1" t="s">
        <v>4165</v>
      </c>
      <c r="F1034" s="1" t="s">
        <v>4170</v>
      </c>
      <c r="G1034" s="3">
        <v>0</v>
      </c>
      <c r="H1034" s="20" t="s">
        <v>3119</v>
      </c>
      <c r="J1034" s="20" t="s">
        <v>2860</v>
      </c>
      <c r="K1034" s="20" t="s">
        <v>10014</v>
      </c>
      <c r="L1034" s="3">
        <v>30</v>
      </c>
      <c r="M1034" s="3" t="s">
        <v>10017</v>
      </c>
      <c r="N1034" s="3" t="str">
        <f>HYPERLINK("http://ictvonline.org/taxonomyHistory.asp?taxnode_id=20160756","ICTVonline=20160756")</f>
        <v>ICTVonline=20160756</v>
      </c>
    </row>
    <row r="1035" spans="1:14" x14ac:dyDescent="0.15">
      <c r="A1035" s="3">
        <v>1034</v>
      </c>
      <c r="B1035" s="1" t="s">
        <v>1366</v>
      </c>
      <c r="C1035" s="1" t="s">
        <v>920</v>
      </c>
      <c r="E1035" s="1" t="s">
        <v>4165</v>
      </c>
      <c r="F1035" s="1" t="s">
        <v>4171</v>
      </c>
      <c r="G1035" s="3">
        <v>0</v>
      </c>
      <c r="H1035" s="20" t="s">
        <v>3120</v>
      </c>
      <c r="J1035" s="20" t="s">
        <v>2860</v>
      </c>
      <c r="K1035" s="20" t="s">
        <v>10014</v>
      </c>
      <c r="L1035" s="3">
        <v>30</v>
      </c>
      <c r="M1035" s="3" t="s">
        <v>10017</v>
      </c>
      <c r="N1035" s="3" t="str">
        <f>HYPERLINK("http://ictvonline.org/taxonomyHistory.asp?taxnode_id=20160757","ICTVonline=20160757")</f>
        <v>ICTVonline=20160757</v>
      </c>
    </row>
    <row r="1036" spans="1:14" x14ac:dyDescent="0.15">
      <c r="A1036" s="3">
        <v>1035</v>
      </c>
      <c r="B1036" s="1" t="s">
        <v>1366</v>
      </c>
      <c r="C1036" s="1" t="s">
        <v>920</v>
      </c>
      <c r="E1036" s="1" t="s">
        <v>4165</v>
      </c>
      <c r="F1036" s="1" t="s">
        <v>4172</v>
      </c>
      <c r="G1036" s="3">
        <v>0</v>
      </c>
      <c r="H1036" s="20" t="s">
        <v>3121</v>
      </c>
      <c r="J1036" s="20" t="s">
        <v>2860</v>
      </c>
      <c r="K1036" s="20" t="s">
        <v>10014</v>
      </c>
      <c r="L1036" s="3">
        <v>30</v>
      </c>
      <c r="M1036" s="3" t="s">
        <v>10017</v>
      </c>
      <c r="N1036" s="3" t="str">
        <f>HYPERLINK("http://ictvonline.org/taxonomyHistory.asp?taxnode_id=20160758","ICTVonline=20160758")</f>
        <v>ICTVonline=20160758</v>
      </c>
    </row>
    <row r="1037" spans="1:14" x14ac:dyDescent="0.15">
      <c r="A1037" s="3">
        <v>1036</v>
      </c>
      <c r="B1037" s="1" t="s">
        <v>1366</v>
      </c>
      <c r="C1037" s="1" t="s">
        <v>920</v>
      </c>
      <c r="E1037" s="1" t="s">
        <v>4165</v>
      </c>
      <c r="F1037" s="1" t="s">
        <v>4173</v>
      </c>
      <c r="G1037" s="3">
        <v>0</v>
      </c>
      <c r="H1037" s="20" t="s">
        <v>3122</v>
      </c>
      <c r="J1037" s="20" t="s">
        <v>2860</v>
      </c>
      <c r="K1037" s="20" t="s">
        <v>10014</v>
      </c>
      <c r="L1037" s="3">
        <v>30</v>
      </c>
      <c r="M1037" s="3" t="s">
        <v>10017</v>
      </c>
      <c r="N1037" s="3" t="str">
        <f>HYPERLINK("http://ictvonline.org/taxonomyHistory.asp?taxnode_id=20160759","ICTVonline=20160759")</f>
        <v>ICTVonline=20160759</v>
      </c>
    </row>
    <row r="1038" spans="1:14" x14ac:dyDescent="0.15">
      <c r="A1038" s="3">
        <v>1037</v>
      </c>
      <c r="B1038" s="1" t="s">
        <v>1366</v>
      </c>
      <c r="C1038" s="1" t="s">
        <v>920</v>
      </c>
      <c r="E1038" s="1" t="s">
        <v>4165</v>
      </c>
      <c r="F1038" s="1" t="s">
        <v>4174</v>
      </c>
      <c r="G1038" s="3">
        <v>0</v>
      </c>
      <c r="H1038" s="20" t="s">
        <v>3123</v>
      </c>
      <c r="J1038" s="20" t="s">
        <v>2860</v>
      </c>
      <c r="K1038" s="20" t="s">
        <v>10014</v>
      </c>
      <c r="L1038" s="3">
        <v>30</v>
      </c>
      <c r="M1038" s="3" t="s">
        <v>10017</v>
      </c>
      <c r="N1038" s="3" t="str">
        <f>HYPERLINK("http://ictvonline.org/taxonomyHistory.asp?taxnode_id=20160760","ICTVonline=20160760")</f>
        <v>ICTVonline=20160760</v>
      </c>
    </row>
    <row r="1039" spans="1:14" x14ac:dyDescent="0.15">
      <c r="A1039" s="3">
        <v>1038</v>
      </c>
      <c r="B1039" s="1" t="s">
        <v>1366</v>
      </c>
      <c r="C1039" s="1" t="s">
        <v>920</v>
      </c>
      <c r="E1039" s="1" t="s">
        <v>4165</v>
      </c>
      <c r="F1039" s="1" t="s">
        <v>4175</v>
      </c>
      <c r="G1039" s="3">
        <v>0</v>
      </c>
      <c r="H1039" s="20" t="s">
        <v>3124</v>
      </c>
      <c r="J1039" s="20" t="s">
        <v>2860</v>
      </c>
      <c r="K1039" s="20" t="s">
        <v>10014</v>
      </c>
      <c r="L1039" s="3">
        <v>30</v>
      </c>
      <c r="M1039" s="3" t="s">
        <v>10017</v>
      </c>
      <c r="N1039" s="3" t="str">
        <f>HYPERLINK("http://ictvonline.org/taxonomyHistory.asp?taxnode_id=20160761","ICTVonline=20160761")</f>
        <v>ICTVonline=20160761</v>
      </c>
    </row>
    <row r="1040" spans="1:14" x14ac:dyDescent="0.15">
      <c r="A1040" s="3">
        <v>1039</v>
      </c>
      <c r="B1040" s="1" t="s">
        <v>1366</v>
      </c>
      <c r="C1040" s="1" t="s">
        <v>920</v>
      </c>
      <c r="E1040" s="1" t="s">
        <v>4165</v>
      </c>
      <c r="F1040" s="1" t="s">
        <v>4176</v>
      </c>
      <c r="G1040" s="3">
        <v>0</v>
      </c>
      <c r="H1040" s="20" t="s">
        <v>3125</v>
      </c>
      <c r="J1040" s="20" t="s">
        <v>2860</v>
      </c>
      <c r="K1040" s="20" t="s">
        <v>10014</v>
      </c>
      <c r="L1040" s="3">
        <v>30</v>
      </c>
      <c r="M1040" s="3" t="s">
        <v>10017</v>
      </c>
      <c r="N1040" s="3" t="str">
        <f>HYPERLINK("http://ictvonline.org/taxonomyHistory.asp?taxnode_id=20160762","ICTVonline=20160762")</f>
        <v>ICTVonline=20160762</v>
      </c>
    </row>
    <row r="1041" spans="1:14" x14ac:dyDescent="0.15">
      <c r="A1041" s="3">
        <v>1040</v>
      </c>
      <c r="B1041" s="1" t="s">
        <v>1366</v>
      </c>
      <c r="C1041" s="1" t="s">
        <v>920</v>
      </c>
      <c r="E1041" s="1" t="s">
        <v>4165</v>
      </c>
      <c r="F1041" s="1" t="s">
        <v>4177</v>
      </c>
      <c r="G1041" s="3">
        <v>0</v>
      </c>
      <c r="H1041" s="20" t="s">
        <v>3126</v>
      </c>
      <c r="J1041" s="20" t="s">
        <v>2860</v>
      </c>
      <c r="K1041" s="20" t="s">
        <v>10014</v>
      </c>
      <c r="L1041" s="3">
        <v>30</v>
      </c>
      <c r="M1041" s="3" t="s">
        <v>10017</v>
      </c>
      <c r="N1041" s="3" t="str">
        <f>HYPERLINK("http://ictvonline.org/taxonomyHistory.asp?taxnode_id=20160763","ICTVonline=20160763")</f>
        <v>ICTVonline=20160763</v>
      </c>
    </row>
    <row r="1042" spans="1:14" x14ac:dyDescent="0.15">
      <c r="A1042" s="3">
        <v>1041</v>
      </c>
      <c r="B1042" s="1" t="s">
        <v>1366</v>
      </c>
      <c r="C1042" s="1" t="s">
        <v>920</v>
      </c>
      <c r="E1042" s="1" t="s">
        <v>4165</v>
      </c>
      <c r="F1042" s="1" t="s">
        <v>4178</v>
      </c>
      <c r="G1042" s="3">
        <v>0</v>
      </c>
      <c r="H1042" s="20" t="s">
        <v>3127</v>
      </c>
      <c r="J1042" s="20" t="s">
        <v>2860</v>
      </c>
      <c r="K1042" s="20" t="s">
        <v>10014</v>
      </c>
      <c r="L1042" s="3">
        <v>30</v>
      </c>
      <c r="M1042" s="3" t="s">
        <v>10017</v>
      </c>
      <c r="N1042" s="3" t="str">
        <f>HYPERLINK("http://ictvonline.org/taxonomyHistory.asp?taxnode_id=20160764","ICTVonline=20160764")</f>
        <v>ICTVonline=20160764</v>
      </c>
    </row>
    <row r="1043" spans="1:14" x14ac:dyDescent="0.15">
      <c r="A1043" s="3">
        <v>1042</v>
      </c>
      <c r="B1043" s="1" t="s">
        <v>1366</v>
      </c>
      <c r="C1043" s="1" t="s">
        <v>920</v>
      </c>
      <c r="E1043" s="1" t="s">
        <v>4165</v>
      </c>
      <c r="F1043" s="1" t="s">
        <v>4179</v>
      </c>
      <c r="G1043" s="3">
        <v>0</v>
      </c>
      <c r="H1043" s="20" t="s">
        <v>3128</v>
      </c>
      <c r="J1043" s="20" t="s">
        <v>2860</v>
      </c>
      <c r="K1043" s="20" t="s">
        <v>10014</v>
      </c>
      <c r="L1043" s="3">
        <v>30</v>
      </c>
      <c r="M1043" s="3" t="s">
        <v>10017</v>
      </c>
      <c r="N1043" s="3" t="str">
        <f>HYPERLINK("http://ictvonline.org/taxonomyHistory.asp?taxnode_id=20160765","ICTVonline=20160765")</f>
        <v>ICTVonline=20160765</v>
      </c>
    </row>
    <row r="1044" spans="1:14" x14ac:dyDescent="0.15">
      <c r="A1044" s="3">
        <v>1043</v>
      </c>
      <c r="B1044" s="1" t="s">
        <v>1366</v>
      </c>
      <c r="C1044" s="1" t="s">
        <v>920</v>
      </c>
      <c r="E1044" s="1" t="s">
        <v>4165</v>
      </c>
      <c r="F1044" s="1" t="s">
        <v>4180</v>
      </c>
      <c r="G1044" s="3">
        <v>0</v>
      </c>
      <c r="H1044" s="20" t="s">
        <v>3129</v>
      </c>
      <c r="J1044" s="20" t="s">
        <v>2860</v>
      </c>
      <c r="K1044" s="20" t="s">
        <v>10014</v>
      </c>
      <c r="L1044" s="3">
        <v>30</v>
      </c>
      <c r="M1044" s="3" t="s">
        <v>10017</v>
      </c>
      <c r="N1044" s="3" t="str">
        <f>HYPERLINK("http://ictvonline.org/taxonomyHistory.asp?taxnode_id=20160766","ICTVonline=20160766")</f>
        <v>ICTVonline=20160766</v>
      </c>
    </row>
    <row r="1045" spans="1:14" x14ac:dyDescent="0.15">
      <c r="A1045" s="3">
        <v>1044</v>
      </c>
      <c r="B1045" s="1" t="s">
        <v>1366</v>
      </c>
      <c r="C1045" s="1" t="s">
        <v>920</v>
      </c>
      <c r="E1045" s="1" t="s">
        <v>4165</v>
      </c>
      <c r="F1045" s="1" t="s">
        <v>4181</v>
      </c>
      <c r="G1045" s="3">
        <v>1</v>
      </c>
      <c r="H1045" s="20" t="s">
        <v>3130</v>
      </c>
      <c r="J1045" s="20" t="s">
        <v>2860</v>
      </c>
      <c r="K1045" s="20" t="s">
        <v>10014</v>
      </c>
      <c r="L1045" s="3">
        <v>30</v>
      </c>
      <c r="M1045" s="3" t="s">
        <v>10017</v>
      </c>
      <c r="N1045" s="3" t="str">
        <f>HYPERLINK("http://ictvonline.org/taxonomyHistory.asp?taxnode_id=20160767","ICTVonline=20160767")</f>
        <v>ICTVonline=20160767</v>
      </c>
    </row>
    <row r="1046" spans="1:14" x14ac:dyDescent="0.15">
      <c r="A1046" s="3">
        <v>1045</v>
      </c>
      <c r="B1046" s="1" t="s">
        <v>1366</v>
      </c>
      <c r="C1046" s="1" t="s">
        <v>920</v>
      </c>
      <c r="E1046" s="1" t="s">
        <v>4165</v>
      </c>
      <c r="F1046" s="1" t="s">
        <v>4182</v>
      </c>
      <c r="G1046" s="3">
        <v>0</v>
      </c>
      <c r="H1046" s="20" t="s">
        <v>3131</v>
      </c>
      <c r="J1046" s="20" t="s">
        <v>2860</v>
      </c>
      <c r="K1046" s="20" t="s">
        <v>10014</v>
      </c>
      <c r="L1046" s="3">
        <v>30</v>
      </c>
      <c r="M1046" s="3" t="s">
        <v>10017</v>
      </c>
      <c r="N1046" s="3" t="str">
        <f>HYPERLINK("http://ictvonline.org/taxonomyHistory.asp?taxnode_id=20160768","ICTVonline=20160768")</f>
        <v>ICTVonline=20160768</v>
      </c>
    </row>
    <row r="1047" spans="1:14" x14ac:dyDescent="0.15">
      <c r="A1047" s="3">
        <v>1046</v>
      </c>
      <c r="B1047" s="1" t="s">
        <v>1366</v>
      </c>
      <c r="C1047" s="1" t="s">
        <v>920</v>
      </c>
      <c r="E1047" s="1" t="s">
        <v>4183</v>
      </c>
      <c r="F1047" s="1" t="s">
        <v>4184</v>
      </c>
      <c r="G1047" s="3">
        <v>1</v>
      </c>
      <c r="H1047" s="20" t="s">
        <v>6691</v>
      </c>
      <c r="I1047" s="20" t="s">
        <v>4185</v>
      </c>
      <c r="J1047" s="20" t="s">
        <v>2860</v>
      </c>
      <c r="K1047" s="20" t="s">
        <v>10013</v>
      </c>
      <c r="L1047" s="3">
        <v>30</v>
      </c>
      <c r="M1047" s="3" t="s">
        <v>10068</v>
      </c>
      <c r="N1047" s="3" t="str">
        <f>HYPERLINK("http://ictvonline.org/taxonomyHistory.asp?taxnode_id=20160770","ICTVonline=20160770")</f>
        <v>ICTVonline=20160770</v>
      </c>
    </row>
    <row r="1048" spans="1:14" x14ac:dyDescent="0.15">
      <c r="A1048" s="3">
        <v>1047</v>
      </c>
      <c r="B1048" s="1" t="s">
        <v>1366</v>
      </c>
      <c r="C1048" s="1" t="s">
        <v>920</v>
      </c>
      <c r="E1048" s="1" t="s">
        <v>4183</v>
      </c>
      <c r="F1048" s="1" t="s">
        <v>4186</v>
      </c>
      <c r="G1048" s="3">
        <v>0</v>
      </c>
      <c r="H1048" s="20" t="s">
        <v>6692</v>
      </c>
      <c r="I1048" s="20" t="s">
        <v>4187</v>
      </c>
      <c r="J1048" s="20" t="s">
        <v>2860</v>
      </c>
      <c r="K1048" s="20" t="s">
        <v>10013</v>
      </c>
      <c r="L1048" s="3">
        <v>30</v>
      </c>
      <c r="M1048" s="3" t="s">
        <v>10068</v>
      </c>
      <c r="N1048" s="3" t="str">
        <f>HYPERLINK("http://ictvonline.org/taxonomyHistory.asp?taxnode_id=20160771","ICTVonline=20160771")</f>
        <v>ICTVonline=20160771</v>
      </c>
    </row>
    <row r="1049" spans="1:14" x14ac:dyDescent="0.15">
      <c r="A1049" s="3">
        <v>1048</v>
      </c>
      <c r="B1049" s="1" t="s">
        <v>1366</v>
      </c>
      <c r="C1049" s="1" t="s">
        <v>920</v>
      </c>
      <c r="E1049" s="1" t="s">
        <v>4183</v>
      </c>
      <c r="F1049" s="1" t="s">
        <v>4188</v>
      </c>
      <c r="G1049" s="3">
        <v>0</v>
      </c>
      <c r="H1049" s="20" t="s">
        <v>6693</v>
      </c>
      <c r="I1049" s="20" t="s">
        <v>4189</v>
      </c>
      <c r="J1049" s="20" t="s">
        <v>2860</v>
      </c>
      <c r="K1049" s="20" t="s">
        <v>10013</v>
      </c>
      <c r="L1049" s="3">
        <v>30</v>
      </c>
      <c r="M1049" s="3" t="s">
        <v>10068</v>
      </c>
      <c r="N1049" s="3" t="str">
        <f>HYPERLINK("http://ictvonline.org/taxonomyHistory.asp?taxnode_id=20160772","ICTVonline=20160772")</f>
        <v>ICTVonline=20160772</v>
      </c>
    </row>
    <row r="1050" spans="1:14" x14ac:dyDescent="0.15">
      <c r="A1050" s="3">
        <v>1049</v>
      </c>
      <c r="B1050" s="1" t="s">
        <v>1366</v>
      </c>
      <c r="C1050" s="1" t="s">
        <v>920</v>
      </c>
      <c r="E1050" s="1" t="s">
        <v>4183</v>
      </c>
      <c r="F1050" s="1" t="s">
        <v>4190</v>
      </c>
      <c r="G1050" s="3">
        <v>0</v>
      </c>
      <c r="H1050" s="20" t="s">
        <v>6694</v>
      </c>
      <c r="I1050" s="20" t="s">
        <v>4191</v>
      </c>
      <c r="J1050" s="20" t="s">
        <v>2860</v>
      </c>
      <c r="K1050" s="20" t="s">
        <v>10013</v>
      </c>
      <c r="L1050" s="3">
        <v>30</v>
      </c>
      <c r="M1050" s="3" t="s">
        <v>10068</v>
      </c>
      <c r="N1050" s="3" t="str">
        <f>HYPERLINK("http://ictvonline.org/taxonomyHistory.asp?taxnode_id=20160773","ICTVonline=20160773")</f>
        <v>ICTVonline=20160773</v>
      </c>
    </row>
    <row r="1051" spans="1:14" x14ac:dyDescent="0.15">
      <c r="A1051" s="3">
        <v>1050</v>
      </c>
      <c r="B1051" s="1" t="s">
        <v>1366</v>
      </c>
      <c r="C1051" s="1" t="s">
        <v>920</v>
      </c>
      <c r="E1051" s="1" t="s">
        <v>8652</v>
      </c>
      <c r="F1051" s="1" t="s">
        <v>8653</v>
      </c>
      <c r="G1051" s="3">
        <v>0</v>
      </c>
      <c r="H1051" s="20" t="s">
        <v>8654</v>
      </c>
      <c r="I1051" s="20" t="s">
        <v>8655</v>
      </c>
      <c r="J1051" s="20" t="s">
        <v>2860</v>
      </c>
      <c r="K1051" s="20" t="s">
        <v>10013</v>
      </c>
      <c r="L1051" s="3">
        <v>31</v>
      </c>
      <c r="M1051" s="3" t="s">
        <v>8656</v>
      </c>
      <c r="N1051" s="3" t="str">
        <f>HYPERLINK("http://ictvonline.org/taxonomyHistory.asp?taxnode_id=20165088","ICTVonline=20165088")</f>
        <v>ICTVonline=20165088</v>
      </c>
    </row>
    <row r="1052" spans="1:14" x14ac:dyDescent="0.15">
      <c r="A1052" s="3">
        <v>1051</v>
      </c>
      <c r="B1052" s="1" t="s">
        <v>1366</v>
      </c>
      <c r="C1052" s="1" t="s">
        <v>920</v>
      </c>
      <c r="E1052" s="1" t="s">
        <v>8652</v>
      </c>
      <c r="F1052" s="1" t="s">
        <v>8657</v>
      </c>
      <c r="G1052" s="3">
        <v>0</v>
      </c>
      <c r="H1052" s="20" t="s">
        <v>8658</v>
      </c>
      <c r="I1052" s="20" t="s">
        <v>8659</v>
      </c>
      <c r="J1052" s="20" t="s">
        <v>2860</v>
      </c>
      <c r="K1052" s="20" t="s">
        <v>10013</v>
      </c>
      <c r="L1052" s="3">
        <v>31</v>
      </c>
      <c r="M1052" s="3" t="s">
        <v>8656</v>
      </c>
      <c r="N1052" s="3" t="str">
        <f>HYPERLINK("http://ictvonline.org/taxonomyHistory.asp?taxnode_id=20165089","ICTVonline=20165089")</f>
        <v>ICTVonline=20165089</v>
      </c>
    </row>
    <row r="1053" spans="1:14" x14ac:dyDescent="0.15">
      <c r="A1053" s="3">
        <v>1052</v>
      </c>
      <c r="B1053" s="1" t="s">
        <v>1366</v>
      </c>
      <c r="C1053" s="1" t="s">
        <v>920</v>
      </c>
      <c r="E1053" s="1" t="s">
        <v>8652</v>
      </c>
      <c r="F1053" s="1" t="s">
        <v>8660</v>
      </c>
      <c r="G1053" s="3">
        <v>0</v>
      </c>
      <c r="H1053" s="20" t="s">
        <v>8661</v>
      </c>
      <c r="I1053" s="20" t="s">
        <v>8662</v>
      </c>
      <c r="J1053" s="20" t="s">
        <v>2860</v>
      </c>
      <c r="K1053" s="20" t="s">
        <v>10013</v>
      </c>
      <c r="L1053" s="3">
        <v>31</v>
      </c>
      <c r="M1053" s="3" t="s">
        <v>8656</v>
      </c>
      <c r="N1053" s="3" t="str">
        <f>HYPERLINK("http://ictvonline.org/taxonomyHistory.asp?taxnode_id=20165090","ICTVonline=20165090")</f>
        <v>ICTVonline=20165090</v>
      </c>
    </row>
    <row r="1054" spans="1:14" x14ac:dyDescent="0.15">
      <c r="A1054" s="3">
        <v>1053</v>
      </c>
      <c r="B1054" s="1" t="s">
        <v>1366</v>
      </c>
      <c r="C1054" s="1" t="s">
        <v>920</v>
      </c>
      <c r="E1054" s="1" t="s">
        <v>8652</v>
      </c>
      <c r="F1054" s="1" t="s">
        <v>8663</v>
      </c>
      <c r="G1054" s="3">
        <v>1</v>
      </c>
      <c r="H1054" s="20" t="s">
        <v>8664</v>
      </c>
      <c r="I1054" s="20" t="s">
        <v>8665</v>
      </c>
      <c r="J1054" s="20" t="s">
        <v>2860</v>
      </c>
      <c r="K1054" s="20" t="s">
        <v>10013</v>
      </c>
      <c r="L1054" s="3">
        <v>31</v>
      </c>
      <c r="M1054" s="3" t="s">
        <v>8656</v>
      </c>
      <c r="N1054" s="3" t="str">
        <f>HYPERLINK("http://ictvonline.org/taxonomyHistory.asp?taxnode_id=20165091","ICTVonline=20165091")</f>
        <v>ICTVonline=20165091</v>
      </c>
    </row>
    <row r="1055" spans="1:14" x14ac:dyDescent="0.15">
      <c r="A1055" s="3">
        <v>1054</v>
      </c>
      <c r="B1055" s="1" t="s">
        <v>1366</v>
      </c>
      <c r="C1055" s="1" t="s">
        <v>920</v>
      </c>
      <c r="E1055" s="1" t="s">
        <v>8666</v>
      </c>
      <c r="F1055" s="1" t="s">
        <v>8667</v>
      </c>
      <c r="G1055" s="3">
        <v>1</v>
      </c>
      <c r="H1055" s="20" t="s">
        <v>8668</v>
      </c>
      <c r="I1055" s="20" t="s">
        <v>8669</v>
      </c>
      <c r="J1055" s="20" t="s">
        <v>2860</v>
      </c>
      <c r="K1055" s="20" t="s">
        <v>10013</v>
      </c>
      <c r="L1055" s="3">
        <v>31</v>
      </c>
      <c r="M1055" s="3" t="s">
        <v>8670</v>
      </c>
      <c r="N1055" s="3" t="str">
        <f>HYPERLINK("http://ictvonline.org/taxonomyHistory.asp?taxnode_id=20165092","ICTVonline=20165092")</f>
        <v>ICTVonline=20165092</v>
      </c>
    </row>
    <row r="1056" spans="1:14" x14ac:dyDescent="0.15">
      <c r="A1056" s="3">
        <v>1055</v>
      </c>
      <c r="B1056" s="1" t="s">
        <v>1366</v>
      </c>
      <c r="C1056" s="1" t="s">
        <v>920</v>
      </c>
      <c r="E1056" s="1" t="s">
        <v>4192</v>
      </c>
      <c r="F1056" s="1" t="s">
        <v>4193</v>
      </c>
      <c r="G1056" s="3">
        <v>1</v>
      </c>
      <c r="J1056" s="20" t="s">
        <v>2860</v>
      </c>
      <c r="K1056" s="20" t="s">
        <v>10014</v>
      </c>
      <c r="L1056" s="3">
        <v>30</v>
      </c>
      <c r="M1056" s="3" t="s">
        <v>10017</v>
      </c>
      <c r="N1056" s="3" t="str">
        <f>HYPERLINK("http://ictvonline.org/taxonomyHistory.asp?taxnode_id=20160775","ICTVonline=20160775")</f>
        <v>ICTVonline=20160775</v>
      </c>
    </row>
    <row r="1057" spans="1:14" x14ac:dyDescent="0.15">
      <c r="A1057" s="3">
        <v>1056</v>
      </c>
      <c r="B1057" s="1" t="s">
        <v>1366</v>
      </c>
      <c r="C1057" s="1" t="s">
        <v>920</v>
      </c>
      <c r="E1057" s="1" t="s">
        <v>4194</v>
      </c>
      <c r="F1057" s="1" t="s">
        <v>4195</v>
      </c>
      <c r="G1057" s="3">
        <v>0</v>
      </c>
      <c r="H1057" s="20" t="s">
        <v>6695</v>
      </c>
      <c r="I1057" s="20" t="s">
        <v>4196</v>
      </c>
      <c r="J1057" s="20" t="s">
        <v>2860</v>
      </c>
      <c r="K1057" s="20" t="s">
        <v>10013</v>
      </c>
      <c r="L1057" s="3">
        <v>30</v>
      </c>
      <c r="M1057" s="3" t="s">
        <v>10069</v>
      </c>
      <c r="N1057" s="3" t="str">
        <f>HYPERLINK("http://ictvonline.org/taxonomyHistory.asp?taxnode_id=20160777","ICTVonline=20160777")</f>
        <v>ICTVonline=20160777</v>
      </c>
    </row>
    <row r="1058" spans="1:14" x14ac:dyDescent="0.15">
      <c r="A1058" s="3">
        <v>1057</v>
      </c>
      <c r="B1058" s="1" t="s">
        <v>1366</v>
      </c>
      <c r="C1058" s="1" t="s">
        <v>920</v>
      </c>
      <c r="E1058" s="1" t="s">
        <v>4194</v>
      </c>
      <c r="F1058" s="1" t="s">
        <v>4197</v>
      </c>
      <c r="G1058" s="3">
        <v>1</v>
      </c>
      <c r="H1058" s="20" t="s">
        <v>6696</v>
      </c>
      <c r="I1058" s="20" t="s">
        <v>4198</v>
      </c>
      <c r="J1058" s="20" t="s">
        <v>2860</v>
      </c>
      <c r="K1058" s="20" t="s">
        <v>10013</v>
      </c>
      <c r="L1058" s="3">
        <v>30</v>
      </c>
      <c r="M1058" s="3" t="s">
        <v>10069</v>
      </c>
      <c r="N1058" s="3" t="str">
        <f>HYPERLINK("http://ictvonline.org/taxonomyHistory.asp?taxnode_id=20160778","ICTVonline=20160778")</f>
        <v>ICTVonline=20160778</v>
      </c>
    </row>
    <row r="1059" spans="1:14" x14ac:dyDescent="0.15">
      <c r="A1059" s="3">
        <v>1058</v>
      </c>
      <c r="B1059" s="1" t="s">
        <v>1366</v>
      </c>
      <c r="C1059" s="1" t="s">
        <v>920</v>
      </c>
      <c r="E1059" s="1" t="s">
        <v>4199</v>
      </c>
      <c r="F1059" s="1" t="s">
        <v>4200</v>
      </c>
      <c r="G1059" s="3">
        <v>0</v>
      </c>
      <c r="J1059" s="20" t="s">
        <v>2860</v>
      </c>
      <c r="K1059" s="20" t="s">
        <v>10014</v>
      </c>
      <c r="L1059" s="3">
        <v>30</v>
      </c>
      <c r="M1059" s="3" t="s">
        <v>10017</v>
      </c>
      <c r="N1059" s="3" t="str">
        <f>HYPERLINK("http://ictvonline.org/taxonomyHistory.asp?taxnode_id=20160780","ICTVonline=20160780")</f>
        <v>ICTVonline=20160780</v>
      </c>
    </row>
    <row r="1060" spans="1:14" x14ac:dyDescent="0.15">
      <c r="A1060" s="3">
        <v>1059</v>
      </c>
      <c r="B1060" s="1" t="s">
        <v>1366</v>
      </c>
      <c r="C1060" s="1" t="s">
        <v>920</v>
      </c>
      <c r="E1060" s="1" t="s">
        <v>4199</v>
      </c>
      <c r="F1060" s="1" t="s">
        <v>4201</v>
      </c>
      <c r="G1060" s="3">
        <v>0</v>
      </c>
      <c r="J1060" s="20" t="s">
        <v>2860</v>
      </c>
      <c r="K1060" s="20" t="s">
        <v>10014</v>
      </c>
      <c r="L1060" s="3">
        <v>30</v>
      </c>
      <c r="M1060" s="3" t="s">
        <v>10017</v>
      </c>
      <c r="N1060" s="3" t="str">
        <f>HYPERLINK("http://ictvonline.org/taxonomyHistory.asp?taxnode_id=20160781","ICTVonline=20160781")</f>
        <v>ICTVonline=20160781</v>
      </c>
    </row>
    <row r="1061" spans="1:14" x14ac:dyDescent="0.15">
      <c r="A1061" s="3">
        <v>1060</v>
      </c>
      <c r="B1061" s="1" t="s">
        <v>1366</v>
      </c>
      <c r="C1061" s="1" t="s">
        <v>920</v>
      </c>
      <c r="E1061" s="1" t="s">
        <v>4199</v>
      </c>
      <c r="F1061" s="1" t="s">
        <v>4202</v>
      </c>
      <c r="G1061" s="3">
        <v>0</v>
      </c>
      <c r="H1061" s="20" t="s">
        <v>6697</v>
      </c>
      <c r="I1061" s="20" t="s">
        <v>4203</v>
      </c>
      <c r="J1061" s="20" t="s">
        <v>2860</v>
      </c>
      <c r="K1061" s="20" t="s">
        <v>10013</v>
      </c>
      <c r="L1061" s="3">
        <v>30</v>
      </c>
      <c r="M1061" s="3" t="s">
        <v>10070</v>
      </c>
      <c r="N1061" s="3" t="str">
        <f>HYPERLINK("http://ictvonline.org/taxonomyHistory.asp?taxnode_id=20160782","ICTVonline=20160782")</f>
        <v>ICTVonline=20160782</v>
      </c>
    </row>
    <row r="1062" spans="1:14" x14ac:dyDescent="0.15">
      <c r="A1062" s="3">
        <v>1061</v>
      </c>
      <c r="B1062" s="1" t="s">
        <v>1366</v>
      </c>
      <c r="C1062" s="1" t="s">
        <v>920</v>
      </c>
      <c r="E1062" s="1" t="s">
        <v>4199</v>
      </c>
      <c r="F1062" s="1" t="s">
        <v>4204</v>
      </c>
      <c r="G1062" s="3">
        <v>0</v>
      </c>
      <c r="J1062" s="20" t="s">
        <v>2860</v>
      </c>
      <c r="K1062" s="20" t="s">
        <v>10014</v>
      </c>
      <c r="L1062" s="3">
        <v>30</v>
      </c>
      <c r="M1062" s="3" t="s">
        <v>10017</v>
      </c>
      <c r="N1062" s="3" t="str">
        <f>HYPERLINK("http://ictvonline.org/taxonomyHistory.asp?taxnode_id=20160783","ICTVonline=20160783")</f>
        <v>ICTVonline=20160783</v>
      </c>
    </row>
    <row r="1063" spans="1:14" x14ac:dyDescent="0.15">
      <c r="A1063" s="3">
        <v>1062</v>
      </c>
      <c r="B1063" s="1" t="s">
        <v>1366</v>
      </c>
      <c r="C1063" s="1" t="s">
        <v>920</v>
      </c>
      <c r="E1063" s="1" t="s">
        <v>4199</v>
      </c>
      <c r="F1063" s="1" t="s">
        <v>4205</v>
      </c>
      <c r="G1063" s="3">
        <v>0</v>
      </c>
      <c r="H1063" s="20" t="s">
        <v>6698</v>
      </c>
      <c r="I1063" s="20" t="s">
        <v>4206</v>
      </c>
      <c r="J1063" s="20" t="s">
        <v>2860</v>
      </c>
      <c r="K1063" s="20" t="s">
        <v>10013</v>
      </c>
      <c r="L1063" s="3">
        <v>30</v>
      </c>
      <c r="M1063" s="3" t="s">
        <v>10070</v>
      </c>
      <c r="N1063" s="3" t="str">
        <f>HYPERLINK("http://ictvonline.org/taxonomyHistory.asp?taxnode_id=20160784","ICTVonline=20160784")</f>
        <v>ICTVonline=20160784</v>
      </c>
    </row>
    <row r="1064" spans="1:14" x14ac:dyDescent="0.15">
      <c r="A1064" s="3">
        <v>1063</v>
      </c>
      <c r="B1064" s="1" t="s">
        <v>1366</v>
      </c>
      <c r="C1064" s="1" t="s">
        <v>920</v>
      </c>
      <c r="E1064" s="1" t="s">
        <v>4199</v>
      </c>
      <c r="F1064" s="1" t="s">
        <v>4207</v>
      </c>
      <c r="G1064" s="3">
        <v>0</v>
      </c>
      <c r="J1064" s="20" t="s">
        <v>2860</v>
      </c>
      <c r="K1064" s="20" t="s">
        <v>10014</v>
      </c>
      <c r="L1064" s="3">
        <v>30</v>
      </c>
      <c r="M1064" s="3" t="s">
        <v>10017</v>
      </c>
      <c r="N1064" s="3" t="str">
        <f>HYPERLINK("http://ictvonline.org/taxonomyHistory.asp?taxnode_id=20160785","ICTVonline=20160785")</f>
        <v>ICTVonline=20160785</v>
      </c>
    </row>
    <row r="1065" spans="1:14" x14ac:dyDescent="0.15">
      <c r="A1065" s="3">
        <v>1064</v>
      </c>
      <c r="B1065" s="1" t="s">
        <v>1366</v>
      </c>
      <c r="C1065" s="1" t="s">
        <v>920</v>
      </c>
      <c r="E1065" s="1" t="s">
        <v>4199</v>
      </c>
      <c r="F1065" s="1" t="s">
        <v>8671</v>
      </c>
      <c r="G1065" s="3">
        <v>0</v>
      </c>
      <c r="H1065" s="20" t="s">
        <v>8672</v>
      </c>
      <c r="I1065" s="20" t="s">
        <v>8673</v>
      </c>
      <c r="J1065" s="20" t="s">
        <v>2860</v>
      </c>
      <c r="K1065" s="20" t="s">
        <v>10013</v>
      </c>
      <c r="L1065" s="3">
        <v>31</v>
      </c>
      <c r="M1065" s="3" t="s">
        <v>7480</v>
      </c>
      <c r="N1065" s="3" t="str">
        <f>HYPERLINK("http://ictvonline.org/taxonomyHistory.asp?taxnode_id=20165093","ICTVonline=20165093")</f>
        <v>ICTVonline=20165093</v>
      </c>
    </row>
    <row r="1066" spans="1:14" x14ac:dyDescent="0.15">
      <c r="A1066" s="3">
        <v>1065</v>
      </c>
      <c r="B1066" s="1" t="s">
        <v>1366</v>
      </c>
      <c r="C1066" s="1" t="s">
        <v>920</v>
      </c>
      <c r="E1066" s="1" t="s">
        <v>4199</v>
      </c>
      <c r="F1066" s="1" t="s">
        <v>4208</v>
      </c>
      <c r="G1066" s="3">
        <v>1</v>
      </c>
      <c r="J1066" s="20" t="s">
        <v>2860</v>
      </c>
      <c r="K1066" s="20" t="s">
        <v>10071</v>
      </c>
      <c r="L1066" s="3">
        <v>30</v>
      </c>
      <c r="M1066" s="3" t="s">
        <v>10017</v>
      </c>
      <c r="N1066" s="3" t="str">
        <f>HYPERLINK("http://ictvonline.org/taxonomyHistory.asp?taxnode_id=20160786","ICTVonline=20160786")</f>
        <v>ICTVonline=20160786</v>
      </c>
    </row>
    <row r="1067" spans="1:14" x14ac:dyDescent="0.15">
      <c r="A1067" s="3">
        <v>1066</v>
      </c>
      <c r="B1067" s="1" t="s">
        <v>1366</v>
      </c>
      <c r="C1067" s="1" t="s">
        <v>920</v>
      </c>
      <c r="E1067" s="1" t="s">
        <v>4199</v>
      </c>
      <c r="F1067" s="1" t="s">
        <v>8674</v>
      </c>
      <c r="G1067" s="3">
        <v>0</v>
      </c>
      <c r="H1067" s="20" t="s">
        <v>8675</v>
      </c>
      <c r="I1067" s="20" t="s">
        <v>8676</v>
      </c>
      <c r="J1067" s="20" t="s">
        <v>2860</v>
      </c>
      <c r="K1067" s="20" t="s">
        <v>10013</v>
      </c>
      <c r="L1067" s="3">
        <v>31</v>
      </c>
      <c r="M1067" s="3" t="s">
        <v>7480</v>
      </c>
      <c r="N1067" s="3" t="str">
        <f>HYPERLINK("http://ictvonline.org/taxonomyHistory.asp?taxnode_id=20165094","ICTVonline=20165094")</f>
        <v>ICTVonline=20165094</v>
      </c>
    </row>
    <row r="1068" spans="1:14" x14ac:dyDescent="0.15">
      <c r="A1068" s="3">
        <v>1067</v>
      </c>
      <c r="B1068" s="1" t="s">
        <v>1366</v>
      </c>
      <c r="C1068" s="1" t="s">
        <v>920</v>
      </c>
      <c r="E1068" s="1" t="s">
        <v>4199</v>
      </c>
      <c r="F1068" s="1" t="s">
        <v>4209</v>
      </c>
      <c r="G1068" s="3">
        <v>0</v>
      </c>
      <c r="H1068" s="20" t="s">
        <v>6699</v>
      </c>
      <c r="I1068" s="20" t="s">
        <v>4210</v>
      </c>
      <c r="J1068" s="20" t="s">
        <v>2860</v>
      </c>
      <c r="K1068" s="20" t="s">
        <v>10013</v>
      </c>
      <c r="L1068" s="3">
        <v>30</v>
      </c>
      <c r="M1068" s="3" t="s">
        <v>10070</v>
      </c>
      <c r="N1068" s="3" t="str">
        <f>HYPERLINK("http://ictvonline.org/taxonomyHistory.asp?taxnode_id=20160787","ICTVonline=20160787")</f>
        <v>ICTVonline=20160787</v>
      </c>
    </row>
    <row r="1069" spans="1:14" x14ac:dyDescent="0.15">
      <c r="A1069" s="3">
        <v>1068</v>
      </c>
      <c r="B1069" s="1" t="s">
        <v>1366</v>
      </c>
      <c r="C1069" s="1" t="s">
        <v>920</v>
      </c>
      <c r="E1069" s="1" t="s">
        <v>4199</v>
      </c>
      <c r="F1069" s="1" t="s">
        <v>4211</v>
      </c>
      <c r="G1069" s="3">
        <v>0</v>
      </c>
      <c r="J1069" s="20" t="s">
        <v>2860</v>
      </c>
      <c r="K1069" s="20" t="s">
        <v>10014</v>
      </c>
      <c r="L1069" s="3">
        <v>30</v>
      </c>
      <c r="M1069" s="3" t="s">
        <v>10017</v>
      </c>
      <c r="N1069" s="3" t="str">
        <f>HYPERLINK("http://ictvonline.org/taxonomyHistory.asp?taxnode_id=20160788","ICTVonline=20160788")</f>
        <v>ICTVonline=20160788</v>
      </c>
    </row>
    <row r="1070" spans="1:14" x14ac:dyDescent="0.15">
      <c r="A1070" s="3">
        <v>1069</v>
      </c>
      <c r="B1070" s="1" t="s">
        <v>1366</v>
      </c>
      <c r="C1070" s="1" t="s">
        <v>920</v>
      </c>
      <c r="E1070" s="1" t="s">
        <v>4199</v>
      </c>
      <c r="F1070" s="1" t="s">
        <v>4212</v>
      </c>
      <c r="G1070" s="3">
        <v>0</v>
      </c>
      <c r="H1070" s="20" t="s">
        <v>6700</v>
      </c>
      <c r="I1070" s="20" t="s">
        <v>4213</v>
      </c>
      <c r="J1070" s="20" t="s">
        <v>2860</v>
      </c>
      <c r="K1070" s="20" t="s">
        <v>10013</v>
      </c>
      <c r="L1070" s="3">
        <v>30</v>
      </c>
      <c r="M1070" s="3" t="s">
        <v>10070</v>
      </c>
      <c r="N1070" s="3" t="str">
        <f>HYPERLINK("http://ictvonline.org/taxonomyHistory.asp?taxnode_id=20160789","ICTVonline=20160789")</f>
        <v>ICTVonline=20160789</v>
      </c>
    </row>
    <row r="1071" spans="1:14" x14ac:dyDescent="0.15">
      <c r="A1071" s="3">
        <v>1070</v>
      </c>
      <c r="B1071" s="1" t="s">
        <v>1366</v>
      </c>
      <c r="C1071" s="1" t="s">
        <v>920</v>
      </c>
      <c r="E1071" s="1" t="s">
        <v>8677</v>
      </c>
      <c r="F1071" s="1" t="s">
        <v>8678</v>
      </c>
      <c r="G1071" s="3">
        <v>1</v>
      </c>
      <c r="H1071" s="20" t="s">
        <v>8679</v>
      </c>
      <c r="I1071" s="20" t="s">
        <v>8680</v>
      </c>
      <c r="J1071" s="20" t="s">
        <v>2860</v>
      </c>
      <c r="K1071" s="20" t="s">
        <v>10013</v>
      </c>
      <c r="L1071" s="3">
        <v>31</v>
      </c>
      <c r="M1071" s="3" t="s">
        <v>8681</v>
      </c>
      <c r="N1071" s="3" t="str">
        <f>HYPERLINK("http://ictvonline.org/taxonomyHistory.asp?taxnode_id=20165095","ICTVonline=20165095")</f>
        <v>ICTVonline=20165095</v>
      </c>
    </row>
    <row r="1072" spans="1:14" x14ac:dyDescent="0.15">
      <c r="A1072" s="3">
        <v>1071</v>
      </c>
      <c r="B1072" s="1" t="s">
        <v>1366</v>
      </c>
      <c r="C1072" s="1" t="s">
        <v>920</v>
      </c>
      <c r="E1072" s="1" t="s">
        <v>8682</v>
      </c>
      <c r="F1072" s="1" t="s">
        <v>8683</v>
      </c>
      <c r="G1072" s="3">
        <v>1</v>
      </c>
      <c r="H1072" s="20" t="s">
        <v>8684</v>
      </c>
      <c r="I1072" s="20" t="s">
        <v>8685</v>
      </c>
      <c r="J1072" s="20" t="s">
        <v>2860</v>
      </c>
      <c r="K1072" s="20" t="s">
        <v>10013</v>
      </c>
      <c r="L1072" s="3">
        <v>31</v>
      </c>
      <c r="M1072" s="3" t="s">
        <v>8686</v>
      </c>
      <c r="N1072" s="3" t="str">
        <f>HYPERLINK("http://ictvonline.org/taxonomyHistory.asp?taxnode_id=20165096","ICTVonline=20165096")</f>
        <v>ICTVonline=20165096</v>
      </c>
    </row>
    <row r="1073" spans="1:14" x14ac:dyDescent="0.15">
      <c r="A1073" s="3">
        <v>1072</v>
      </c>
      <c r="B1073" s="1" t="s">
        <v>1366</v>
      </c>
      <c r="C1073" s="1" t="s">
        <v>920</v>
      </c>
      <c r="E1073" s="1" t="s">
        <v>8682</v>
      </c>
      <c r="F1073" s="1" t="s">
        <v>8687</v>
      </c>
      <c r="G1073" s="3">
        <v>0</v>
      </c>
      <c r="H1073" s="20" t="s">
        <v>8688</v>
      </c>
      <c r="I1073" s="20" t="s">
        <v>8689</v>
      </c>
      <c r="J1073" s="20" t="s">
        <v>2860</v>
      </c>
      <c r="K1073" s="20" t="s">
        <v>10013</v>
      </c>
      <c r="L1073" s="3">
        <v>31</v>
      </c>
      <c r="M1073" s="3" t="s">
        <v>8686</v>
      </c>
      <c r="N1073" s="3" t="str">
        <f>HYPERLINK("http://ictvonline.org/taxonomyHistory.asp?taxnode_id=20165097","ICTVonline=20165097")</f>
        <v>ICTVonline=20165097</v>
      </c>
    </row>
    <row r="1074" spans="1:14" x14ac:dyDescent="0.15">
      <c r="A1074" s="3">
        <v>1073</v>
      </c>
      <c r="B1074" s="1" t="s">
        <v>1366</v>
      </c>
      <c r="C1074" s="1" t="s">
        <v>920</v>
      </c>
      <c r="E1074" s="1" t="s">
        <v>8682</v>
      </c>
      <c r="F1074" s="1" t="s">
        <v>8690</v>
      </c>
      <c r="G1074" s="3">
        <v>0</v>
      </c>
      <c r="H1074" s="20" t="s">
        <v>8691</v>
      </c>
      <c r="I1074" s="20" t="s">
        <v>8692</v>
      </c>
      <c r="J1074" s="20" t="s">
        <v>2860</v>
      </c>
      <c r="K1074" s="20" t="s">
        <v>10013</v>
      </c>
      <c r="L1074" s="3">
        <v>31</v>
      </c>
      <c r="M1074" s="3" t="s">
        <v>8686</v>
      </c>
      <c r="N1074" s="3" t="str">
        <f>HYPERLINK("http://ictvonline.org/taxonomyHistory.asp?taxnode_id=20165098","ICTVonline=20165098")</f>
        <v>ICTVonline=20165098</v>
      </c>
    </row>
    <row r="1075" spans="1:14" x14ac:dyDescent="0.15">
      <c r="A1075" s="3">
        <v>1074</v>
      </c>
      <c r="B1075" s="1" t="s">
        <v>1366</v>
      </c>
      <c r="C1075" s="1" t="s">
        <v>920</v>
      </c>
      <c r="E1075" s="1" t="s">
        <v>8693</v>
      </c>
      <c r="F1075" s="1" t="s">
        <v>8694</v>
      </c>
      <c r="G1075" s="3">
        <v>0</v>
      </c>
      <c r="H1075" s="20" t="s">
        <v>8695</v>
      </c>
      <c r="I1075" s="20" t="s">
        <v>8696</v>
      </c>
      <c r="J1075" s="20" t="s">
        <v>2860</v>
      </c>
      <c r="K1075" s="20" t="s">
        <v>10013</v>
      </c>
      <c r="L1075" s="3">
        <v>31</v>
      </c>
      <c r="M1075" s="3" t="s">
        <v>8697</v>
      </c>
      <c r="N1075" s="3" t="str">
        <f>HYPERLINK("http://ictvonline.org/taxonomyHistory.asp?taxnode_id=20165099","ICTVonline=20165099")</f>
        <v>ICTVonline=20165099</v>
      </c>
    </row>
    <row r="1076" spans="1:14" x14ac:dyDescent="0.15">
      <c r="A1076" s="3">
        <v>1075</v>
      </c>
      <c r="B1076" s="1" t="s">
        <v>1366</v>
      </c>
      <c r="C1076" s="1" t="s">
        <v>920</v>
      </c>
      <c r="E1076" s="1" t="s">
        <v>8693</v>
      </c>
      <c r="F1076" s="1" t="s">
        <v>8698</v>
      </c>
      <c r="G1076" s="3">
        <v>1</v>
      </c>
      <c r="H1076" s="20" t="s">
        <v>8699</v>
      </c>
      <c r="I1076" s="20" t="s">
        <v>8700</v>
      </c>
      <c r="J1076" s="20" t="s">
        <v>2860</v>
      </c>
      <c r="K1076" s="20" t="s">
        <v>10013</v>
      </c>
      <c r="L1076" s="3">
        <v>31</v>
      </c>
      <c r="M1076" s="3" t="s">
        <v>8697</v>
      </c>
      <c r="N1076" s="3" t="str">
        <f>HYPERLINK("http://ictvonline.org/taxonomyHistory.asp?taxnode_id=20165100","ICTVonline=20165100")</f>
        <v>ICTVonline=20165100</v>
      </c>
    </row>
    <row r="1077" spans="1:14" x14ac:dyDescent="0.15">
      <c r="A1077" s="3">
        <v>1076</v>
      </c>
      <c r="B1077" s="1" t="s">
        <v>1366</v>
      </c>
      <c r="C1077" s="1" t="s">
        <v>920</v>
      </c>
      <c r="E1077" s="1" t="s">
        <v>4214</v>
      </c>
      <c r="F1077" s="1" t="s">
        <v>4215</v>
      </c>
      <c r="G1077" s="3">
        <v>0</v>
      </c>
      <c r="H1077" s="20" t="s">
        <v>3132</v>
      </c>
      <c r="J1077" s="20" t="s">
        <v>2860</v>
      </c>
      <c r="K1077" s="20" t="s">
        <v>10014</v>
      </c>
      <c r="L1077" s="3">
        <v>30</v>
      </c>
      <c r="M1077" s="3" t="s">
        <v>10017</v>
      </c>
      <c r="N1077" s="3" t="str">
        <f>HYPERLINK("http://ictvonline.org/taxonomyHistory.asp?taxnode_id=20160791","ICTVonline=20160791")</f>
        <v>ICTVonline=20160791</v>
      </c>
    </row>
    <row r="1078" spans="1:14" x14ac:dyDescent="0.15">
      <c r="A1078" s="3">
        <v>1077</v>
      </c>
      <c r="B1078" s="1" t="s">
        <v>1366</v>
      </c>
      <c r="C1078" s="1" t="s">
        <v>920</v>
      </c>
      <c r="E1078" s="1" t="s">
        <v>4214</v>
      </c>
      <c r="F1078" s="1" t="s">
        <v>4216</v>
      </c>
      <c r="G1078" s="3">
        <v>0</v>
      </c>
      <c r="H1078" s="20" t="s">
        <v>3133</v>
      </c>
      <c r="J1078" s="20" t="s">
        <v>2860</v>
      </c>
      <c r="K1078" s="20" t="s">
        <v>10014</v>
      </c>
      <c r="L1078" s="3">
        <v>30</v>
      </c>
      <c r="M1078" s="3" t="s">
        <v>10017</v>
      </c>
      <c r="N1078" s="3" t="str">
        <f>HYPERLINK("http://ictvonline.org/taxonomyHistory.asp?taxnode_id=20160792","ICTVonline=20160792")</f>
        <v>ICTVonline=20160792</v>
      </c>
    </row>
    <row r="1079" spans="1:14" x14ac:dyDescent="0.15">
      <c r="A1079" s="3">
        <v>1078</v>
      </c>
      <c r="B1079" s="1" t="s">
        <v>1366</v>
      </c>
      <c r="C1079" s="1" t="s">
        <v>920</v>
      </c>
      <c r="E1079" s="1" t="s">
        <v>4214</v>
      </c>
      <c r="F1079" s="1" t="s">
        <v>4217</v>
      </c>
      <c r="G1079" s="3">
        <v>0</v>
      </c>
      <c r="H1079" s="20" t="s">
        <v>3134</v>
      </c>
      <c r="J1079" s="20" t="s">
        <v>2860</v>
      </c>
      <c r="K1079" s="20" t="s">
        <v>10014</v>
      </c>
      <c r="L1079" s="3">
        <v>30</v>
      </c>
      <c r="M1079" s="3" t="s">
        <v>10017</v>
      </c>
      <c r="N1079" s="3" t="str">
        <f>HYPERLINK("http://ictvonline.org/taxonomyHistory.asp?taxnode_id=20160793","ICTVonline=20160793")</f>
        <v>ICTVonline=20160793</v>
      </c>
    </row>
    <row r="1080" spans="1:14" x14ac:dyDescent="0.15">
      <c r="A1080" s="3">
        <v>1079</v>
      </c>
      <c r="B1080" s="1" t="s">
        <v>1366</v>
      </c>
      <c r="C1080" s="1" t="s">
        <v>920</v>
      </c>
      <c r="E1080" s="1" t="s">
        <v>4214</v>
      </c>
      <c r="F1080" s="1" t="s">
        <v>10475</v>
      </c>
      <c r="G1080" s="3">
        <v>0</v>
      </c>
      <c r="H1080" s="20" t="s">
        <v>3135</v>
      </c>
      <c r="J1080" s="20" t="s">
        <v>2860</v>
      </c>
      <c r="K1080" s="20" t="s">
        <v>10021</v>
      </c>
      <c r="L1080" s="3">
        <v>31</v>
      </c>
      <c r="M1080" s="3" t="s">
        <v>10043</v>
      </c>
      <c r="N1080" s="3" t="str">
        <f>HYPERLINK("http://ictvonline.org/taxonomyHistory.asp?taxnode_id=20160794","ICTVonline=20160794")</f>
        <v>ICTVonline=20160794</v>
      </c>
    </row>
    <row r="1081" spans="1:14" x14ac:dyDescent="0.15">
      <c r="A1081" s="3">
        <v>1080</v>
      </c>
      <c r="B1081" s="1" t="s">
        <v>1366</v>
      </c>
      <c r="C1081" s="1" t="s">
        <v>920</v>
      </c>
      <c r="E1081" s="1" t="s">
        <v>4214</v>
      </c>
      <c r="F1081" s="1" t="s">
        <v>4218</v>
      </c>
      <c r="G1081" s="3">
        <v>0</v>
      </c>
      <c r="H1081" s="20" t="s">
        <v>3136</v>
      </c>
      <c r="J1081" s="20" t="s">
        <v>2860</v>
      </c>
      <c r="K1081" s="20" t="s">
        <v>10014</v>
      </c>
      <c r="L1081" s="3">
        <v>30</v>
      </c>
      <c r="M1081" s="3" t="s">
        <v>10017</v>
      </c>
      <c r="N1081" s="3" t="str">
        <f>HYPERLINK("http://ictvonline.org/taxonomyHistory.asp?taxnode_id=20160795","ICTVonline=20160795")</f>
        <v>ICTVonline=20160795</v>
      </c>
    </row>
    <row r="1082" spans="1:14" x14ac:dyDescent="0.15">
      <c r="A1082" s="3">
        <v>1081</v>
      </c>
      <c r="B1082" s="1" t="s">
        <v>1366</v>
      </c>
      <c r="C1082" s="1" t="s">
        <v>920</v>
      </c>
      <c r="E1082" s="1" t="s">
        <v>4214</v>
      </c>
      <c r="F1082" s="1" t="s">
        <v>4219</v>
      </c>
      <c r="G1082" s="3">
        <v>0</v>
      </c>
      <c r="H1082" s="20" t="s">
        <v>3137</v>
      </c>
      <c r="J1082" s="20" t="s">
        <v>2860</v>
      </c>
      <c r="K1082" s="20" t="s">
        <v>10014</v>
      </c>
      <c r="L1082" s="3">
        <v>30</v>
      </c>
      <c r="M1082" s="3" t="s">
        <v>10017</v>
      </c>
      <c r="N1082" s="3" t="str">
        <f>HYPERLINK("http://ictvonline.org/taxonomyHistory.asp?taxnode_id=20160796","ICTVonline=20160796")</f>
        <v>ICTVonline=20160796</v>
      </c>
    </row>
    <row r="1083" spans="1:14" x14ac:dyDescent="0.15">
      <c r="A1083" s="3">
        <v>1082</v>
      </c>
      <c r="B1083" s="1" t="s">
        <v>1366</v>
      </c>
      <c r="C1083" s="1" t="s">
        <v>920</v>
      </c>
      <c r="E1083" s="1" t="s">
        <v>4214</v>
      </c>
      <c r="F1083" s="1" t="s">
        <v>4220</v>
      </c>
      <c r="G1083" s="3">
        <v>0</v>
      </c>
      <c r="H1083" s="20" t="s">
        <v>3138</v>
      </c>
      <c r="J1083" s="20" t="s">
        <v>2860</v>
      </c>
      <c r="K1083" s="20" t="s">
        <v>10014</v>
      </c>
      <c r="L1083" s="3">
        <v>30</v>
      </c>
      <c r="M1083" s="3" t="s">
        <v>10017</v>
      </c>
      <c r="N1083" s="3" t="str">
        <f>HYPERLINK("http://ictvonline.org/taxonomyHistory.asp?taxnode_id=20160797","ICTVonline=20160797")</f>
        <v>ICTVonline=20160797</v>
      </c>
    </row>
    <row r="1084" spans="1:14" x14ac:dyDescent="0.15">
      <c r="A1084" s="3">
        <v>1083</v>
      </c>
      <c r="B1084" s="1" t="s">
        <v>1366</v>
      </c>
      <c r="C1084" s="1" t="s">
        <v>920</v>
      </c>
      <c r="E1084" s="1" t="s">
        <v>4214</v>
      </c>
      <c r="F1084" s="1" t="s">
        <v>4221</v>
      </c>
      <c r="G1084" s="3">
        <v>0</v>
      </c>
      <c r="H1084" s="20" t="s">
        <v>3139</v>
      </c>
      <c r="J1084" s="20" t="s">
        <v>2860</v>
      </c>
      <c r="K1084" s="20" t="s">
        <v>10014</v>
      </c>
      <c r="L1084" s="3">
        <v>30</v>
      </c>
      <c r="M1084" s="3" t="s">
        <v>10017</v>
      </c>
      <c r="N1084" s="3" t="str">
        <f>HYPERLINK("http://ictvonline.org/taxonomyHistory.asp?taxnode_id=20160798","ICTVonline=20160798")</f>
        <v>ICTVonline=20160798</v>
      </c>
    </row>
    <row r="1085" spans="1:14" x14ac:dyDescent="0.15">
      <c r="A1085" s="3">
        <v>1084</v>
      </c>
      <c r="B1085" s="1" t="s">
        <v>1366</v>
      </c>
      <c r="C1085" s="1" t="s">
        <v>920</v>
      </c>
      <c r="E1085" s="1" t="s">
        <v>4214</v>
      </c>
      <c r="F1085" s="1" t="s">
        <v>4222</v>
      </c>
      <c r="G1085" s="3">
        <v>1</v>
      </c>
      <c r="H1085" s="20" t="s">
        <v>3140</v>
      </c>
      <c r="J1085" s="20" t="s">
        <v>2860</v>
      </c>
      <c r="K1085" s="20" t="s">
        <v>10014</v>
      </c>
      <c r="L1085" s="3">
        <v>30</v>
      </c>
      <c r="M1085" s="3" t="s">
        <v>10017</v>
      </c>
      <c r="N1085" s="3" t="str">
        <f>HYPERLINK("http://ictvonline.org/taxonomyHistory.asp?taxnode_id=20160799","ICTVonline=20160799")</f>
        <v>ICTVonline=20160799</v>
      </c>
    </row>
    <row r="1086" spans="1:14" x14ac:dyDescent="0.15">
      <c r="A1086" s="3">
        <v>1085</v>
      </c>
      <c r="B1086" s="1" t="s">
        <v>1366</v>
      </c>
      <c r="C1086" s="1" t="s">
        <v>920</v>
      </c>
      <c r="E1086" s="1" t="s">
        <v>4223</v>
      </c>
      <c r="F1086" s="1" t="s">
        <v>4224</v>
      </c>
      <c r="G1086" s="3">
        <v>0</v>
      </c>
      <c r="H1086" s="20" t="s">
        <v>3141</v>
      </c>
      <c r="J1086" s="20" t="s">
        <v>2860</v>
      </c>
      <c r="K1086" s="20" t="s">
        <v>10014</v>
      </c>
      <c r="L1086" s="3">
        <v>30</v>
      </c>
      <c r="M1086" s="3" t="s">
        <v>10017</v>
      </c>
      <c r="N1086" s="3" t="str">
        <f>HYPERLINK("http://ictvonline.org/taxonomyHistory.asp?taxnode_id=20160801","ICTVonline=20160801")</f>
        <v>ICTVonline=20160801</v>
      </c>
    </row>
    <row r="1087" spans="1:14" x14ac:dyDescent="0.15">
      <c r="A1087" s="3">
        <v>1086</v>
      </c>
      <c r="B1087" s="1" t="s">
        <v>1366</v>
      </c>
      <c r="C1087" s="1" t="s">
        <v>920</v>
      </c>
      <c r="E1087" s="1" t="s">
        <v>4223</v>
      </c>
      <c r="F1087" s="1" t="s">
        <v>4225</v>
      </c>
      <c r="G1087" s="3">
        <v>1</v>
      </c>
      <c r="H1087" s="20" t="s">
        <v>3142</v>
      </c>
      <c r="J1087" s="20" t="s">
        <v>2860</v>
      </c>
      <c r="K1087" s="20" t="s">
        <v>10014</v>
      </c>
      <c r="L1087" s="3">
        <v>30</v>
      </c>
      <c r="M1087" s="3" t="s">
        <v>10017</v>
      </c>
      <c r="N1087" s="3" t="str">
        <f>HYPERLINK("http://ictvonline.org/taxonomyHistory.asp?taxnode_id=20160802","ICTVonline=20160802")</f>
        <v>ICTVonline=20160802</v>
      </c>
    </row>
    <row r="1088" spans="1:14" x14ac:dyDescent="0.15">
      <c r="A1088" s="3">
        <v>1087</v>
      </c>
      <c r="B1088" s="1" t="s">
        <v>1366</v>
      </c>
      <c r="C1088" s="1" t="s">
        <v>920</v>
      </c>
      <c r="E1088" s="1" t="s">
        <v>4226</v>
      </c>
      <c r="F1088" s="1" t="s">
        <v>4227</v>
      </c>
      <c r="G1088" s="3">
        <v>0</v>
      </c>
      <c r="H1088" s="20" t="s">
        <v>2867</v>
      </c>
      <c r="J1088" s="20" t="s">
        <v>2860</v>
      </c>
      <c r="K1088" s="20" t="s">
        <v>10014</v>
      </c>
      <c r="L1088" s="3">
        <v>30</v>
      </c>
      <c r="M1088" s="3" t="s">
        <v>10017</v>
      </c>
      <c r="N1088" s="3" t="str">
        <f>HYPERLINK("http://ictvonline.org/taxonomyHistory.asp?taxnode_id=20160804","ICTVonline=20160804")</f>
        <v>ICTVonline=20160804</v>
      </c>
    </row>
    <row r="1089" spans="1:14" x14ac:dyDescent="0.15">
      <c r="A1089" s="3">
        <v>1088</v>
      </c>
      <c r="B1089" s="1" t="s">
        <v>1366</v>
      </c>
      <c r="C1089" s="1" t="s">
        <v>920</v>
      </c>
      <c r="E1089" s="1" t="s">
        <v>4226</v>
      </c>
      <c r="F1089" s="1" t="s">
        <v>4228</v>
      </c>
      <c r="G1089" s="3">
        <v>1</v>
      </c>
      <c r="H1089" s="20" t="s">
        <v>2868</v>
      </c>
      <c r="J1089" s="20" t="s">
        <v>2860</v>
      </c>
      <c r="K1089" s="20" t="s">
        <v>10014</v>
      </c>
      <c r="L1089" s="3">
        <v>30</v>
      </c>
      <c r="M1089" s="3" t="s">
        <v>10017</v>
      </c>
      <c r="N1089" s="3" t="str">
        <f>HYPERLINK("http://ictvonline.org/taxonomyHistory.asp?taxnode_id=20160805","ICTVonline=20160805")</f>
        <v>ICTVonline=20160805</v>
      </c>
    </row>
    <row r="1090" spans="1:14" x14ac:dyDescent="0.15">
      <c r="A1090" s="3">
        <v>1089</v>
      </c>
      <c r="B1090" s="1" t="s">
        <v>1366</v>
      </c>
      <c r="C1090" s="1" t="s">
        <v>920</v>
      </c>
      <c r="E1090" s="1" t="s">
        <v>4226</v>
      </c>
      <c r="F1090" s="1" t="s">
        <v>4229</v>
      </c>
      <c r="G1090" s="3">
        <v>0</v>
      </c>
      <c r="H1090" s="20" t="s">
        <v>2869</v>
      </c>
      <c r="J1090" s="20" t="s">
        <v>2860</v>
      </c>
      <c r="K1090" s="20" t="s">
        <v>10014</v>
      </c>
      <c r="L1090" s="3">
        <v>30</v>
      </c>
      <c r="M1090" s="3" t="s">
        <v>10017</v>
      </c>
      <c r="N1090" s="3" t="str">
        <f>HYPERLINK("http://ictvonline.org/taxonomyHistory.asp?taxnode_id=20160806","ICTVonline=20160806")</f>
        <v>ICTVonline=20160806</v>
      </c>
    </row>
    <row r="1091" spans="1:14" x14ac:dyDescent="0.15">
      <c r="A1091" s="3">
        <v>1090</v>
      </c>
      <c r="B1091" s="1" t="s">
        <v>1366</v>
      </c>
      <c r="C1091" s="1" t="s">
        <v>920</v>
      </c>
      <c r="E1091" s="1" t="s">
        <v>4226</v>
      </c>
      <c r="F1091" s="1" t="s">
        <v>4230</v>
      </c>
      <c r="G1091" s="3">
        <v>0</v>
      </c>
      <c r="H1091" s="20" t="s">
        <v>2870</v>
      </c>
      <c r="J1091" s="20" t="s">
        <v>2860</v>
      </c>
      <c r="K1091" s="20" t="s">
        <v>10014</v>
      </c>
      <c r="L1091" s="3">
        <v>30</v>
      </c>
      <c r="M1091" s="3" t="s">
        <v>10017</v>
      </c>
      <c r="N1091" s="3" t="str">
        <f>HYPERLINK("http://ictvonline.org/taxonomyHistory.asp?taxnode_id=20160807","ICTVonline=20160807")</f>
        <v>ICTVonline=20160807</v>
      </c>
    </row>
    <row r="1092" spans="1:14" x14ac:dyDescent="0.15">
      <c r="A1092" s="3">
        <v>1091</v>
      </c>
      <c r="B1092" s="1" t="s">
        <v>1366</v>
      </c>
      <c r="C1092" s="1" t="s">
        <v>920</v>
      </c>
      <c r="E1092" s="1" t="s">
        <v>4226</v>
      </c>
      <c r="F1092" s="1" t="s">
        <v>4231</v>
      </c>
      <c r="G1092" s="3">
        <v>0</v>
      </c>
      <c r="H1092" s="20" t="s">
        <v>2871</v>
      </c>
      <c r="J1092" s="20" t="s">
        <v>2860</v>
      </c>
      <c r="K1092" s="20" t="s">
        <v>10014</v>
      </c>
      <c r="L1092" s="3">
        <v>30</v>
      </c>
      <c r="M1092" s="3" t="s">
        <v>10017</v>
      </c>
      <c r="N1092" s="3" t="str">
        <f>HYPERLINK("http://ictvonline.org/taxonomyHistory.asp?taxnode_id=20160808","ICTVonline=20160808")</f>
        <v>ICTVonline=20160808</v>
      </c>
    </row>
    <row r="1093" spans="1:14" x14ac:dyDescent="0.15">
      <c r="A1093" s="3">
        <v>1092</v>
      </c>
      <c r="B1093" s="1" t="s">
        <v>1366</v>
      </c>
      <c r="C1093" s="1" t="s">
        <v>920</v>
      </c>
      <c r="E1093" s="1" t="s">
        <v>4226</v>
      </c>
      <c r="F1093" s="1" t="s">
        <v>4232</v>
      </c>
      <c r="G1093" s="3">
        <v>0</v>
      </c>
      <c r="H1093" s="20" t="s">
        <v>2872</v>
      </c>
      <c r="J1093" s="20" t="s">
        <v>2860</v>
      </c>
      <c r="K1093" s="20" t="s">
        <v>10014</v>
      </c>
      <c r="L1093" s="3">
        <v>30</v>
      </c>
      <c r="M1093" s="3" t="s">
        <v>10017</v>
      </c>
      <c r="N1093" s="3" t="str">
        <f>HYPERLINK("http://ictvonline.org/taxonomyHistory.asp?taxnode_id=20160809","ICTVonline=20160809")</f>
        <v>ICTVonline=20160809</v>
      </c>
    </row>
    <row r="1094" spans="1:14" x14ac:dyDescent="0.15">
      <c r="A1094" s="3">
        <v>1093</v>
      </c>
      <c r="B1094" s="1" t="s">
        <v>1366</v>
      </c>
      <c r="C1094" s="1" t="s">
        <v>920</v>
      </c>
      <c r="E1094" s="1" t="s">
        <v>926</v>
      </c>
      <c r="F1094" s="1" t="s">
        <v>4002</v>
      </c>
      <c r="G1094" s="3">
        <v>0</v>
      </c>
      <c r="H1094" s="20" t="s">
        <v>3029</v>
      </c>
      <c r="J1094" s="20" t="s">
        <v>2860</v>
      </c>
      <c r="K1094" s="20" t="s">
        <v>10016</v>
      </c>
      <c r="L1094" s="3">
        <v>31</v>
      </c>
      <c r="M1094" s="3" t="s">
        <v>10063</v>
      </c>
      <c r="N1094" s="3" t="str">
        <f>HYPERLINK("http://ictvonline.org/taxonomyHistory.asp?taxnode_id=20160612","ICTVonline=20160612")</f>
        <v>ICTVonline=20160612</v>
      </c>
    </row>
    <row r="1095" spans="1:14" x14ac:dyDescent="0.15">
      <c r="A1095" s="3">
        <v>1094</v>
      </c>
      <c r="B1095" s="1" t="s">
        <v>1366</v>
      </c>
      <c r="C1095" s="1" t="s">
        <v>920</v>
      </c>
      <c r="E1095" s="1" t="s">
        <v>8701</v>
      </c>
      <c r="F1095" s="1" t="s">
        <v>8702</v>
      </c>
      <c r="G1095" s="3">
        <v>1</v>
      </c>
      <c r="H1095" s="20" t="s">
        <v>8703</v>
      </c>
      <c r="I1095" s="20" t="s">
        <v>8704</v>
      </c>
      <c r="J1095" s="20" t="s">
        <v>2860</v>
      </c>
      <c r="K1095" s="20" t="s">
        <v>10013</v>
      </c>
      <c r="L1095" s="3">
        <v>31</v>
      </c>
      <c r="M1095" s="3" t="s">
        <v>8705</v>
      </c>
      <c r="N1095" s="3" t="str">
        <f>HYPERLINK("http://ictvonline.org/taxonomyHistory.asp?taxnode_id=20165101","ICTVonline=20165101")</f>
        <v>ICTVonline=20165101</v>
      </c>
    </row>
    <row r="1096" spans="1:14" x14ac:dyDescent="0.15">
      <c r="A1096" s="3">
        <v>1095</v>
      </c>
      <c r="B1096" s="1" t="s">
        <v>1366</v>
      </c>
      <c r="C1096" s="1" t="s">
        <v>920</v>
      </c>
      <c r="E1096" s="1" t="s">
        <v>8706</v>
      </c>
      <c r="F1096" s="1" t="s">
        <v>8707</v>
      </c>
      <c r="G1096" s="3">
        <v>1</v>
      </c>
      <c r="H1096" s="20" t="s">
        <v>8708</v>
      </c>
      <c r="I1096" s="20" t="s">
        <v>8709</v>
      </c>
      <c r="J1096" s="20" t="s">
        <v>2860</v>
      </c>
      <c r="K1096" s="20" t="s">
        <v>10013</v>
      </c>
      <c r="L1096" s="3">
        <v>31</v>
      </c>
      <c r="M1096" s="3" t="s">
        <v>8710</v>
      </c>
      <c r="N1096" s="3" t="str">
        <f>HYPERLINK("http://ictvonline.org/taxonomyHistory.asp?taxnode_id=20165102","ICTVonline=20165102")</f>
        <v>ICTVonline=20165102</v>
      </c>
    </row>
    <row r="1097" spans="1:14" x14ac:dyDescent="0.15">
      <c r="A1097" s="3">
        <v>1096</v>
      </c>
      <c r="B1097" s="1" t="s">
        <v>1366</v>
      </c>
      <c r="C1097" s="1" t="s">
        <v>920</v>
      </c>
      <c r="E1097" s="1" t="s">
        <v>4233</v>
      </c>
      <c r="F1097" s="1" t="s">
        <v>4234</v>
      </c>
      <c r="G1097" s="3">
        <v>1</v>
      </c>
      <c r="H1097" s="20" t="s">
        <v>3143</v>
      </c>
      <c r="J1097" s="20" t="s">
        <v>2860</v>
      </c>
      <c r="K1097" s="20" t="s">
        <v>10014</v>
      </c>
      <c r="L1097" s="3">
        <v>30</v>
      </c>
      <c r="M1097" s="3" t="s">
        <v>10017</v>
      </c>
      <c r="N1097" s="3" t="str">
        <f>HYPERLINK("http://ictvonline.org/taxonomyHistory.asp?taxnode_id=20160811","ICTVonline=20160811")</f>
        <v>ICTVonline=20160811</v>
      </c>
    </row>
    <row r="1098" spans="1:14" x14ac:dyDescent="0.15">
      <c r="A1098" s="3">
        <v>1097</v>
      </c>
      <c r="B1098" s="1" t="s">
        <v>1366</v>
      </c>
      <c r="C1098" s="1" t="s">
        <v>920</v>
      </c>
      <c r="E1098" s="1" t="s">
        <v>8711</v>
      </c>
      <c r="F1098" s="1" t="s">
        <v>8712</v>
      </c>
      <c r="G1098" s="3">
        <v>1</v>
      </c>
      <c r="H1098" s="20" t="s">
        <v>8713</v>
      </c>
      <c r="I1098" s="20" t="s">
        <v>8714</v>
      </c>
      <c r="J1098" s="20" t="s">
        <v>2860</v>
      </c>
      <c r="K1098" s="20" t="s">
        <v>10013</v>
      </c>
      <c r="L1098" s="3">
        <v>31</v>
      </c>
      <c r="M1098" s="3" t="s">
        <v>8715</v>
      </c>
      <c r="N1098" s="3" t="str">
        <f>HYPERLINK("http://ictvonline.org/taxonomyHistory.asp?taxnode_id=20165103","ICTVonline=20165103")</f>
        <v>ICTVonline=20165103</v>
      </c>
    </row>
    <row r="1099" spans="1:14" x14ac:dyDescent="0.15">
      <c r="A1099" s="3">
        <v>1098</v>
      </c>
      <c r="B1099" s="1" t="s">
        <v>1366</v>
      </c>
      <c r="C1099" s="1" t="s">
        <v>920</v>
      </c>
      <c r="E1099" s="1" t="s">
        <v>8716</v>
      </c>
      <c r="F1099" s="1" t="s">
        <v>8717</v>
      </c>
      <c r="G1099" s="3">
        <v>0</v>
      </c>
      <c r="H1099" s="20" t="s">
        <v>8718</v>
      </c>
      <c r="I1099" s="20" t="s">
        <v>8719</v>
      </c>
      <c r="J1099" s="20" t="s">
        <v>2860</v>
      </c>
      <c r="K1099" s="20" t="s">
        <v>10013</v>
      </c>
      <c r="L1099" s="3">
        <v>31</v>
      </c>
      <c r="M1099" s="3" t="s">
        <v>8720</v>
      </c>
      <c r="N1099" s="3" t="str">
        <f>HYPERLINK("http://ictvonline.org/taxonomyHistory.asp?taxnode_id=20165104","ICTVonline=20165104")</f>
        <v>ICTVonline=20165104</v>
      </c>
    </row>
    <row r="1100" spans="1:14" x14ac:dyDescent="0.15">
      <c r="A1100" s="3">
        <v>1099</v>
      </c>
      <c r="B1100" s="1" t="s">
        <v>1366</v>
      </c>
      <c r="C1100" s="1" t="s">
        <v>920</v>
      </c>
      <c r="E1100" s="1" t="s">
        <v>8716</v>
      </c>
      <c r="F1100" s="1" t="s">
        <v>8721</v>
      </c>
      <c r="G1100" s="3">
        <v>0</v>
      </c>
      <c r="H1100" s="20" t="s">
        <v>8722</v>
      </c>
      <c r="I1100" s="20" t="s">
        <v>8723</v>
      </c>
      <c r="J1100" s="20" t="s">
        <v>2860</v>
      </c>
      <c r="K1100" s="20" t="s">
        <v>10013</v>
      </c>
      <c r="L1100" s="3">
        <v>31</v>
      </c>
      <c r="M1100" s="3" t="s">
        <v>8720</v>
      </c>
      <c r="N1100" s="3" t="str">
        <f>HYPERLINK("http://ictvonline.org/taxonomyHistory.asp?taxnode_id=20165105","ICTVonline=20165105")</f>
        <v>ICTVonline=20165105</v>
      </c>
    </row>
    <row r="1101" spans="1:14" x14ac:dyDescent="0.15">
      <c r="A1101" s="3">
        <v>1100</v>
      </c>
      <c r="B1101" s="1" t="s">
        <v>1366</v>
      </c>
      <c r="C1101" s="1" t="s">
        <v>920</v>
      </c>
      <c r="E1101" s="1" t="s">
        <v>8716</v>
      </c>
      <c r="F1101" s="1" t="s">
        <v>8724</v>
      </c>
      <c r="G1101" s="3">
        <v>1</v>
      </c>
      <c r="H1101" s="20" t="s">
        <v>8725</v>
      </c>
      <c r="I1101" s="20" t="s">
        <v>8726</v>
      </c>
      <c r="J1101" s="20" t="s">
        <v>2860</v>
      </c>
      <c r="K1101" s="20" t="s">
        <v>10013</v>
      </c>
      <c r="L1101" s="3">
        <v>31</v>
      </c>
      <c r="M1101" s="3" t="s">
        <v>8720</v>
      </c>
      <c r="N1101" s="3" t="str">
        <f>HYPERLINK("http://ictvonline.org/taxonomyHistory.asp?taxnode_id=20165106","ICTVonline=20165106")</f>
        <v>ICTVonline=20165106</v>
      </c>
    </row>
    <row r="1102" spans="1:14" x14ac:dyDescent="0.15">
      <c r="A1102" s="3">
        <v>1101</v>
      </c>
      <c r="B1102" s="1" t="s">
        <v>1366</v>
      </c>
      <c r="C1102" s="1" t="s">
        <v>920</v>
      </c>
      <c r="E1102" s="1" t="s">
        <v>4235</v>
      </c>
      <c r="F1102" s="1" t="s">
        <v>4236</v>
      </c>
      <c r="G1102" s="3">
        <v>0</v>
      </c>
      <c r="H1102" s="20" t="s">
        <v>3144</v>
      </c>
      <c r="J1102" s="20" t="s">
        <v>2860</v>
      </c>
      <c r="K1102" s="20" t="s">
        <v>10014</v>
      </c>
      <c r="L1102" s="3">
        <v>30</v>
      </c>
      <c r="M1102" s="3" t="s">
        <v>10017</v>
      </c>
      <c r="N1102" s="3" t="str">
        <f>HYPERLINK("http://ictvonline.org/taxonomyHistory.asp?taxnode_id=20160813","ICTVonline=20160813")</f>
        <v>ICTVonline=20160813</v>
      </c>
    </row>
    <row r="1103" spans="1:14" x14ac:dyDescent="0.15">
      <c r="A1103" s="3">
        <v>1102</v>
      </c>
      <c r="B1103" s="1" t="s">
        <v>1366</v>
      </c>
      <c r="C1103" s="1" t="s">
        <v>920</v>
      </c>
      <c r="E1103" s="1" t="s">
        <v>4235</v>
      </c>
      <c r="F1103" s="1" t="s">
        <v>4237</v>
      </c>
      <c r="G1103" s="3">
        <v>0</v>
      </c>
      <c r="H1103" s="20" t="s">
        <v>3145</v>
      </c>
      <c r="J1103" s="20" t="s">
        <v>2860</v>
      </c>
      <c r="K1103" s="20" t="s">
        <v>10014</v>
      </c>
      <c r="L1103" s="3">
        <v>30</v>
      </c>
      <c r="M1103" s="3" t="s">
        <v>10017</v>
      </c>
      <c r="N1103" s="3" t="str">
        <f>HYPERLINK("http://ictvonline.org/taxonomyHistory.asp?taxnode_id=20160814","ICTVonline=20160814")</f>
        <v>ICTVonline=20160814</v>
      </c>
    </row>
    <row r="1104" spans="1:14" x14ac:dyDescent="0.15">
      <c r="A1104" s="3">
        <v>1103</v>
      </c>
      <c r="B1104" s="1" t="s">
        <v>1366</v>
      </c>
      <c r="C1104" s="1" t="s">
        <v>920</v>
      </c>
      <c r="E1104" s="1" t="s">
        <v>4235</v>
      </c>
      <c r="F1104" s="1" t="s">
        <v>4238</v>
      </c>
      <c r="G1104" s="3">
        <v>0</v>
      </c>
      <c r="H1104" s="20" t="s">
        <v>3146</v>
      </c>
      <c r="J1104" s="20" t="s">
        <v>2860</v>
      </c>
      <c r="K1104" s="20" t="s">
        <v>10014</v>
      </c>
      <c r="L1104" s="3">
        <v>30</v>
      </c>
      <c r="M1104" s="3" t="s">
        <v>10017</v>
      </c>
      <c r="N1104" s="3" t="str">
        <f>HYPERLINK("http://ictvonline.org/taxonomyHistory.asp?taxnode_id=20160815","ICTVonline=20160815")</f>
        <v>ICTVonline=20160815</v>
      </c>
    </row>
    <row r="1105" spans="1:14" x14ac:dyDescent="0.15">
      <c r="A1105" s="3">
        <v>1104</v>
      </c>
      <c r="B1105" s="1" t="s">
        <v>1366</v>
      </c>
      <c r="C1105" s="1" t="s">
        <v>920</v>
      </c>
      <c r="E1105" s="1" t="s">
        <v>4235</v>
      </c>
      <c r="F1105" s="1" t="s">
        <v>4239</v>
      </c>
      <c r="G1105" s="3">
        <v>0</v>
      </c>
      <c r="H1105" s="20" t="s">
        <v>3147</v>
      </c>
      <c r="J1105" s="20" t="s">
        <v>2860</v>
      </c>
      <c r="K1105" s="20" t="s">
        <v>10014</v>
      </c>
      <c r="L1105" s="3">
        <v>30</v>
      </c>
      <c r="M1105" s="3" t="s">
        <v>10017</v>
      </c>
      <c r="N1105" s="3" t="str">
        <f>HYPERLINK("http://ictvonline.org/taxonomyHistory.asp?taxnode_id=20160816","ICTVonline=20160816")</f>
        <v>ICTVonline=20160816</v>
      </c>
    </row>
    <row r="1106" spans="1:14" x14ac:dyDescent="0.15">
      <c r="A1106" s="3">
        <v>1105</v>
      </c>
      <c r="B1106" s="1" t="s">
        <v>1366</v>
      </c>
      <c r="C1106" s="1" t="s">
        <v>920</v>
      </c>
      <c r="E1106" s="1" t="s">
        <v>4235</v>
      </c>
      <c r="F1106" s="1" t="s">
        <v>4240</v>
      </c>
      <c r="G1106" s="3">
        <v>1</v>
      </c>
      <c r="H1106" s="20" t="s">
        <v>3148</v>
      </c>
      <c r="J1106" s="20" t="s">
        <v>2860</v>
      </c>
      <c r="K1106" s="20" t="s">
        <v>10014</v>
      </c>
      <c r="L1106" s="3">
        <v>30</v>
      </c>
      <c r="M1106" s="3" t="s">
        <v>10017</v>
      </c>
      <c r="N1106" s="3" t="str">
        <f>HYPERLINK("http://ictvonline.org/taxonomyHistory.asp?taxnode_id=20160817","ICTVonline=20160817")</f>
        <v>ICTVonline=20160817</v>
      </c>
    </row>
    <row r="1107" spans="1:14" x14ac:dyDescent="0.15">
      <c r="A1107" s="3">
        <v>1106</v>
      </c>
      <c r="B1107" s="1" t="s">
        <v>1366</v>
      </c>
      <c r="C1107" s="1" t="s">
        <v>920</v>
      </c>
      <c r="E1107" s="1" t="s">
        <v>8727</v>
      </c>
      <c r="F1107" s="1" t="s">
        <v>8728</v>
      </c>
      <c r="G1107" s="3">
        <v>0</v>
      </c>
      <c r="H1107" s="20" t="s">
        <v>8729</v>
      </c>
      <c r="I1107" s="20" t="s">
        <v>8730</v>
      </c>
      <c r="J1107" s="20" t="s">
        <v>2860</v>
      </c>
      <c r="K1107" s="20" t="s">
        <v>10013</v>
      </c>
      <c r="L1107" s="3">
        <v>31</v>
      </c>
      <c r="M1107" s="3" t="s">
        <v>8731</v>
      </c>
      <c r="N1107" s="3" t="str">
        <f>HYPERLINK("http://ictvonline.org/taxonomyHistory.asp?taxnode_id=20165107","ICTVonline=20165107")</f>
        <v>ICTVonline=20165107</v>
      </c>
    </row>
    <row r="1108" spans="1:14" x14ac:dyDescent="0.15">
      <c r="A1108" s="3">
        <v>1107</v>
      </c>
      <c r="B1108" s="1" t="s">
        <v>1366</v>
      </c>
      <c r="C1108" s="1" t="s">
        <v>920</v>
      </c>
      <c r="E1108" s="1" t="s">
        <v>8727</v>
      </c>
      <c r="F1108" s="1" t="s">
        <v>8732</v>
      </c>
      <c r="G1108" s="3">
        <v>1</v>
      </c>
      <c r="H1108" s="20" t="s">
        <v>8733</v>
      </c>
      <c r="I1108" s="20" t="s">
        <v>8734</v>
      </c>
      <c r="J1108" s="20" t="s">
        <v>2860</v>
      </c>
      <c r="K1108" s="20" t="s">
        <v>10013</v>
      </c>
      <c r="L1108" s="3">
        <v>31</v>
      </c>
      <c r="M1108" s="3" t="s">
        <v>8731</v>
      </c>
      <c r="N1108" s="3" t="str">
        <f>HYPERLINK("http://ictvonline.org/taxonomyHistory.asp?taxnode_id=20165108","ICTVonline=20165108")</f>
        <v>ICTVonline=20165108</v>
      </c>
    </row>
    <row r="1109" spans="1:14" x14ac:dyDescent="0.15">
      <c r="A1109" s="3">
        <v>1108</v>
      </c>
      <c r="B1109" s="1" t="s">
        <v>1366</v>
      </c>
      <c r="C1109" s="1" t="s">
        <v>920</v>
      </c>
      <c r="E1109" s="1" t="s">
        <v>4241</v>
      </c>
      <c r="F1109" s="1" t="s">
        <v>4242</v>
      </c>
      <c r="G1109" s="3">
        <v>0</v>
      </c>
      <c r="J1109" s="20" t="s">
        <v>2860</v>
      </c>
      <c r="K1109" s="20" t="s">
        <v>10014</v>
      </c>
      <c r="L1109" s="3">
        <v>30</v>
      </c>
      <c r="M1109" s="3" t="s">
        <v>10017</v>
      </c>
      <c r="N1109" s="3" t="str">
        <f>HYPERLINK("http://ictvonline.org/taxonomyHistory.asp?taxnode_id=20160819","ICTVonline=20160819")</f>
        <v>ICTVonline=20160819</v>
      </c>
    </row>
    <row r="1110" spans="1:14" x14ac:dyDescent="0.15">
      <c r="A1110" s="3">
        <v>1109</v>
      </c>
      <c r="B1110" s="1" t="s">
        <v>1366</v>
      </c>
      <c r="C1110" s="1" t="s">
        <v>920</v>
      </c>
      <c r="E1110" s="1" t="s">
        <v>4241</v>
      </c>
      <c r="F1110" s="1" t="s">
        <v>8735</v>
      </c>
      <c r="G1110" s="3">
        <v>0</v>
      </c>
      <c r="H1110" s="20" t="s">
        <v>8736</v>
      </c>
      <c r="I1110" s="20" t="s">
        <v>8737</v>
      </c>
      <c r="J1110" s="20" t="s">
        <v>2860</v>
      </c>
      <c r="K1110" s="20" t="s">
        <v>10013</v>
      </c>
      <c r="L1110" s="3">
        <v>31</v>
      </c>
      <c r="M1110" s="3" t="s">
        <v>7480</v>
      </c>
      <c r="N1110" s="3" t="str">
        <f>HYPERLINK("http://ictvonline.org/taxonomyHistory.asp?taxnode_id=20165109","ICTVonline=20165109")</f>
        <v>ICTVonline=20165109</v>
      </c>
    </row>
    <row r="1111" spans="1:14" x14ac:dyDescent="0.15">
      <c r="A1111" s="3">
        <v>1110</v>
      </c>
      <c r="B1111" s="1" t="s">
        <v>1366</v>
      </c>
      <c r="C1111" s="1" t="s">
        <v>920</v>
      </c>
      <c r="E1111" s="1" t="s">
        <v>4241</v>
      </c>
      <c r="F1111" s="1" t="s">
        <v>4243</v>
      </c>
      <c r="G1111" s="3">
        <v>0</v>
      </c>
      <c r="J1111" s="20" t="s">
        <v>2860</v>
      </c>
      <c r="K1111" s="20" t="s">
        <v>10014</v>
      </c>
      <c r="L1111" s="3">
        <v>30</v>
      </c>
      <c r="M1111" s="3" t="s">
        <v>10017</v>
      </c>
      <c r="N1111" s="3" t="str">
        <f>HYPERLINK("http://ictvonline.org/taxonomyHistory.asp?taxnode_id=20160820","ICTVonline=20160820")</f>
        <v>ICTVonline=20160820</v>
      </c>
    </row>
    <row r="1112" spans="1:14" x14ac:dyDescent="0.15">
      <c r="A1112" s="3">
        <v>1111</v>
      </c>
      <c r="B1112" s="1" t="s">
        <v>1366</v>
      </c>
      <c r="C1112" s="1" t="s">
        <v>920</v>
      </c>
      <c r="E1112" s="1" t="s">
        <v>4241</v>
      </c>
      <c r="F1112" s="1" t="s">
        <v>8738</v>
      </c>
      <c r="G1112" s="3">
        <v>0</v>
      </c>
      <c r="H1112" s="20" t="s">
        <v>8739</v>
      </c>
      <c r="I1112" s="20" t="s">
        <v>8740</v>
      </c>
      <c r="J1112" s="20" t="s">
        <v>2860</v>
      </c>
      <c r="K1112" s="20" t="s">
        <v>10013</v>
      </c>
      <c r="L1112" s="3">
        <v>31</v>
      </c>
      <c r="M1112" s="3" t="s">
        <v>7480</v>
      </c>
      <c r="N1112" s="3" t="str">
        <f>HYPERLINK("http://ictvonline.org/taxonomyHistory.asp?taxnode_id=20165110","ICTVonline=20165110")</f>
        <v>ICTVonline=20165110</v>
      </c>
    </row>
    <row r="1113" spans="1:14" x14ac:dyDescent="0.15">
      <c r="A1113" s="3">
        <v>1112</v>
      </c>
      <c r="B1113" s="1" t="s">
        <v>1366</v>
      </c>
      <c r="C1113" s="1" t="s">
        <v>920</v>
      </c>
      <c r="E1113" s="1" t="s">
        <v>4241</v>
      </c>
      <c r="F1113" s="1" t="s">
        <v>8741</v>
      </c>
      <c r="G1113" s="3">
        <v>0</v>
      </c>
      <c r="H1113" s="20" t="s">
        <v>8742</v>
      </c>
      <c r="I1113" s="20" t="s">
        <v>8743</v>
      </c>
      <c r="J1113" s="20" t="s">
        <v>2860</v>
      </c>
      <c r="K1113" s="20" t="s">
        <v>10013</v>
      </c>
      <c r="L1113" s="3">
        <v>31</v>
      </c>
      <c r="M1113" s="3" t="s">
        <v>7480</v>
      </c>
      <c r="N1113" s="3" t="str">
        <f>HYPERLINK("http://ictvonline.org/taxonomyHistory.asp?taxnode_id=20165111","ICTVonline=20165111")</f>
        <v>ICTVonline=20165111</v>
      </c>
    </row>
    <row r="1114" spans="1:14" x14ac:dyDescent="0.15">
      <c r="A1114" s="3">
        <v>1113</v>
      </c>
      <c r="B1114" s="1" t="s">
        <v>1366</v>
      </c>
      <c r="C1114" s="1" t="s">
        <v>920</v>
      </c>
      <c r="E1114" s="1" t="s">
        <v>4241</v>
      </c>
      <c r="F1114" s="1" t="s">
        <v>4244</v>
      </c>
      <c r="G1114" s="3">
        <v>1</v>
      </c>
      <c r="J1114" s="20" t="s">
        <v>2860</v>
      </c>
      <c r="K1114" s="20" t="s">
        <v>10014</v>
      </c>
      <c r="L1114" s="3">
        <v>30</v>
      </c>
      <c r="M1114" s="3" t="s">
        <v>10017</v>
      </c>
      <c r="N1114" s="3" t="str">
        <f>HYPERLINK("http://ictvonline.org/taxonomyHistory.asp?taxnode_id=20160821","ICTVonline=20160821")</f>
        <v>ICTVonline=20160821</v>
      </c>
    </row>
    <row r="1115" spans="1:14" x14ac:dyDescent="0.15">
      <c r="A1115" s="3">
        <v>1114</v>
      </c>
      <c r="B1115" s="1" t="s">
        <v>923</v>
      </c>
      <c r="C1115" s="1" t="s">
        <v>924</v>
      </c>
      <c r="E1115" s="1" t="s">
        <v>413</v>
      </c>
      <c r="F1115" s="1" t="s">
        <v>414</v>
      </c>
      <c r="G1115" s="3">
        <v>1</v>
      </c>
      <c r="J1115" s="20" t="s">
        <v>2860</v>
      </c>
      <c r="K1115" s="20" t="s">
        <v>10072</v>
      </c>
      <c r="L1115" s="3">
        <v>25</v>
      </c>
      <c r="M1115" s="3" t="s">
        <v>10073</v>
      </c>
      <c r="N1115" s="3" t="str">
        <f>HYPERLINK("http://ictvonline.org/taxonomyHistory.asp?taxnode_id=20160826","ICTVonline=20160826")</f>
        <v>ICTVonline=20160826</v>
      </c>
    </row>
    <row r="1116" spans="1:14" x14ac:dyDescent="0.15">
      <c r="A1116" s="3">
        <v>1115</v>
      </c>
      <c r="B1116" s="1" t="s">
        <v>923</v>
      </c>
      <c r="C1116" s="1" t="s">
        <v>924</v>
      </c>
      <c r="E1116" s="1" t="s">
        <v>413</v>
      </c>
      <c r="F1116" s="1" t="s">
        <v>1541</v>
      </c>
      <c r="G1116" s="3">
        <v>0</v>
      </c>
      <c r="J1116" s="20" t="s">
        <v>2860</v>
      </c>
      <c r="K1116" s="20" t="s">
        <v>10013</v>
      </c>
      <c r="L1116" s="3">
        <v>25</v>
      </c>
      <c r="M1116" s="3" t="s">
        <v>10073</v>
      </c>
      <c r="N1116" s="3" t="str">
        <f>HYPERLINK("http://ictvonline.org/taxonomyHistory.asp?taxnode_id=20160827","ICTVonline=20160827")</f>
        <v>ICTVonline=20160827</v>
      </c>
    </row>
    <row r="1117" spans="1:14" x14ac:dyDescent="0.15">
      <c r="A1117" s="3">
        <v>1116</v>
      </c>
      <c r="B1117" s="1" t="s">
        <v>923</v>
      </c>
      <c r="C1117" s="1" t="s">
        <v>924</v>
      </c>
      <c r="E1117" s="1" t="s">
        <v>1542</v>
      </c>
      <c r="F1117" s="1" t="s">
        <v>572</v>
      </c>
      <c r="G1117" s="3">
        <v>0</v>
      </c>
      <c r="J1117" s="20" t="s">
        <v>2860</v>
      </c>
      <c r="K1117" s="20" t="s">
        <v>10013</v>
      </c>
      <c r="L1117" s="3">
        <v>26</v>
      </c>
      <c r="M1117" s="3" t="s">
        <v>10074</v>
      </c>
      <c r="N1117" s="3" t="str">
        <f>HYPERLINK("http://ictvonline.org/taxonomyHistory.asp?taxnode_id=20160829","ICTVonline=20160829")</f>
        <v>ICTVonline=20160829</v>
      </c>
    </row>
    <row r="1118" spans="1:14" x14ac:dyDescent="0.15">
      <c r="A1118" s="3">
        <v>1117</v>
      </c>
      <c r="B1118" s="1" t="s">
        <v>923</v>
      </c>
      <c r="C1118" s="1" t="s">
        <v>924</v>
      </c>
      <c r="E1118" s="1" t="s">
        <v>1542</v>
      </c>
      <c r="F1118" s="1" t="s">
        <v>1543</v>
      </c>
      <c r="G1118" s="3">
        <v>0</v>
      </c>
      <c r="J1118" s="20" t="s">
        <v>2860</v>
      </c>
      <c r="K1118" s="20" t="s">
        <v>10013</v>
      </c>
      <c r="L1118" s="3">
        <v>25</v>
      </c>
      <c r="M1118" s="3" t="s">
        <v>10075</v>
      </c>
      <c r="N1118" s="3" t="str">
        <f>HYPERLINK("http://ictvonline.org/taxonomyHistory.asp?taxnode_id=20160830","ICTVonline=20160830")</f>
        <v>ICTVonline=20160830</v>
      </c>
    </row>
    <row r="1119" spans="1:14" x14ac:dyDescent="0.15">
      <c r="A1119" s="3">
        <v>1118</v>
      </c>
      <c r="B1119" s="1" t="s">
        <v>923</v>
      </c>
      <c r="C1119" s="1" t="s">
        <v>924</v>
      </c>
      <c r="E1119" s="1" t="s">
        <v>1542</v>
      </c>
      <c r="F1119" s="1" t="s">
        <v>1544</v>
      </c>
      <c r="G1119" s="3">
        <v>0</v>
      </c>
      <c r="J1119" s="20" t="s">
        <v>2860</v>
      </c>
      <c r="K1119" s="20" t="s">
        <v>10013</v>
      </c>
      <c r="L1119" s="3">
        <v>25</v>
      </c>
      <c r="M1119" s="3" t="s">
        <v>10075</v>
      </c>
      <c r="N1119" s="3" t="str">
        <f>HYPERLINK("http://ictvonline.org/taxonomyHistory.asp?taxnode_id=20160831","ICTVonline=20160831")</f>
        <v>ICTVonline=20160831</v>
      </c>
    </row>
    <row r="1120" spans="1:14" x14ac:dyDescent="0.15">
      <c r="A1120" s="3">
        <v>1119</v>
      </c>
      <c r="B1120" s="1" t="s">
        <v>923</v>
      </c>
      <c r="C1120" s="1" t="s">
        <v>924</v>
      </c>
      <c r="E1120" s="1" t="s">
        <v>1542</v>
      </c>
      <c r="F1120" s="1" t="s">
        <v>927</v>
      </c>
      <c r="G1120" s="3">
        <v>1</v>
      </c>
      <c r="J1120" s="20" t="s">
        <v>2860</v>
      </c>
      <c r="K1120" s="20" t="s">
        <v>10076</v>
      </c>
      <c r="L1120" s="3">
        <v>25</v>
      </c>
      <c r="M1120" s="3" t="s">
        <v>10075</v>
      </c>
      <c r="N1120" s="3" t="str">
        <f>HYPERLINK("http://ictvonline.org/taxonomyHistory.asp?taxnode_id=20160832","ICTVonline=20160832")</f>
        <v>ICTVonline=20160832</v>
      </c>
    </row>
    <row r="1121" spans="1:14" x14ac:dyDescent="0.15">
      <c r="A1121" s="3">
        <v>1120</v>
      </c>
      <c r="B1121" s="1" t="s">
        <v>923</v>
      </c>
      <c r="C1121" s="1" t="s">
        <v>924</v>
      </c>
      <c r="E1121" s="1" t="s">
        <v>1387</v>
      </c>
      <c r="F1121" s="1" t="s">
        <v>1570</v>
      </c>
      <c r="G1121" s="3">
        <v>0</v>
      </c>
      <c r="J1121" s="20" t="s">
        <v>2860</v>
      </c>
      <c r="K1121" s="20" t="s">
        <v>10013</v>
      </c>
      <c r="L1121" s="3">
        <v>25</v>
      </c>
      <c r="M1121" s="3" t="s">
        <v>10077</v>
      </c>
      <c r="N1121" s="3" t="str">
        <f>HYPERLINK("http://ictvonline.org/taxonomyHistory.asp?taxnode_id=20160834","ICTVonline=20160834")</f>
        <v>ICTVonline=20160834</v>
      </c>
    </row>
    <row r="1122" spans="1:14" x14ac:dyDescent="0.15">
      <c r="A1122" s="3">
        <v>1121</v>
      </c>
      <c r="B1122" s="1" t="s">
        <v>923</v>
      </c>
      <c r="C1122" s="1" t="s">
        <v>924</v>
      </c>
      <c r="E1122" s="1" t="s">
        <v>1387</v>
      </c>
      <c r="F1122" s="1" t="s">
        <v>925</v>
      </c>
      <c r="G1122" s="3">
        <v>1</v>
      </c>
      <c r="J1122" s="20" t="s">
        <v>2860</v>
      </c>
      <c r="K1122" s="20" t="s">
        <v>10016</v>
      </c>
      <c r="L1122" s="3">
        <v>24</v>
      </c>
      <c r="M1122" s="3" t="s">
        <v>10078</v>
      </c>
      <c r="N1122" s="3" t="str">
        <f>HYPERLINK("http://ictvonline.org/taxonomyHistory.asp?taxnode_id=20160835","ICTVonline=20160835")</f>
        <v>ICTVonline=20160835</v>
      </c>
    </row>
    <row r="1123" spans="1:14" x14ac:dyDescent="0.15">
      <c r="A1123" s="3">
        <v>1122</v>
      </c>
      <c r="B1123" s="1" t="s">
        <v>923</v>
      </c>
      <c r="C1123" s="1" t="s">
        <v>924</v>
      </c>
      <c r="E1123" s="1" t="s">
        <v>1387</v>
      </c>
      <c r="F1123" s="1" t="s">
        <v>1901</v>
      </c>
      <c r="G1123" s="3">
        <v>0</v>
      </c>
      <c r="J1123" s="20" t="s">
        <v>2860</v>
      </c>
      <c r="K1123" s="20" t="s">
        <v>10013</v>
      </c>
      <c r="L1123" s="3">
        <v>25</v>
      </c>
      <c r="M1123" s="3" t="s">
        <v>10077</v>
      </c>
      <c r="N1123" s="3" t="str">
        <f>HYPERLINK("http://ictvonline.org/taxonomyHistory.asp?taxnode_id=20160836","ICTVonline=20160836")</f>
        <v>ICTVonline=20160836</v>
      </c>
    </row>
    <row r="1124" spans="1:14" x14ac:dyDescent="0.15">
      <c r="A1124" s="3">
        <v>1123</v>
      </c>
      <c r="B1124" s="1" t="s">
        <v>923</v>
      </c>
      <c r="C1124" s="1" t="s">
        <v>924</v>
      </c>
      <c r="E1124" s="1" t="s">
        <v>1545</v>
      </c>
      <c r="F1124" s="1" t="s">
        <v>1896</v>
      </c>
      <c r="G1124" s="3">
        <v>1</v>
      </c>
      <c r="J1124" s="20" t="s">
        <v>2860</v>
      </c>
      <c r="K1124" s="20" t="s">
        <v>10072</v>
      </c>
      <c r="L1124" s="3">
        <v>25</v>
      </c>
      <c r="M1124" s="3" t="s">
        <v>10079</v>
      </c>
      <c r="N1124" s="3" t="str">
        <f>HYPERLINK("http://ictvonline.org/taxonomyHistory.asp?taxnode_id=20160838","ICTVonline=20160838")</f>
        <v>ICTVonline=20160838</v>
      </c>
    </row>
    <row r="1125" spans="1:14" x14ac:dyDescent="0.15">
      <c r="A1125" s="3">
        <v>1124</v>
      </c>
      <c r="B1125" s="1" t="s">
        <v>923</v>
      </c>
      <c r="C1125" s="1" t="s">
        <v>924</v>
      </c>
      <c r="E1125" s="1" t="s">
        <v>1545</v>
      </c>
      <c r="F1125" s="1" t="s">
        <v>2209</v>
      </c>
      <c r="G1125" s="3">
        <v>0</v>
      </c>
      <c r="J1125" s="20" t="s">
        <v>2860</v>
      </c>
      <c r="K1125" s="20" t="s">
        <v>10013</v>
      </c>
      <c r="L1125" s="3">
        <v>25</v>
      </c>
      <c r="M1125" s="3" t="s">
        <v>10079</v>
      </c>
      <c r="N1125" s="3" t="str">
        <f>HYPERLINK("http://ictvonline.org/taxonomyHistory.asp?taxnode_id=20160839","ICTVonline=20160839")</f>
        <v>ICTVonline=20160839</v>
      </c>
    </row>
    <row r="1126" spans="1:14" x14ac:dyDescent="0.15">
      <c r="A1126" s="3">
        <v>1125</v>
      </c>
      <c r="B1126" s="1" t="s">
        <v>923</v>
      </c>
      <c r="C1126" s="1" t="s">
        <v>924</v>
      </c>
      <c r="E1126" s="1" t="s">
        <v>1545</v>
      </c>
      <c r="F1126" s="1" t="s">
        <v>1554</v>
      </c>
      <c r="G1126" s="3">
        <v>0</v>
      </c>
      <c r="J1126" s="20" t="s">
        <v>2860</v>
      </c>
      <c r="K1126" s="20" t="s">
        <v>10013</v>
      </c>
      <c r="L1126" s="3">
        <v>25</v>
      </c>
      <c r="M1126" s="3" t="s">
        <v>10079</v>
      </c>
      <c r="N1126" s="3" t="str">
        <f>HYPERLINK("http://ictvonline.org/taxonomyHistory.asp?taxnode_id=20160840","ICTVonline=20160840")</f>
        <v>ICTVonline=20160840</v>
      </c>
    </row>
    <row r="1127" spans="1:14" x14ac:dyDescent="0.15">
      <c r="A1127" s="3">
        <v>1126</v>
      </c>
      <c r="B1127" s="1" t="s">
        <v>923</v>
      </c>
      <c r="C1127" s="1" t="s">
        <v>928</v>
      </c>
      <c r="D1127" s="1" t="s">
        <v>929</v>
      </c>
      <c r="E1127" s="1" t="s">
        <v>930</v>
      </c>
      <c r="F1127" s="1" t="s">
        <v>4245</v>
      </c>
      <c r="G1127" s="3">
        <v>1</v>
      </c>
      <c r="J1127" s="20" t="s">
        <v>2860</v>
      </c>
      <c r="K1127" s="20" t="s">
        <v>10021</v>
      </c>
      <c r="L1127" s="3">
        <v>30</v>
      </c>
      <c r="M1127" s="3" t="s">
        <v>10080</v>
      </c>
      <c r="N1127" s="3" t="str">
        <f>HYPERLINK("http://ictvonline.org/taxonomyHistory.asp?taxnode_id=20160844","ICTVonline=20160844")</f>
        <v>ICTVonline=20160844</v>
      </c>
    </row>
    <row r="1128" spans="1:14" x14ac:dyDescent="0.15">
      <c r="A1128" s="3">
        <v>1127</v>
      </c>
      <c r="B1128" s="1" t="s">
        <v>923</v>
      </c>
      <c r="C1128" s="1" t="s">
        <v>928</v>
      </c>
      <c r="D1128" s="1" t="s">
        <v>929</v>
      </c>
      <c r="E1128" s="1" t="s">
        <v>930</v>
      </c>
      <c r="F1128" s="1" t="s">
        <v>4246</v>
      </c>
      <c r="G1128" s="3">
        <v>0</v>
      </c>
      <c r="J1128" s="20" t="s">
        <v>2860</v>
      </c>
      <c r="K1128" s="20" t="s">
        <v>10021</v>
      </c>
      <c r="L1128" s="3">
        <v>30</v>
      </c>
      <c r="M1128" s="3" t="s">
        <v>10080</v>
      </c>
      <c r="N1128" s="3" t="str">
        <f>HYPERLINK("http://ictvonline.org/taxonomyHistory.asp?taxnode_id=20160845","ICTVonline=20160845")</f>
        <v>ICTVonline=20160845</v>
      </c>
    </row>
    <row r="1129" spans="1:14" x14ac:dyDescent="0.15">
      <c r="A1129" s="3">
        <v>1128</v>
      </c>
      <c r="B1129" s="1" t="s">
        <v>923</v>
      </c>
      <c r="C1129" s="1" t="s">
        <v>928</v>
      </c>
      <c r="D1129" s="1" t="s">
        <v>929</v>
      </c>
      <c r="E1129" s="1" t="s">
        <v>1420</v>
      </c>
      <c r="F1129" s="1" t="s">
        <v>4247</v>
      </c>
      <c r="G1129" s="3">
        <v>0</v>
      </c>
      <c r="J1129" s="20" t="s">
        <v>2860</v>
      </c>
      <c r="K1129" s="20" t="s">
        <v>10021</v>
      </c>
      <c r="L1129" s="3">
        <v>30</v>
      </c>
      <c r="M1129" s="3" t="s">
        <v>10080</v>
      </c>
      <c r="N1129" s="3" t="str">
        <f>HYPERLINK("http://ictvonline.org/taxonomyHistory.asp?taxnode_id=20160847","ICTVonline=20160847")</f>
        <v>ICTVonline=20160847</v>
      </c>
    </row>
    <row r="1130" spans="1:14" x14ac:dyDescent="0.15">
      <c r="A1130" s="3">
        <v>1129</v>
      </c>
      <c r="B1130" s="1" t="s">
        <v>923</v>
      </c>
      <c r="C1130" s="1" t="s">
        <v>928</v>
      </c>
      <c r="D1130" s="1" t="s">
        <v>929</v>
      </c>
      <c r="E1130" s="1" t="s">
        <v>1420</v>
      </c>
      <c r="F1130" s="1" t="s">
        <v>4248</v>
      </c>
      <c r="G1130" s="3">
        <v>0</v>
      </c>
      <c r="J1130" s="20" t="s">
        <v>2860</v>
      </c>
      <c r="K1130" s="20" t="s">
        <v>10021</v>
      </c>
      <c r="L1130" s="3">
        <v>30</v>
      </c>
      <c r="M1130" s="3" t="s">
        <v>10080</v>
      </c>
      <c r="N1130" s="3" t="str">
        <f>HYPERLINK("http://ictvonline.org/taxonomyHistory.asp?taxnode_id=20160848","ICTVonline=20160848")</f>
        <v>ICTVonline=20160848</v>
      </c>
    </row>
    <row r="1131" spans="1:14" x14ac:dyDescent="0.15">
      <c r="A1131" s="3">
        <v>1130</v>
      </c>
      <c r="B1131" s="1" t="s">
        <v>923</v>
      </c>
      <c r="C1131" s="1" t="s">
        <v>928</v>
      </c>
      <c r="D1131" s="1" t="s">
        <v>929</v>
      </c>
      <c r="E1131" s="1" t="s">
        <v>1420</v>
      </c>
      <c r="F1131" s="1" t="s">
        <v>4249</v>
      </c>
      <c r="G1131" s="3">
        <v>1</v>
      </c>
      <c r="J1131" s="20" t="s">
        <v>2860</v>
      </c>
      <c r="K1131" s="20" t="s">
        <v>10021</v>
      </c>
      <c r="L1131" s="3">
        <v>30</v>
      </c>
      <c r="M1131" s="3" t="s">
        <v>10080</v>
      </c>
      <c r="N1131" s="3" t="str">
        <f>HYPERLINK("http://ictvonline.org/taxonomyHistory.asp?taxnode_id=20160849","ICTVonline=20160849")</f>
        <v>ICTVonline=20160849</v>
      </c>
    </row>
    <row r="1132" spans="1:14" x14ac:dyDescent="0.15">
      <c r="A1132" s="3">
        <v>1131</v>
      </c>
      <c r="B1132" s="1" t="s">
        <v>923</v>
      </c>
      <c r="C1132" s="1" t="s">
        <v>928</v>
      </c>
      <c r="D1132" s="1" t="s">
        <v>929</v>
      </c>
      <c r="E1132" s="1" t="s">
        <v>1420</v>
      </c>
      <c r="F1132" s="1" t="s">
        <v>4250</v>
      </c>
      <c r="G1132" s="3">
        <v>0</v>
      </c>
      <c r="J1132" s="20" t="s">
        <v>2860</v>
      </c>
      <c r="K1132" s="20" t="s">
        <v>10021</v>
      </c>
      <c r="L1132" s="3">
        <v>30</v>
      </c>
      <c r="M1132" s="3" t="s">
        <v>10080</v>
      </c>
      <c r="N1132" s="3" t="str">
        <f>HYPERLINK("http://ictvonline.org/taxonomyHistory.asp?taxnode_id=20160850","ICTVonline=20160850")</f>
        <v>ICTVonline=20160850</v>
      </c>
    </row>
    <row r="1133" spans="1:14" x14ac:dyDescent="0.15">
      <c r="A1133" s="3">
        <v>1132</v>
      </c>
      <c r="B1133" s="1" t="s">
        <v>923</v>
      </c>
      <c r="C1133" s="1" t="s">
        <v>928</v>
      </c>
      <c r="D1133" s="1" t="s">
        <v>929</v>
      </c>
      <c r="E1133" s="1" t="s">
        <v>1420</v>
      </c>
      <c r="F1133" s="1" t="s">
        <v>4251</v>
      </c>
      <c r="G1133" s="3">
        <v>0</v>
      </c>
      <c r="J1133" s="20" t="s">
        <v>2860</v>
      </c>
      <c r="K1133" s="20" t="s">
        <v>10021</v>
      </c>
      <c r="L1133" s="3">
        <v>30</v>
      </c>
      <c r="M1133" s="3" t="s">
        <v>10080</v>
      </c>
      <c r="N1133" s="3" t="str">
        <f>HYPERLINK("http://ictvonline.org/taxonomyHistory.asp?taxnode_id=20160851","ICTVonline=20160851")</f>
        <v>ICTVonline=20160851</v>
      </c>
    </row>
    <row r="1134" spans="1:14" x14ac:dyDescent="0.15">
      <c r="A1134" s="3">
        <v>1133</v>
      </c>
      <c r="B1134" s="1" t="s">
        <v>923</v>
      </c>
      <c r="C1134" s="1" t="s">
        <v>928</v>
      </c>
      <c r="D1134" s="1" t="s">
        <v>929</v>
      </c>
      <c r="E1134" s="1" t="s">
        <v>1381</v>
      </c>
      <c r="F1134" s="1" t="s">
        <v>4252</v>
      </c>
      <c r="G1134" s="3">
        <v>1</v>
      </c>
      <c r="J1134" s="20" t="s">
        <v>2860</v>
      </c>
      <c r="K1134" s="20" t="s">
        <v>10021</v>
      </c>
      <c r="L1134" s="3">
        <v>30</v>
      </c>
      <c r="M1134" s="3" t="s">
        <v>10080</v>
      </c>
      <c r="N1134" s="3" t="str">
        <f>HYPERLINK("http://ictvonline.org/taxonomyHistory.asp?taxnode_id=20160853","ICTVonline=20160853")</f>
        <v>ICTVonline=20160853</v>
      </c>
    </row>
    <row r="1135" spans="1:14" x14ac:dyDescent="0.15">
      <c r="A1135" s="3">
        <v>1134</v>
      </c>
      <c r="B1135" s="1" t="s">
        <v>923</v>
      </c>
      <c r="C1135" s="1" t="s">
        <v>928</v>
      </c>
      <c r="D1135" s="1" t="s">
        <v>929</v>
      </c>
      <c r="E1135" s="1" t="s">
        <v>1326</v>
      </c>
      <c r="F1135" s="1" t="s">
        <v>4253</v>
      </c>
      <c r="G1135" s="3">
        <v>0</v>
      </c>
      <c r="J1135" s="20" t="s">
        <v>2860</v>
      </c>
      <c r="K1135" s="20" t="s">
        <v>10021</v>
      </c>
      <c r="L1135" s="3">
        <v>30</v>
      </c>
      <c r="M1135" s="3" t="s">
        <v>10080</v>
      </c>
      <c r="N1135" s="3" t="str">
        <f>HYPERLINK("http://ictvonline.org/taxonomyHistory.asp?taxnode_id=20160855","ICTVonline=20160855")</f>
        <v>ICTVonline=20160855</v>
      </c>
    </row>
    <row r="1136" spans="1:14" x14ac:dyDescent="0.15">
      <c r="A1136" s="3">
        <v>1135</v>
      </c>
      <c r="B1136" s="1" t="s">
        <v>923</v>
      </c>
      <c r="C1136" s="1" t="s">
        <v>928</v>
      </c>
      <c r="D1136" s="1" t="s">
        <v>929</v>
      </c>
      <c r="E1136" s="1" t="s">
        <v>1326</v>
      </c>
      <c r="F1136" s="1" t="s">
        <v>4254</v>
      </c>
      <c r="G1136" s="3">
        <v>0</v>
      </c>
      <c r="J1136" s="20" t="s">
        <v>2860</v>
      </c>
      <c r="K1136" s="20" t="s">
        <v>10021</v>
      </c>
      <c r="L1136" s="3">
        <v>30</v>
      </c>
      <c r="M1136" s="3" t="s">
        <v>10080</v>
      </c>
      <c r="N1136" s="3" t="str">
        <f>HYPERLINK("http://ictvonline.org/taxonomyHistory.asp?taxnode_id=20160856","ICTVonline=20160856")</f>
        <v>ICTVonline=20160856</v>
      </c>
    </row>
    <row r="1137" spans="1:14" x14ac:dyDescent="0.15">
      <c r="A1137" s="3">
        <v>1136</v>
      </c>
      <c r="B1137" s="1" t="s">
        <v>923</v>
      </c>
      <c r="C1137" s="1" t="s">
        <v>928</v>
      </c>
      <c r="D1137" s="1" t="s">
        <v>929</v>
      </c>
      <c r="E1137" s="1" t="s">
        <v>1326</v>
      </c>
      <c r="F1137" s="1" t="s">
        <v>4255</v>
      </c>
      <c r="G1137" s="3">
        <v>0</v>
      </c>
      <c r="J1137" s="20" t="s">
        <v>2860</v>
      </c>
      <c r="K1137" s="20" t="s">
        <v>10021</v>
      </c>
      <c r="L1137" s="3">
        <v>30</v>
      </c>
      <c r="M1137" s="3" t="s">
        <v>10080</v>
      </c>
      <c r="N1137" s="3" t="str">
        <f>HYPERLINK("http://ictvonline.org/taxonomyHistory.asp?taxnode_id=20160857","ICTVonline=20160857")</f>
        <v>ICTVonline=20160857</v>
      </c>
    </row>
    <row r="1138" spans="1:14" x14ac:dyDescent="0.15">
      <c r="A1138" s="3">
        <v>1137</v>
      </c>
      <c r="B1138" s="1" t="s">
        <v>923</v>
      </c>
      <c r="C1138" s="1" t="s">
        <v>928</v>
      </c>
      <c r="D1138" s="1" t="s">
        <v>929</v>
      </c>
      <c r="E1138" s="1" t="s">
        <v>1326</v>
      </c>
      <c r="F1138" s="1" t="s">
        <v>4256</v>
      </c>
      <c r="G1138" s="3">
        <v>1</v>
      </c>
      <c r="J1138" s="20" t="s">
        <v>2860</v>
      </c>
      <c r="K1138" s="20" t="s">
        <v>10021</v>
      </c>
      <c r="L1138" s="3">
        <v>30</v>
      </c>
      <c r="M1138" s="3" t="s">
        <v>10080</v>
      </c>
      <c r="N1138" s="3" t="str">
        <f>HYPERLINK("http://ictvonline.org/taxonomyHistory.asp?taxnode_id=20160858","ICTVonline=20160858")</f>
        <v>ICTVonline=20160858</v>
      </c>
    </row>
    <row r="1139" spans="1:14" x14ac:dyDescent="0.15">
      <c r="A1139" s="3">
        <v>1138</v>
      </c>
      <c r="B1139" s="1" t="s">
        <v>923</v>
      </c>
      <c r="C1139" s="1" t="s">
        <v>928</v>
      </c>
      <c r="D1139" s="1" t="s">
        <v>929</v>
      </c>
      <c r="E1139" s="1" t="s">
        <v>1326</v>
      </c>
      <c r="F1139" s="1" t="s">
        <v>4257</v>
      </c>
      <c r="G1139" s="3">
        <v>0</v>
      </c>
      <c r="J1139" s="20" t="s">
        <v>2860</v>
      </c>
      <c r="K1139" s="20" t="s">
        <v>10021</v>
      </c>
      <c r="L1139" s="3">
        <v>30</v>
      </c>
      <c r="M1139" s="3" t="s">
        <v>10080</v>
      </c>
      <c r="N1139" s="3" t="str">
        <f>HYPERLINK("http://ictvonline.org/taxonomyHistory.asp?taxnode_id=20160859","ICTVonline=20160859")</f>
        <v>ICTVonline=20160859</v>
      </c>
    </row>
    <row r="1140" spans="1:14" x14ac:dyDescent="0.15">
      <c r="A1140" s="3">
        <v>1139</v>
      </c>
      <c r="B1140" s="1" t="s">
        <v>923</v>
      </c>
      <c r="C1140" s="1" t="s">
        <v>928</v>
      </c>
      <c r="D1140" s="1" t="s">
        <v>929</v>
      </c>
      <c r="E1140" s="1" t="s">
        <v>1326</v>
      </c>
      <c r="F1140" s="1" t="s">
        <v>4258</v>
      </c>
      <c r="G1140" s="3">
        <v>0</v>
      </c>
      <c r="J1140" s="20" t="s">
        <v>2860</v>
      </c>
      <c r="K1140" s="20" t="s">
        <v>10021</v>
      </c>
      <c r="L1140" s="3">
        <v>30</v>
      </c>
      <c r="M1140" s="3" t="s">
        <v>10080</v>
      </c>
      <c r="N1140" s="3" t="str">
        <f>HYPERLINK("http://ictvonline.org/taxonomyHistory.asp?taxnode_id=20160860","ICTVonline=20160860")</f>
        <v>ICTVonline=20160860</v>
      </c>
    </row>
    <row r="1141" spans="1:14" x14ac:dyDescent="0.15">
      <c r="A1141" s="3">
        <v>1140</v>
      </c>
      <c r="B1141" s="1" t="s">
        <v>923</v>
      </c>
      <c r="C1141" s="1" t="s">
        <v>928</v>
      </c>
      <c r="D1141" s="1" t="s">
        <v>929</v>
      </c>
      <c r="E1141" s="1" t="s">
        <v>1326</v>
      </c>
      <c r="F1141" s="1" t="s">
        <v>4259</v>
      </c>
      <c r="G1141" s="3">
        <v>0</v>
      </c>
      <c r="J1141" s="20" t="s">
        <v>2860</v>
      </c>
      <c r="K1141" s="20" t="s">
        <v>10021</v>
      </c>
      <c r="L1141" s="3">
        <v>30</v>
      </c>
      <c r="M1141" s="3" t="s">
        <v>10080</v>
      </c>
      <c r="N1141" s="3" t="str">
        <f>HYPERLINK("http://ictvonline.org/taxonomyHistory.asp?taxnode_id=20160861","ICTVonline=20160861")</f>
        <v>ICTVonline=20160861</v>
      </c>
    </row>
    <row r="1142" spans="1:14" x14ac:dyDescent="0.15">
      <c r="A1142" s="3">
        <v>1141</v>
      </c>
      <c r="B1142" s="1" t="s">
        <v>923</v>
      </c>
      <c r="C1142" s="1" t="s">
        <v>928</v>
      </c>
      <c r="D1142" s="1" t="s">
        <v>929</v>
      </c>
      <c r="E1142" s="1" t="s">
        <v>1326</v>
      </c>
      <c r="F1142" s="1" t="s">
        <v>4260</v>
      </c>
      <c r="G1142" s="3">
        <v>0</v>
      </c>
      <c r="J1142" s="20" t="s">
        <v>2860</v>
      </c>
      <c r="K1142" s="20" t="s">
        <v>10021</v>
      </c>
      <c r="L1142" s="3">
        <v>30</v>
      </c>
      <c r="M1142" s="3" t="s">
        <v>10080</v>
      </c>
      <c r="N1142" s="3" t="str">
        <f>HYPERLINK("http://ictvonline.org/taxonomyHistory.asp?taxnode_id=20160862","ICTVonline=20160862")</f>
        <v>ICTVonline=20160862</v>
      </c>
    </row>
    <row r="1143" spans="1:14" x14ac:dyDescent="0.15">
      <c r="A1143" s="3">
        <v>1142</v>
      </c>
      <c r="B1143" s="1" t="s">
        <v>923</v>
      </c>
      <c r="C1143" s="1" t="s">
        <v>928</v>
      </c>
      <c r="D1143" s="1" t="s">
        <v>929</v>
      </c>
      <c r="E1143" s="1" t="s">
        <v>1326</v>
      </c>
      <c r="F1143" s="1" t="s">
        <v>4261</v>
      </c>
      <c r="G1143" s="3">
        <v>0</v>
      </c>
      <c r="J1143" s="20" t="s">
        <v>2860</v>
      </c>
      <c r="K1143" s="20" t="s">
        <v>10021</v>
      </c>
      <c r="L1143" s="3">
        <v>30</v>
      </c>
      <c r="M1143" s="3" t="s">
        <v>10080</v>
      </c>
      <c r="N1143" s="3" t="str">
        <f>HYPERLINK("http://ictvonline.org/taxonomyHistory.asp?taxnode_id=20160863","ICTVonline=20160863")</f>
        <v>ICTVonline=20160863</v>
      </c>
    </row>
    <row r="1144" spans="1:14" x14ac:dyDescent="0.15">
      <c r="A1144" s="3">
        <v>1143</v>
      </c>
      <c r="B1144" s="1" t="s">
        <v>923</v>
      </c>
      <c r="C1144" s="1" t="s">
        <v>928</v>
      </c>
      <c r="D1144" s="1" t="s">
        <v>929</v>
      </c>
      <c r="E1144" s="1" t="s">
        <v>1326</v>
      </c>
      <c r="F1144" s="1" t="s">
        <v>4262</v>
      </c>
      <c r="G1144" s="3">
        <v>0</v>
      </c>
      <c r="H1144" s="20" t="s">
        <v>6701</v>
      </c>
      <c r="I1144" s="20" t="s">
        <v>4263</v>
      </c>
      <c r="J1144" s="20" t="s">
        <v>2860</v>
      </c>
      <c r="K1144" s="20" t="s">
        <v>10013</v>
      </c>
      <c r="L1144" s="3">
        <v>30</v>
      </c>
      <c r="M1144" s="3" t="s">
        <v>10081</v>
      </c>
      <c r="N1144" s="3" t="str">
        <f>HYPERLINK("http://ictvonline.org/taxonomyHistory.asp?taxnode_id=20160864","ICTVonline=20160864")</f>
        <v>ICTVonline=20160864</v>
      </c>
    </row>
    <row r="1145" spans="1:14" x14ac:dyDescent="0.15">
      <c r="A1145" s="3">
        <v>1144</v>
      </c>
      <c r="B1145" s="1" t="s">
        <v>923</v>
      </c>
      <c r="C1145" s="1" t="s">
        <v>928</v>
      </c>
      <c r="D1145" s="1" t="s">
        <v>929</v>
      </c>
      <c r="E1145" s="1" t="s">
        <v>1326</v>
      </c>
      <c r="F1145" s="1" t="s">
        <v>4264</v>
      </c>
      <c r="G1145" s="3">
        <v>0</v>
      </c>
      <c r="J1145" s="20" t="s">
        <v>2860</v>
      </c>
      <c r="K1145" s="20" t="s">
        <v>10021</v>
      </c>
      <c r="L1145" s="3">
        <v>30</v>
      </c>
      <c r="M1145" s="3" t="s">
        <v>10080</v>
      </c>
      <c r="N1145" s="3" t="str">
        <f>HYPERLINK("http://ictvonline.org/taxonomyHistory.asp?taxnode_id=20160865","ICTVonline=20160865")</f>
        <v>ICTVonline=20160865</v>
      </c>
    </row>
    <row r="1146" spans="1:14" x14ac:dyDescent="0.15">
      <c r="A1146" s="3">
        <v>1145</v>
      </c>
      <c r="B1146" s="1" t="s">
        <v>923</v>
      </c>
      <c r="C1146" s="1" t="s">
        <v>928</v>
      </c>
      <c r="D1146" s="1" t="s">
        <v>929</v>
      </c>
      <c r="E1146" s="1" t="s">
        <v>1326</v>
      </c>
      <c r="F1146" s="1" t="s">
        <v>4265</v>
      </c>
      <c r="G1146" s="3">
        <v>0</v>
      </c>
      <c r="J1146" s="20" t="s">
        <v>2860</v>
      </c>
      <c r="K1146" s="20" t="s">
        <v>10021</v>
      </c>
      <c r="L1146" s="3">
        <v>30</v>
      </c>
      <c r="M1146" s="3" t="s">
        <v>10080</v>
      </c>
      <c r="N1146" s="3" t="str">
        <f>HYPERLINK("http://ictvonline.org/taxonomyHistory.asp?taxnode_id=20160866","ICTVonline=20160866")</f>
        <v>ICTVonline=20160866</v>
      </c>
    </row>
    <row r="1147" spans="1:14" x14ac:dyDescent="0.15">
      <c r="A1147" s="3">
        <v>1146</v>
      </c>
      <c r="B1147" s="1" t="s">
        <v>923</v>
      </c>
      <c r="C1147" s="1" t="s">
        <v>928</v>
      </c>
      <c r="D1147" s="1" t="s">
        <v>929</v>
      </c>
      <c r="E1147" s="1" t="s">
        <v>926</v>
      </c>
      <c r="F1147" s="1" t="s">
        <v>4266</v>
      </c>
      <c r="G1147" s="3">
        <v>0</v>
      </c>
      <c r="J1147" s="20" t="s">
        <v>2860</v>
      </c>
      <c r="K1147" s="20" t="s">
        <v>10021</v>
      </c>
      <c r="L1147" s="3">
        <v>30</v>
      </c>
      <c r="M1147" s="3" t="s">
        <v>10080</v>
      </c>
      <c r="N1147" s="3" t="str">
        <f>HYPERLINK("http://ictvonline.org/taxonomyHistory.asp?taxnode_id=20160868","ICTVonline=20160868")</f>
        <v>ICTVonline=20160868</v>
      </c>
    </row>
    <row r="1148" spans="1:14" x14ac:dyDescent="0.15">
      <c r="A1148" s="3">
        <v>1147</v>
      </c>
      <c r="B1148" s="1" t="s">
        <v>923</v>
      </c>
      <c r="C1148" s="1" t="s">
        <v>928</v>
      </c>
      <c r="D1148" s="1" t="s">
        <v>929</v>
      </c>
      <c r="E1148" s="1" t="s">
        <v>1327</v>
      </c>
      <c r="F1148" s="1" t="s">
        <v>4267</v>
      </c>
      <c r="G1148" s="3">
        <v>0</v>
      </c>
      <c r="J1148" s="20" t="s">
        <v>2860</v>
      </c>
      <c r="K1148" s="20" t="s">
        <v>10021</v>
      </c>
      <c r="L1148" s="3">
        <v>30</v>
      </c>
      <c r="M1148" s="3" t="s">
        <v>10080</v>
      </c>
      <c r="N1148" s="3" t="str">
        <f>HYPERLINK("http://ictvonline.org/taxonomyHistory.asp?taxnode_id=20160870","ICTVonline=20160870")</f>
        <v>ICTVonline=20160870</v>
      </c>
    </row>
    <row r="1149" spans="1:14" x14ac:dyDescent="0.15">
      <c r="A1149" s="3">
        <v>1148</v>
      </c>
      <c r="B1149" s="1" t="s">
        <v>923</v>
      </c>
      <c r="C1149" s="1" t="s">
        <v>928</v>
      </c>
      <c r="D1149" s="1" t="s">
        <v>929</v>
      </c>
      <c r="E1149" s="1" t="s">
        <v>1327</v>
      </c>
      <c r="F1149" s="1" t="s">
        <v>4268</v>
      </c>
      <c r="G1149" s="3">
        <v>0</v>
      </c>
      <c r="J1149" s="20" t="s">
        <v>2860</v>
      </c>
      <c r="K1149" s="20" t="s">
        <v>10021</v>
      </c>
      <c r="L1149" s="3">
        <v>30</v>
      </c>
      <c r="M1149" s="3" t="s">
        <v>10080</v>
      </c>
      <c r="N1149" s="3" t="str">
        <f>HYPERLINK("http://ictvonline.org/taxonomyHistory.asp?taxnode_id=20160871","ICTVonline=20160871")</f>
        <v>ICTVonline=20160871</v>
      </c>
    </row>
    <row r="1150" spans="1:14" x14ac:dyDescent="0.15">
      <c r="A1150" s="3">
        <v>1149</v>
      </c>
      <c r="B1150" s="1" t="s">
        <v>923</v>
      </c>
      <c r="C1150" s="1" t="s">
        <v>928</v>
      </c>
      <c r="D1150" s="1" t="s">
        <v>929</v>
      </c>
      <c r="E1150" s="1" t="s">
        <v>1327</v>
      </c>
      <c r="F1150" s="1" t="s">
        <v>4269</v>
      </c>
      <c r="G1150" s="3">
        <v>0</v>
      </c>
      <c r="J1150" s="20" t="s">
        <v>2860</v>
      </c>
      <c r="K1150" s="20" t="s">
        <v>10021</v>
      </c>
      <c r="L1150" s="3">
        <v>30</v>
      </c>
      <c r="M1150" s="3" t="s">
        <v>10080</v>
      </c>
      <c r="N1150" s="3" t="str">
        <f>HYPERLINK("http://ictvonline.org/taxonomyHistory.asp?taxnode_id=20160872","ICTVonline=20160872")</f>
        <v>ICTVonline=20160872</v>
      </c>
    </row>
    <row r="1151" spans="1:14" x14ac:dyDescent="0.15">
      <c r="A1151" s="3">
        <v>1150</v>
      </c>
      <c r="B1151" s="1" t="s">
        <v>923</v>
      </c>
      <c r="C1151" s="1" t="s">
        <v>928</v>
      </c>
      <c r="D1151" s="1" t="s">
        <v>929</v>
      </c>
      <c r="E1151" s="1" t="s">
        <v>1327</v>
      </c>
      <c r="F1151" s="1" t="s">
        <v>4270</v>
      </c>
      <c r="G1151" s="3">
        <v>0</v>
      </c>
      <c r="J1151" s="20" t="s">
        <v>2860</v>
      </c>
      <c r="K1151" s="20" t="s">
        <v>10021</v>
      </c>
      <c r="L1151" s="3">
        <v>30</v>
      </c>
      <c r="M1151" s="3" t="s">
        <v>10080</v>
      </c>
      <c r="N1151" s="3" t="str">
        <f>HYPERLINK("http://ictvonline.org/taxonomyHistory.asp?taxnode_id=20160873","ICTVonline=20160873")</f>
        <v>ICTVonline=20160873</v>
      </c>
    </row>
    <row r="1152" spans="1:14" x14ac:dyDescent="0.15">
      <c r="A1152" s="3">
        <v>1151</v>
      </c>
      <c r="B1152" s="1" t="s">
        <v>923</v>
      </c>
      <c r="C1152" s="1" t="s">
        <v>928</v>
      </c>
      <c r="D1152" s="1" t="s">
        <v>929</v>
      </c>
      <c r="E1152" s="1" t="s">
        <v>1327</v>
      </c>
      <c r="F1152" s="1" t="s">
        <v>4271</v>
      </c>
      <c r="G1152" s="3">
        <v>0</v>
      </c>
      <c r="J1152" s="20" t="s">
        <v>2860</v>
      </c>
      <c r="K1152" s="20" t="s">
        <v>10021</v>
      </c>
      <c r="L1152" s="3">
        <v>30</v>
      </c>
      <c r="M1152" s="3" t="s">
        <v>10080</v>
      </c>
      <c r="N1152" s="3" t="str">
        <f>HYPERLINK("http://ictvonline.org/taxonomyHistory.asp?taxnode_id=20160874","ICTVonline=20160874")</f>
        <v>ICTVonline=20160874</v>
      </c>
    </row>
    <row r="1153" spans="1:14" x14ac:dyDescent="0.15">
      <c r="A1153" s="3">
        <v>1152</v>
      </c>
      <c r="B1153" s="1" t="s">
        <v>923</v>
      </c>
      <c r="C1153" s="1" t="s">
        <v>928</v>
      </c>
      <c r="D1153" s="1" t="s">
        <v>929</v>
      </c>
      <c r="E1153" s="1" t="s">
        <v>1327</v>
      </c>
      <c r="F1153" s="1" t="s">
        <v>4272</v>
      </c>
      <c r="G1153" s="3">
        <v>0</v>
      </c>
      <c r="J1153" s="20" t="s">
        <v>2860</v>
      </c>
      <c r="K1153" s="20" t="s">
        <v>10021</v>
      </c>
      <c r="L1153" s="3">
        <v>30</v>
      </c>
      <c r="M1153" s="3" t="s">
        <v>10080</v>
      </c>
      <c r="N1153" s="3" t="str">
        <f>HYPERLINK("http://ictvonline.org/taxonomyHistory.asp?taxnode_id=20160875","ICTVonline=20160875")</f>
        <v>ICTVonline=20160875</v>
      </c>
    </row>
    <row r="1154" spans="1:14" x14ac:dyDescent="0.15">
      <c r="A1154" s="3">
        <v>1153</v>
      </c>
      <c r="B1154" s="1" t="s">
        <v>923</v>
      </c>
      <c r="C1154" s="1" t="s">
        <v>928</v>
      </c>
      <c r="D1154" s="1" t="s">
        <v>929</v>
      </c>
      <c r="E1154" s="1" t="s">
        <v>1327</v>
      </c>
      <c r="F1154" s="1" t="s">
        <v>4273</v>
      </c>
      <c r="G1154" s="3">
        <v>0</v>
      </c>
      <c r="J1154" s="20" t="s">
        <v>2860</v>
      </c>
      <c r="K1154" s="20" t="s">
        <v>10021</v>
      </c>
      <c r="L1154" s="3">
        <v>30</v>
      </c>
      <c r="M1154" s="3" t="s">
        <v>10080</v>
      </c>
      <c r="N1154" s="3" t="str">
        <f>HYPERLINK("http://ictvonline.org/taxonomyHistory.asp?taxnode_id=20160876","ICTVonline=20160876")</f>
        <v>ICTVonline=20160876</v>
      </c>
    </row>
    <row r="1155" spans="1:14" x14ac:dyDescent="0.15">
      <c r="A1155" s="3">
        <v>1154</v>
      </c>
      <c r="B1155" s="1" t="s">
        <v>923</v>
      </c>
      <c r="C1155" s="1" t="s">
        <v>928</v>
      </c>
      <c r="D1155" s="1" t="s">
        <v>929</v>
      </c>
      <c r="E1155" s="1" t="s">
        <v>1327</v>
      </c>
      <c r="F1155" s="1" t="s">
        <v>4274</v>
      </c>
      <c r="G1155" s="3">
        <v>0</v>
      </c>
      <c r="J1155" s="20" t="s">
        <v>2860</v>
      </c>
      <c r="K1155" s="20" t="s">
        <v>10021</v>
      </c>
      <c r="L1155" s="3">
        <v>30</v>
      </c>
      <c r="M1155" s="3" t="s">
        <v>10080</v>
      </c>
      <c r="N1155" s="3" t="str">
        <f>HYPERLINK("http://ictvonline.org/taxonomyHistory.asp?taxnode_id=20160877","ICTVonline=20160877")</f>
        <v>ICTVonline=20160877</v>
      </c>
    </row>
    <row r="1156" spans="1:14" x14ac:dyDescent="0.15">
      <c r="A1156" s="3">
        <v>1155</v>
      </c>
      <c r="B1156" s="1" t="s">
        <v>923</v>
      </c>
      <c r="C1156" s="1" t="s">
        <v>928</v>
      </c>
      <c r="D1156" s="1" t="s">
        <v>929</v>
      </c>
      <c r="E1156" s="1" t="s">
        <v>1327</v>
      </c>
      <c r="F1156" s="1" t="s">
        <v>4275</v>
      </c>
      <c r="G1156" s="3">
        <v>0</v>
      </c>
      <c r="J1156" s="20" t="s">
        <v>2860</v>
      </c>
      <c r="K1156" s="20" t="s">
        <v>10021</v>
      </c>
      <c r="L1156" s="3">
        <v>30</v>
      </c>
      <c r="M1156" s="3" t="s">
        <v>10080</v>
      </c>
      <c r="N1156" s="3" t="str">
        <f>HYPERLINK("http://ictvonline.org/taxonomyHistory.asp?taxnode_id=20160878","ICTVonline=20160878")</f>
        <v>ICTVonline=20160878</v>
      </c>
    </row>
    <row r="1157" spans="1:14" x14ac:dyDescent="0.15">
      <c r="A1157" s="3">
        <v>1156</v>
      </c>
      <c r="B1157" s="1" t="s">
        <v>923</v>
      </c>
      <c r="C1157" s="1" t="s">
        <v>928</v>
      </c>
      <c r="D1157" s="1" t="s">
        <v>929</v>
      </c>
      <c r="E1157" s="1" t="s">
        <v>1327</v>
      </c>
      <c r="F1157" s="1" t="s">
        <v>4276</v>
      </c>
      <c r="G1157" s="3">
        <v>0</v>
      </c>
      <c r="J1157" s="20" t="s">
        <v>2860</v>
      </c>
      <c r="K1157" s="20" t="s">
        <v>10021</v>
      </c>
      <c r="L1157" s="3">
        <v>30</v>
      </c>
      <c r="M1157" s="3" t="s">
        <v>10080</v>
      </c>
      <c r="N1157" s="3" t="str">
        <f>HYPERLINK("http://ictvonline.org/taxonomyHistory.asp?taxnode_id=20160879","ICTVonline=20160879")</f>
        <v>ICTVonline=20160879</v>
      </c>
    </row>
    <row r="1158" spans="1:14" x14ac:dyDescent="0.15">
      <c r="A1158" s="3">
        <v>1157</v>
      </c>
      <c r="B1158" s="1" t="s">
        <v>923</v>
      </c>
      <c r="C1158" s="1" t="s">
        <v>928</v>
      </c>
      <c r="D1158" s="1" t="s">
        <v>929</v>
      </c>
      <c r="E1158" s="1" t="s">
        <v>1327</v>
      </c>
      <c r="F1158" s="1" t="s">
        <v>4277</v>
      </c>
      <c r="G1158" s="3">
        <v>0</v>
      </c>
      <c r="J1158" s="20" t="s">
        <v>2860</v>
      </c>
      <c r="K1158" s="20" t="s">
        <v>10021</v>
      </c>
      <c r="L1158" s="3">
        <v>30</v>
      </c>
      <c r="M1158" s="3" t="s">
        <v>10080</v>
      </c>
      <c r="N1158" s="3" t="str">
        <f>HYPERLINK("http://ictvonline.org/taxonomyHistory.asp?taxnode_id=20160880","ICTVonline=20160880")</f>
        <v>ICTVonline=20160880</v>
      </c>
    </row>
    <row r="1159" spans="1:14" x14ac:dyDescent="0.15">
      <c r="A1159" s="3">
        <v>1158</v>
      </c>
      <c r="B1159" s="1" t="s">
        <v>923</v>
      </c>
      <c r="C1159" s="1" t="s">
        <v>928</v>
      </c>
      <c r="D1159" s="1" t="s">
        <v>929</v>
      </c>
      <c r="E1159" s="1" t="s">
        <v>1327</v>
      </c>
      <c r="F1159" s="1" t="s">
        <v>4278</v>
      </c>
      <c r="G1159" s="3">
        <v>0</v>
      </c>
      <c r="J1159" s="20" t="s">
        <v>2860</v>
      </c>
      <c r="K1159" s="20" t="s">
        <v>10021</v>
      </c>
      <c r="L1159" s="3">
        <v>30</v>
      </c>
      <c r="M1159" s="3" t="s">
        <v>10080</v>
      </c>
      <c r="N1159" s="3" t="str">
        <f>HYPERLINK("http://ictvonline.org/taxonomyHistory.asp?taxnode_id=20160881","ICTVonline=20160881")</f>
        <v>ICTVonline=20160881</v>
      </c>
    </row>
    <row r="1160" spans="1:14" x14ac:dyDescent="0.15">
      <c r="A1160" s="3">
        <v>1159</v>
      </c>
      <c r="B1160" s="1" t="s">
        <v>923</v>
      </c>
      <c r="C1160" s="1" t="s">
        <v>928</v>
      </c>
      <c r="D1160" s="1" t="s">
        <v>929</v>
      </c>
      <c r="E1160" s="1" t="s">
        <v>1327</v>
      </c>
      <c r="F1160" s="1" t="s">
        <v>4279</v>
      </c>
      <c r="G1160" s="3">
        <v>0</v>
      </c>
      <c r="J1160" s="20" t="s">
        <v>2860</v>
      </c>
      <c r="K1160" s="20" t="s">
        <v>10021</v>
      </c>
      <c r="L1160" s="3">
        <v>30</v>
      </c>
      <c r="M1160" s="3" t="s">
        <v>10080</v>
      </c>
      <c r="N1160" s="3" t="str">
        <f>HYPERLINK("http://ictvonline.org/taxonomyHistory.asp?taxnode_id=20160882","ICTVonline=20160882")</f>
        <v>ICTVonline=20160882</v>
      </c>
    </row>
    <row r="1161" spans="1:14" x14ac:dyDescent="0.15">
      <c r="A1161" s="3">
        <v>1160</v>
      </c>
      <c r="B1161" s="1" t="s">
        <v>923</v>
      </c>
      <c r="C1161" s="1" t="s">
        <v>928</v>
      </c>
      <c r="D1161" s="1" t="s">
        <v>929</v>
      </c>
      <c r="E1161" s="1" t="s">
        <v>1327</v>
      </c>
      <c r="F1161" s="1" t="s">
        <v>4280</v>
      </c>
      <c r="G1161" s="3">
        <v>0</v>
      </c>
      <c r="J1161" s="20" t="s">
        <v>2860</v>
      </c>
      <c r="K1161" s="20" t="s">
        <v>10021</v>
      </c>
      <c r="L1161" s="3">
        <v>30</v>
      </c>
      <c r="M1161" s="3" t="s">
        <v>10080</v>
      </c>
      <c r="N1161" s="3" t="str">
        <f>HYPERLINK("http://ictvonline.org/taxonomyHistory.asp?taxnode_id=20160883","ICTVonline=20160883")</f>
        <v>ICTVonline=20160883</v>
      </c>
    </row>
    <row r="1162" spans="1:14" x14ac:dyDescent="0.15">
      <c r="A1162" s="3">
        <v>1161</v>
      </c>
      <c r="B1162" s="1" t="s">
        <v>923</v>
      </c>
      <c r="C1162" s="1" t="s">
        <v>928</v>
      </c>
      <c r="D1162" s="1" t="s">
        <v>929</v>
      </c>
      <c r="E1162" s="1" t="s">
        <v>1327</v>
      </c>
      <c r="F1162" s="1" t="s">
        <v>4281</v>
      </c>
      <c r="G1162" s="3">
        <v>1</v>
      </c>
      <c r="J1162" s="20" t="s">
        <v>2860</v>
      </c>
      <c r="K1162" s="20" t="s">
        <v>10021</v>
      </c>
      <c r="L1162" s="3">
        <v>30</v>
      </c>
      <c r="M1162" s="3" t="s">
        <v>10080</v>
      </c>
      <c r="N1162" s="3" t="str">
        <f>HYPERLINK("http://ictvonline.org/taxonomyHistory.asp?taxnode_id=20160884","ICTVonline=20160884")</f>
        <v>ICTVonline=20160884</v>
      </c>
    </row>
    <row r="1163" spans="1:14" x14ac:dyDescent="0.15">
      <c r="A1163" s="3">
        <v>1162</v>
      </c>
      <c r="B1163" s="1" t="s">
        <v>923</v>
      </c>
      <c r="C1163" s="1" t="s">
        <v>928</v>
      </c>
      <c r="D1163" s="1" t="s">
        <v>929</v>
      </c>
      <c r="E1163" s="1" t="s">
        <v>1327</v>
      </c>
      <c r="F1163" s="1" t="s">
        <v>4282</v>
      </c>
      <c r="G1163" s="3">
        <v>0</v>
      </c>
      <c r="J1163" s="20" t="s">
        <v>2860</v>
      </c>
      <c r="K1163" s="20" t="s">
        <v>10021</v>
      </c>
      <c r="L1163" s="3">
        <v>30</v>
      </c>
      <c r="M1163" s="3" t="s">
        <v>10080</v>
      </c>
      <c r="N1163" s="3" t="str">
        <f>HYPERLINK("http://ictvonline.org/taxonomyHistory.asp?taxnode_id=20160885","ICTVonline=20160885")</f>
        <v>ICTVonline=20160885</v>
      </c>
    </row>
    <row r="1164" spans="1:14" x14ac:dyDescent="0.15">
      <c r="A1164" s="3">
        <v>1163</v>
      </c>
      <c r="B1164" s="1" t="s">
        <v>923</v>
      </c>
      <c r="C1164" s="1" t="s">
        <v>928</v>
      </c>
      <c r="D1164" s="1" t="s">
        <v>929</v>
      </c>
      <c r="E1164" s="1" t="s">
        <v>1327</v>
      </c>
      <c r="F1164" s="1" t="s">
        <v>4283</v>
      </c>
      <c r="G1164" s="3">
        <v>0</v>
      </c>
      <c r="J1164" s="20" t="s">
        <v>2860</v>
      </c>
      <c r="K1164" s="20" t="s">
        <v>10021</v>
      </c>
      <c r="L1164" s="3">
        <v>30</v>
      </c>
      <c r="M1164" s="3" t="s">
        <v>10080</v>
      </c>
      <c r="N1164" s="3" t="str">
        <f>HYPERLINK("http://ictvonline.org/taxonomyHistory.asp?taxnode_id=20160886","ICTVonline=20160886")</f>
        <v>ICTVonline=20160886</v>
      </c>
    </row>
    <row r="1165" spans="1:14" x14ac:dyDescent="0.15">
      <c r="A1165" s="3">
        <v>1164</v>
      </c>
      <c r="B1165" s="1" t="s">
        <v>923</v>
      </c>
      <c r="C1165" s="1" t="s">
        <v>928</v>
      </c>
      <c r="D1165" s="1" t="s">
        <v>1435</v>
      </c>
      <c r="E1165" s="1" t="s">
        <v>697</v>
      </c>
      <c r="F1165" s="1" t="s">
        <v>4284</v>
      </c>
      <c r="G1165" s="3">
        <v>0</v>
      </c>
      <c r="J1165" s="20" t="s">
        <v>2860</v>
      </c>
      <c r="K1165" s="20" t="s">
        <v>10021</v>
      </c>
      <c r="L1165" s="3">
        <v>30</v>
      </c>
      <c r="M1165" s="3" t="s">
        <v>10080</v>
      </c>
      <c r="N1165" s="3" t="str">
        <f>HYPERLINK("http://ictvonline.org/taxonomyHistory.asp?taxnode_id=20160889","ICTVonline=20160889")</f>
        <v>ICTVonline=20160889</v>
      </c>
    </row>
    <row r="1166" spans="1:14" x14ac:dyDescent="0.15">
      <c r="A1166" s="3">
        <v>1165</v>
      </c>
      <c r="B1166" s="1" t="s">
        <v>923</v>
      </c>
      <c r="C1166" s="1" t="s">
        <v>928</v>
      </c>
      <c r="D1166" s="1" t="s">
        <v>1435</v>
      </c>
      <c r="E1166" s="1" t="s">
        <v>697</v>
      </c>
      <c r="F1166" s="1" t="s">
        <v>4285</v>
      </c>
      <c r="G1166" s="3">
        <v>0</v>
      </c>
      <c r="J1166" s="20" t="s">
        <v>2860</v>
      </c>
      <c r="K1166" s="20" t="s">
        <v>10021</v>
      </c>
      <c r="L1166" s="3">
        <v>30</v>
      </c>
      <c r="M1166" s="3" t="s">
        <v>10080</v>
      </c>
      <c r="N1166" s="3" t="str">
        <f>HYPERLINK("http://ictvonline.org/taxonomyHistory.asp?taxnode_id=20160890","ICTVonline=20160890")</f>
        <v>ICTVonline=20160890</v>
      </c>
    </row>
    <row r="1167" spans="1:14" x14ac:dyDescent="0.15">
      <c r="A1167" s="3">
        <v>1166</v>
      </c>
      <c r="B1167" s="1" t="s">
        <v>923</v>
      </c>
      <c r="C1167" s="1" t="s">
        <v>928</v>
      </c>
      <c r="D1167" s="1" t="s">
        <v>1435</v>
      </c>
      <c r="E1167" s="1" t="s">
        <v>697</v>
      </c>
      <c r="F1167" s="1" t="s">
        <v>4286</v>
      </c>
      <c r="G1167" s="3">
        <v>0</v>
      </c>
      <c r="J1167" s="20" t="s">
        <v>2860</v>
      </c>
      <c r="K1167" s="20" t="s">
        <v>10021</v>
      </c>
      <c r="L1167" s="3">
        <v>30</v>
      </c>
      <c r="M1167" s="3" t="s">
        <v>10080</v>
      </c>
      <c r="N1167" s="3" t="str">
        <f>HYPERLINK("http://ictvonline.org/taxonomyHistory.asp?taxnode_id=20160891","ICTVonline=20160891")</f>
        <v>ICTVonline=20160891</v>
      </c>
    </row>
    <row r="1168" spans="1:14" x14ac:dyDescent="0.15">
      <c r="A1168" s="3">
        <v>1167</v>
      </c>
      <c r="B1168" s="1" t="s">
        <v>923</v>
      </c>
      <c r="C1168" s="1" t="s">
        <v>928</v>
      </c>
      <c r="D1168" s="1" t="s">
        <v>1435</v>
      </c>
      <c r="E1168" s="1" t="s">
        <v>697</v>
      </c>
      <c r="F1168" s="1" t="s">
        <v>4287</v>
      </c>
      <c r="G1168" s="3">
        <v>1</v>
      </c>
      <c r="J1168" s="20" t="s">
        <v>2860</v>
      </c>
      <c r="K1168" s="20" t="s">
        <v>10021</v>
      </c>
      <c r="L1168" s="3">
        <v>30</v>
      </c>
      <c r="M1168" s="3" t="s">
        <v>10080</v>
      </c>
      <c r="N1168" s="3" t="str">
        <f>HYPERLINK("http://ictvonline.org/taxonomyHistory.asp?taxnode_id=20160892","ICTVonline=20160892")</f>
        <v>ICTVonline=20160892</v>
      </c>
    </row>
    <row r="1169" spans="1:14" x14ac:dyDescent="0.15">
      <c r="A1169" s="3">
        <v>1168</v>
      </c>
      <c r="B1169" s="1" t="s">
        <v>923</v>
      </c>
      <c r="C1169" s="1" t="s">
        <v>928</v>
      </c>
      <c r="D1169" s="1" t="s">
        <v>1435</v>
      </c>
      <c r="E1169" s="1" t="s">
        <v>697</v>
      </c>
      <c r="F1169" s="1" t="s">
        <v>4288</v>
      </c>
      <c r="G1169" s="3">
        <v>0</v>
      </c>
      <c r="J1169" s="20" t="s">
        <v>2860</v>
      </c>
      <c r="K1169" s="20" t="s">
        <v>10021</v>
      </c>
      <c r="L1169" s="3">
        <v>30</v>
      </c>
      <c r="M1169" s="3" t="s">
        <v>10080</v>
      </c>
      <c r="N1169" s="3" t="str">
        <f>HYPERLINK("http://ictvonline.org/taxonomyHistory.asp?taxnode_id=20160893","ICTVonline=20160893")</f>
        <v>ICTVonline=20160893</v>
      </c>
    </row>
    <row r="1170" spans="1:14" x14ac:dyDescent="0.15">
      <c r="A1170" s="3">
        <v>1169</v>
      </c>
      <c r="B1170" s="1" t="s">
        <v>923</v>
      </c>
      <c r="C1170" s="1" t="s">
        <v>928</v>
      </c>
      <c r="D1170" s="1" t="s">
        <v>1435</v>
      </c>
      <c r="E1170" s="1" t="s">
        <v>697</v>
      </c>
      <c r="F1170" s="1" t="s">
        <v>4289</v>
      </c>
      <c r="G1170" s="3">
        <v>0</v>
      </c>
      <c r="J1170" s="20" t="s">
        <v>2860</v>
      </c>
      <c r="K1170" s="20" t="s">
        <v>10021</v>
      </c>
      <c r="L1170" s="3">
        <v>30</v>
      </c>
      <c r="M1170" s="3" t="s">
        <v>10080</v>
      </c>
      <c r="N1170" s="3" t="str">
        <f>HYPERLINK("http://ictvonline.org/taxonomyHistory.asp?taxnode_id=20160894","ICTVonline=20160894")</f>
        <v>ICTVonline=20160894</v>
      </c>
    </row>
    <row r="1171" spans="1:14" x14ac:dyDescent="0.15">
      <c r="A1171" s="3">
        <v>1170</v>
      </c>
      <c r="B1171" s="1" t="s">
        <v>923</v>
      </c>
      <c r="C1171" s="1" t="s">
        <v>928</v>
      </c>
      <c r="D1171" s="1" t="s">
        <v>1435</v>
      </c>
      <c r="E1171" s="1" t="s">
        <v>697</v>
      </c>
      <c r="F1171" s="1" t="s">
        <v>4290</v>
      </c>
      <c r="G1171" s="3">
        <v>0</v>
      </c>
      <c r="J1171" s="20" t="s">
        <v>2860</v>
      </c>
      <c r="K1171" s="20" t="s">
        <v>10021</v>
      </c>
      <c r="L1171" s="3">
        <v>30</v>
      </c>
      <c r="M1171" s="3" t="s">
        <v>10080</v>
      </c>
      <c r="N1171" s="3" t="str">
        <f>HYPERLINK("http://ictvonline.org/taxonomyHistory.asp?taxnode_id=20160895","ICTVonline=20160895")</f>
        <v>ICTVonline=20160895</v>
      </c>
    </row>
    <row r="1172" spans="1:14" x14ac:dyDescent="0.15">
      <c r="A1172" s="3">
        <v>1171</v>
      </c>
      <c r="B1172" s="1" t="s">
        <v>923</v>
      </c>
      <c r="C1172" s="1" t="s">
        <v>928</v>
      </c>
      <c r="D1172" s="1" t="s">
        <v>1435</v>
      </c>
      <c r="E1172" s="1" t="s">
        <v>697</v>
      </c>
      <c r="F1172" s="1" t="s">
        <v>4291</v>
      </c>
      <c r="G1172" s="3">
        <v>0</v>
      </c>
      <c r="J1172" s="20" t="s">
        <v>2860</v>
      </c>
      <c r="K1172" s="20" t="s">
        <v>10021</v>
      </c>
      <c r="L1172" s="3">
        <v>30</v>
      </c>
      <c r="M1172" s="3" t="s">
        <v>10080</v>
      </c>
      <c r="N1172" s="3" t="str">
        <f>HYPERLINK("http://ictvonline.org/taxonomyHistory.asp?taxnode_id=20160896","ICTVonline=20160896")</f>
        <v>ICTVonline=20160896</v>
      </c>
    </row>
    <row r="1173" spans="1:14" x14ac:dyDescent="0.15">
      <c r="A1173" s="3">
        <v>1172</v>
      </c>
      <c r="B1173" s="1" t="s">
        <v>923</v>
      </c>
      <c r="C1173" s="1" t="s">
        <v>928</v>
      </c>
      <c r="D1173" s="1" t="s">
        <v>1435</v>
      </c>
      <c r="E1173" s="1" t="s">
        <v>698</v>
      </c>
      <c r="F1173" s="1" t="s">
        <v>4292</v>
      </c>
      <c r="G1173" s="3">
        <v>1</v>
      </c>
      <c r="J1173" s="20" t="s">
        <v>2860</v>
      </c>
      <c r="K1173" s="20" t="s">
        <v>10021</v>
      </c>
      <c r="L1173" s="3">
        <v>30</v>
      </c>
      <c r="M1173" s="3" t="s">
        <v>10080</v>
      </c>
      <c r="N1173" s="3" t="str">
        <f>HYPERLINK("http://ictvonline.org/taxonomyHistory.asp?taxnode_id=20160898","ICTVonline=20160898")</f>
        <v>ICTVonline=20160898</v>
      </c>
    </row>
    <row r="1174" spans="1:14" x14ac:dyDescent="0.15">
      <c r="A1174" s="3">
        <v>1173</v>
      </c>
      <c r="B1174" s="1" t="s">
        <v>923</v>
      </c>
      <c r="C1174" s="1" t="s">
        <v>928</v>
      </c>
      <c r="D1174" s="1" t="s">
        <v>1435</v>
      </c>
      <c r="E1174" s="1" t="s">
        <v>698</v>
      </c>
      <c r="F1174" s="1" t="s">
        <v>4293</v>
      </c>
      <c r="G1174" s="3">
        <v>0</v>
      </c>
      <c r="J1174" s="20" t="s">
        <v>2860</v>
      </c>
      <c r="K1174" s="20" t="s">
        <v>10021</v>
      </c>
      <c r="L1174" s="3">
        <v>30</v>
      </c>
      <c r="M1174" s="3" t="s">
        <v>10080</v>
      </c>
      <c r="N1174" s="3" t="str">
        <f>HYPERLINK("http://ictvonline.org/taxonomyHistory.asp?taxnode_id=20160899","ICTVonline=20160899")</f>
        <v>ICTVonline=20160899</v>
      </c>
    </row>
    <row r="1175" spans="1:14" x14ac:dyDescent="0.15">
      <c r="A1175" s="3">
        <v>1174</v>
      </c>
      <c r="B1175" s="1" t="s">
        <v>923</v>
      </c>
      <c r="C1175" s="1" t="s">
        <v>928</v>
      </c>
      <c r="D1175" s="1" t="s">
        <v>1435</v>
      </c>
      <c r="E1175" s="1" t="s">
        <v>698</v>
      </c>
      <c r="F1175" s="1" t="s">
        <v>4294</v>
      </c>
      <c r="G1175" s="3">
        <v>0</v>
      </c>
      <c r="J1175" s="20" t="s">
        <v>2860</v>
      </c>
      <c r="K1175" s="20" t="s">
        <v>10021</v>
      </c>
      <c r="L1175" s="3">
        <v>30</v>
      </c>
      <c r="M1175" s="3" t="s">
        <v>10080</v>
      </c>
      <c r="N1175" s="3" t="str">
        <f>HYPERLINK("http://ictvonline.org/taxonomyHistory.asp?taxnode_id=20160900","ICTVonline=20160900")</f>
        <v>ICTVonline=20160900</v>
      </c>
    </row>
    <row r="1176" spans="1:14" x14ac:dyDescent="0.15">
      <c r="A1176" s="3">
        <v>1175</v>
      </c>
      <c r="B1176" s="1" t="s">
        <v>923</v>
      </c>
      <c r="C1176" s="1" t="s">
        <v>928</v>
      </c>
      <c r="D1176" s="1" t="s">
        <v>1435</v>
      </c>
      <c r="E1176" s="1" t="s">
        <v>1437</v>
      </c>
      <c r="F1176" s="1" t="s">
        <v>4295</v>
      </c>
      <c r="G1176" s="3">
        <v>1</v>
      </c>
      <c r="J1176" s="20" t="s">
        <v>2860</v>
      </c>
      <c r="K1176" s="20" t="s">
        <v>10021</v>
      </c>
      <c r="L1176" s="3">
        <v>30</v>
      </c>
      <c r="M1176" s="3" t="s">
        <v>10080</v>
      </c>
      <c r="N1176" s="3" t="str">
        <f>HYPERLINK("http://ictvonline.org/taxonomyHistory.asp?taxnode_id=20160902","ICTVonline=20160902")</f>
        <v>ICTVonline=20160902</v>
      </c>
    </row>
    <row r="1177" spans="1:14" x14ac:dyDescent="0.15">
      <c r="A1177" s="3">
        <v>1176</v>
      </c>
      <c r="B1177" s="1" t="s">
        <v>923</v>
      </c>
      <c r="C1177" s="1" t="s">
        <v>928</v>
      </c>
      <c r="D1177" s="1" t="s">
        <v>1435</v>
      </c>
      <c r="E1177" s="1" t="s">
        <v>1438</v>
      </c>
      <c r="F1177" s="1" t="s">
        <v>4296</v>
      </c>
      <c r="G1177" s="3">
        <v>0</v>
      </c>
      <c r="J1177" s="20" t="s">
        <v>2860</v>
      </c>
      <c r="K1177" s="20" t="s">
        <v>10021</v>
      </c>
      <c r="L1177" s="3">
        <v>30</v>
      </c>
      <c r="M1177" s="3" t="s">
        <v>10080</v>
      </c>
      <c r="N1177" s="3" t="str">
        <f>HYPERLINK("http://ictvonline.org/taxonomyHistory.asp?taxnode_id=20160904","ICTVonline=20160904")</f>
        <v>ICTVonline=20160904</v>
      </c>
    </row>
    <row r="1178" spans="1:14" x14ac:dyDescent="0.15">
      <c r="A1178" s="3">
        <v>1177</v>
      </c>
      <c r="B1178" s="1" t="s">
        <v>923</v>
      </c>
      <c r="C1178" s="1" t="s">
        <v>928</v>
      </c>
      <c r="D1178" s="1" t="s">
        <v>1435</v>
      </c>
      <c r="E1178" s="1" t="s">
        <v>1438</v>
      </c>
      <c r="F1178" s="1" t="s">
        <v>4297</v>
      </c>
      <c r="G1178" s="3">
        <v>1</v>
      </c>
      <c r="J1178" s="20" t="s">
        <v>2860</v>
      </c>
      <c r="K1178" s="20" t="s">
        <v>10021</v>
      </c>
      <c r="L1178" s="3">
        <v>30</v>
      </c>
      <c r="M1178" s="3" t="s">
        <v>10080</v>
      </c>
      <c r="N1178" s="3" t="str">
        <f>HYPERLINK("http://ictvonline.org/taxonomyHistory.asp?taxnode_id=20160905","ICTVonline=20160905")</f>
        <v>ICTVonline=20160905</v>
      </c>
    </row>
    <row r="1179" spans="1:14" x14ac:dyDescent="0.15">
      <c r="A1179" s="3">
        <v>1178</v>
      </c>
      <c r="B1179" s="1" t="s">
        <v>923</v>
      </c>
      <c r="C1179" s="1" t="s">
        <v>928</v>
      </c>
      <c r="D1179" s="1" t="s">
        <v>1435</v>
      </c>
      <c r="E1179" s="1" t="s">
        <v>1438</v>
      </c>
      <c r="F1179" s="1" t="s">
        <v>4298</v>
      </c>
      <c r="G1179" s="3">
        <v>0</v>
      </c>
      <c r="J1179" s="20" t="s">
        <v>2860</v>
      </c>
      <c r="K1179" s="20" t="s">
        <v>10021</v>
      </c>
      <c r="L1179" s="3">
        <v>30</v>
      </c>
      <c r="M1179" s="3" t="s">
        <v>10080</v>
      </c>
      <c r="N1179" s="3" t="str">
        <f>HYPERLINK("http://ictvonline.org/taxonomyHistory.asp?taxnode_id=20160906","ICTVonline=20160906")</f>
        <v>ICTVonline=20160906</v>
      </c>
    </row>
    <row r="1180" spans="1:14" x14ac:dyDescent="0.15">
      <c r="A1180" s="3">
        <v>1179</v>
      </c>
      <c r="B1180" s="1" t="s">
        <v>923</v>
      </c>
      <c r="C1180" s="1" t="s">
        <v>928</v>
      </c>
      <c r="D1180" s="1" t="s">
        <v>1435</v>
      </c>
      <c r="E1180" s="1" t="s">
        <v>926</v>
      </c>
      <c r="F1180" s="1" t="s">
        <v>4299</v>
      </c>
      <c r="G1180" s="3">
        <v>0</v>
      </c>
      <c r="J1180" s="20" t="s">
        <v>2860</v>
      </c>
      <c r="K1180" s="20" t="s">
        <v>10021</v>
      </c>
      <c r="L1180" s="3">
        <v>30</v>
      </c>
      <c r="M1180" s="3" t="s">
        <v>10080</v>
      </c>
      <c r="N1180" s="3" t="str">
        <f>HYPERLINK("http://ictvonline.org/taxonomyHistory.asp?taxnode_id=20160908","ICTVonline=20160908")</f>
        <v>ICTVonline=20160908</v>
      </c>
    </row>
    <row r="1181" spans="1:14" x14ac:dyDescent="0.15">
      <c r="A1181" s="3">
        <v>1180</v>
      </c>
      <c r="B1181" s="1" t="s">
        <v>923</v>
      </c>
      <c r="C1181" s="1" t="s">
        <v>928</v>
      </c>
      <c r="D1181" s="1" t="s">
        <v>1435</v>
      </c>
      <c r="E1181" s="1" t="s">
        <v>926</v>
      </c>
      <c r="F1181" s="1" t="s">
        <v>4300</v>
      </c>
      <c r="G1181" s="3">
        <v>0</v>
      </c>
      <c r="J1181" s="20" t="s">
        <v>2860</v>
      </c>
      <c r="K1181" s="20" t="s">
        <v>10021</v>
      </c>
      <c r="L1181" s="3">
        <v>30</v>
      </c>
      <c r="M1181" s="3" t="s">
        <v>10080</v>
      </c>
      <c r="N1181" s="3" t="str">
        <f>HYPERLINK("http://ictvonline.org/taxonomyHistory.asp?taxnode_id=20160909","ICTVonline=20160909")</f>
        <v>ICTVonline=20160909</v>
      </c>
    </row>
    <row r="1182" spans="1:14" x14ac:dyDescent="0.15">
      <c r="A1182" s="3">
        <v>1181</v>
      </c>
      <c r="B1182" s="1" t="s">
        <v>923</v>
      </c>
      <c r="C1182" s="1" t="s">
        <v>928</v>
      </c>
      <c r="D1182" s="1" t="s">
        <v>1435</v>
      </c>
      <c r="E1182" s="1" t="s">
        <v>926</v>
      </c>
      <c r="F1182" s="1" t="s">
        <v>4301</v>
      </c>
      <c r="G1182" s="3">
        <v>0</v>
      </c>
      <c r="J1182" s="20" t="s">
        <v>2860</v>
      </c>
      <c r="K1182" s="20" t="s">
        <v>10021</v>
      </c>
      <c r="L1182" s="3">
        <v>30</v>
      </c>
      <c r="M1182" s="3" t="s">
        <v>10080</v>
      </c>
      <c r="N1182" s="3" t="str">
        <f>HYPERLINK("http://ictvonline.org/taxonomyHistory.asp?taxnode_id=20160910","ICTVonline=20160910")</f>
        <v>ICTVonline=20160910</v>
      </c>
    </row>
    <row r="1183" spans="1:14" x14ac:dyDescent="0.15">
      <c r="A1183" s="3">
        <v>1182</v>
      </c>
      <c r="B1183" s="1" t="s">
        <v>923</v>
      </c>
      <c r="C1183" s="1" t="s">
        <v>928</v>
      </c>
      <c r="D1183" s="1" t="s">
        <v>1442</v>
      </c>
      <c r="E1183" s="1" t="s">
        <v>1333</v>
      </c>
      <c r="F1183" s="1" t="s">
        <v>4302</v>
      </c>
      <c r="G1183" s="3">
        <v>0</v>
      </c>
      <c r="J1183" s="20" t="s">
        <v>2860</v>
      </c>
      <c r="K1183" s="20" t="s">
        <v>10021</v>
      </c>
      <c r="L1183" s="3">
        <v>30</v>
      </c>
      <c r="M1183" s="3" t="s">
        <v>10080</v>
      </c>
      <c r="N1183" s="3" t="str">
        <f>HYPERLINK("http://ictvonline.org/taxonomyHistory.asp?taxnode_id=20160913","ICTVonline=20160913")</f>
        <v>ICTVonline=20160913</v>
      </c>
    </row>
    <row r="1184" spans="1:14" x14ac:dyDescent="0.15">
      <c r="A1184" s="3">
        <v>1183</v>
      </c>
      <c r="B1184" s="1" t="s">
        <v>923</v>
      </c>
      <c r="C1184" s="1" t="s">
        <v>928</v>
      </c>
      <c r="D1184" s="1" t="s">
        <v>1442</v>
      </c>
      <c r="E1184" s="1" t="s">
        <v>1333</v>
      </c>
      <c r="F1184" s="1" t="s">
        <v>4303</v>
      </c>
      <c r="G1184" s="3">
        <v>0</v>
      </c>
      <c r="J1184" s="20" t="s">
        <v>2860</v>
      </c>
      <c r="K1184" s="20" t="s">
        <v>10021</v>
      </c>
      <c r="L1184" s="3">
        <v>30</v>
      </c>
      <c r="M1184" s="3" t="s">
        <v>10080</v>
      </c>
      <c r="N1184" s="3" t="str">
        <f>HYPERLINK("http://ictvonline.org/taxonomyHistory.asp?taxnode_id=20160914","ICTVonline=20160914")</f>
        <v>ICTVonline=20160914</v>
      </c>
    </row>
    <row r="1185" spans="1:14" x14ac:dyDescent="0.15">
      <c r="A1185" s="3">
        <v>1184</v>
      </c>
      <c r="B1185" s="1" t="s">
        <v>923</v>
      </c>
      <c r="C1185" s="1" t="s">
        <v>928</v>
      </c>
      <c r="D1185" s="1" t="s">
        <v>1442</v>
      </c>
      <c r="E1185" s="1" t="s">
        <v>1333</v>
      </c>
      <c r="F1185" s="1" t="s">
        <v>4304</v>
      </c>
      <c r="G1185" s="3">
        <v>0</v>
      </c>
      <c r="J1185" s="20" t="s">
        <v>2860</v>
      </c>
      <c r="K1185" s="20" t="s">
        <v>10021</v>
      </c>
      <c r="L1185" s="3">
        <v>30</v>
      </c>
      <c r="M1185" s="3" t="s">
        <v>10080</v>
      </c>
      <c r="N1185" s="3" t="str">
        <f>HYPERLINK("http://ictvonline.org/taxonomyHistory.asp?taxnode_id=20160915","ICTVonline=20160915")</f>
        <v>ICTVonline=20160915</v>
      </c>
    </row>
    <row r="1186" spans="1:14" x14ac:dyDescent="0.15">
      <c r="A1186" s="3">
        <v>1185</v>
      </c>
      <c r="B1186" s="1" t="s">
        <v>923</v>
      </c>
      <c r="C1186" s="1" t="s">
        <v>928</v>
      </c>
      <c r="D1186" s="1" t="s">
        <v>1442</v>
      </c>
      <c r="E1186" s="1" t="s">
        <v>1333</v>
      </c>
      <c r="F1186" s="1" t="s">
        <v>4305</v>
      </c>
      <c r="G1186" s="3">
        <v>1</v>
      </c>
      <c r="J1186" s="20" t="s">
        <v>2860</v>
      </c>
      <c r="K1186" s="20" t="s">
        <v>10021</v>
      </c>
      <c r="L1186" s="3">
        <v>30</v>
      </c>
      <c r="M1186" s="3" t="s">
        <v>10080</v>
      </c>
      <c r="N1186" s="3" t="str">
        <f>HYPERLINK("http://ictvonline.org/taxonomyHistory.asp?taxnode_id=20160916","ICTVonline=20160916")</f>
        <v>ICTVonline=20160916</v>
      </c>
    </row>
    <row r="1187" spans="1:14" x14ac:dyDescent="0.15">
      <c r="A1187" s="3">
        <v>1186</v>
      </c>
      <c r="B1187" s="1" t="s">
        <v>923</v>
      </c>
      <c r="C1187" s="1" t="s">
        <v>928</v>
      </c>
      <c r="D1187" s="1" t="s">
        <v>1442</v>
      </c>
      <c r="E1187" s="1" t="s">
        <v>1333</v>
      </c>
      <c r="F1187" s="1" t="s">
        <v>4306</v>
      </c>
      <c r="G1187" s="3">
        <v>0</v>
      </c>
      <c r="J1187" s="20" t="s">
        <v>2860</v>
      </c>
      <c r="K1187" s="20" t="s">
        <v>10021</v>
      </c>
      <c r="L1187" s="3">
        <v>30</v>
      </c>
      <c r="M1187" s="3" t="s">
        <v>10080</v>
      </c>
      <c r="N1187" s="3" t="str">
        <f>HYPERLINK("http://ictvonline.org/taxonomyHistory.asp?taxnode_id=20160917","ICTVonline=20160917")</f>
        <v>ICTVonline=20160917</v>
      </c>
    </row>
    <row r="1188" spans="1:14" x14ac:dyDescent="0.15">
      <c r="A1188" s="3">
        <v>1187</v>
      </c>
      <c r="B1188" s="1" t="s">
        <v>923</v>
      </c>
      <c r="C1188" s="1" t="s">
        <v>928</v>
      </c>
      <c r="D1188" s="1" t="s">
        <v>1442</v>
      </c>
      <c r="E1188" s="1" t="s">
        <v>1333</v>
      </c>
      <c r="F1188" s="1" t="s">
        <v>4307</v>
      </c>
      <c r="G1188" s="3">
        <v>0</v>
      </c>
      <c r="J1188" s="20" t="s">
        <v>2860</v>
      </c>
      <c r="K1188" s="20" t="s">
        <v>10021</v>
      </c>
      <c r="L1188" s="3">
        <v>30</v>
      </c>
      <c r="M1188" s="3" t="s">
        <v>10080</v>
      </c>
      <c r="N1188" s="3" t="str">
        <f>HYPERLINK("http://ictvonline.org/taxonomyHistory.asp?taxnode_id=20160918","ICTVonline=20160918")</f>
        <v>ICTVonline=20160918</v>
      </c>
    </row>
    <row r="1189" spans="1:14" x14ac:dyDescent="0.15">
      <c r="A1189" s="3">
        <v>1188</v>
      </c>
      <c r="B1189" s="1" t="s">
        <v>923</v>
      </c>
      <c r="C1189" s="1" t="s">
        <v>928</v>
      </c>
      <c r="D1189" s="1" t="s">
        <v>1442</v>
      </c>
      <c r="E1189" s="1" t="s">
        <v>1333</v>
      </c>
      <c r="F1189" s="1" t="s">
        <v>4308</v>
      </c>
      <c r="G1189" s="3">
        <v>0</v>
      </c>
      <c r="J1189" s="20" t="s">
        <v>2860</v>
      </c>
      <c r="K1189" s="20" t="s">
        <v>10021</v>
      </c>
      <c r="L1189" s="3">
        <v>30</v>
      </c>
      <c r="M1189" s="3" t="s">
        <v>10080</v>
      </c>
      <c r="N1189" s="3" t="str">
        <f>HYPERLINK("http://ictvonline.org/taxonomyHistory.asp?taxnode_id=20160919","ICTVonline=20160919")</f>
        <v>ICTVonline=20160919</v>
      </c>
    </row>
    <row r="1190" spans="1:14" x14ac:dyDescent="0.15">
      <c r="A1190" s="3">
        <v>1189</v>
      </c>
      <c r="B1190" s="1" t="s">
        <v>923</v>
      </c>
      <c r="C1190" s="1" t="s">
        <v>928</v>
      </c>
      <c r="D1190" s="1" t="s">
        <v>1442</v>
      </c>
      <c r="E1190" s="1" t="s">
        <v>1333</v>
      </c>
      <c r="F1190" s="1" t="s">
        <v>4309</v>
      </c>
      <c r="G1190" s="3">
        <v>0</v>
      </c>
      <c r="J1190" s="20" t="s">
        <v>2860</v>
      </c>
      <c r="K1190" s="20" t="s">
        <v>10021</v>
      </c>
      <c r="L1190" s="3">
        <v>30</v>
      </c>
      <c r="M1190" s="3" t="s">
        <v>10080</v>
      </c>
      <c r="N1190" s="3" t="str">
        <f>HYPERLINK("http://ictvonline.org/taxonomyHistory.asp?taxnode_id=20160920","ICTVonline=20160920")</f>
        <v>ICTVonline=20160920</v>
      </c>
    </row>
    <row r="1191" spans="1:14" x14ac:dyDescent="0.15">
      <c r="A1191" s="3">
        <v>1190</v>
      </c>
      <c r="B1191" s="1" t="s">
        <v>923</v>
      </c>
      <c r="C1191" s="1" t="s">
        <v>928</v>
      </c>
      <c r="D1191" s="1" t="s">
        <v>1442</v>
      </c>
      <c r="E1191" s="1" t="s">
        <v>1357</v>
      </c>
      <c r="F1191" s="1" t="s">
        <v>4310</v>
      </c>
      <c r="G1191" s="3">
        <v>1</v>
      </c>
      <c r="J1191" s="20" t="s">
        <v>2860</v>
      </c>
      <c r="K1191" s="20" t="s">
        <v>10021</v>
      </c>
      <c r="L1191" s="3">
        <v>30</v>
      </c>
      <c r="M1191" s="3" t="s">
        <v>10080</v>
      </c>
      <c r="N1191" s="3" t="str">
        <f>HYPERLINK("http://ictvonline.org/taxonomyHistory.asp?taxnode_id=20160922","ICTVonline=20160922")</f>
        <v>ICTVonline=20160922</v>
      </c>
    </row>
    <row r="1192" spans="1:14" x14ac:dyDescent="0.15">
      <c r="A1192" s="3">
        <v>1191</v>
      </c>
      <c r="B1192" s="1" t="s">
        <v>923</v>
      </c>
      <c r="C1192" s="1" t="s">
        <v>928</v>
      </c>
      <c r="D1192" s="1" t="s">
        <v>1442</v>
      </c>
      <c r="E1192" s="1" t="s">
        <v>1357</v>
      </c>
      <c r="F1192" s="1" t="s">
        <v>4311</v>
      </c>
      <c r="G1192" s="3">
        <v>0</v>
      </c>
      <c r="J1192" s="20" t="s">
        <v>2860</v>
      </c>
      <c r="K1192" s="20" t="s">
        <v>10021</v>
      </c>
      <c r="L1192" s="3">
        <v>30</v>
      </c>
      <c r="M1192" s="3" t="s">
        <v>10080</v>
      </c>
      <c r="N1192" s="3" t="str">
        <f>HYPERLINK("http://ictvonline.org/taxonomyHistory.asp?taxnode_id=20160923","ICTVonline=20160923")</f>
        <v>ICTVonline=20160923</v>
      </c>
    </row>
    <row r="1193" spans="1:14" x14ac:dyDescent="0.15">
      <c r="A1193" s="3">
        <v>1192</v>
      </c>
      <c r="B1193" s="1" t="s">
        <v>923</v>
      </c>
      <c r="C1193" s="1" t="s">
        <v>928</v>
      </c>
      <c r="D1193" s="1" t="s">
        <v>1442</v>
      </c>
      <c r="E1193" s="1" t="s">
        <v>1357</v>
      </c>
      <c r="F1193" s="1" t="s">
        <v>4312</v>
      </c>
      <c r="G1193" s="3">
        <v>0</v>
      </c>
      <c r="J1193" s="20" t="s">
        <v>2860</v>
      </c>
      <c r="K1193" s="20" t="s">
        <v>10021</v>
      </c>
      <c r="L1193" s="3">
        <v>30</v>
      </c>
      <c r="M1193" s="3" t="s">
        <v>10080</v>
      </c>
      <c r="N1193" s="3" t="str">
        <f>HYPERLINK("http://ictvonline.org/taxonomyHistory.asp?taxnode_id=20160924","ICTVonline=20160924")</f>
        <v>ICTVonline=20160924</v>
      </c>
    </row>
    <row r="1194" spans="1:14" x14ac:dyDescent="0.15">
      <c r="A1194" s="3">
        <v>1193</v>
      </c>
      <c r="B1194" s="1" t="s">
        <v>923</v>
      </c>
      <c r="C1194" s="1" t="s">
        <v>928</v>
      </c>
      <c r="D1194" s="1" t="s">
        <v>1442</v>
      </c>
      <c r="E1194" s="1" t="s">
        <v>1357</v>
      </c>
      <c r="F1194" s="1" t="s">
        <v>4313</v>
      </c>
      <c r="G1194" s="3">
        <v>0</v>
      </c>
      <c r="J1194" s="20" t="s">
        <v>2860</v>
      </c>
      <c r="K1194" s="20" t="s">
        <v>10021</v>
      </c>
      <c r="L1194" s="3">
        <v>30</v>
      </c>
      <c r="M1194" s="3" t="s">
        <v>10080</v>
      </c>
      <c r="N1194" s="3" t="str">
        <f>HYPERLINK("http://ictvonline.org/taxonomyHistory.asp?taxnode_id=20160925","ICTVonline=20160925")</f>
        <v>ICTVonline=20160925</v>
      </c>
    </row>
    <row r="1195" spans="1:14" x14ac:dyDescent="0.15">
      <c r="A1195" s="3">
        <v>1194</v>
      </c>
      <c r="B1195" s="1" t="s">
        <v>923</v>
      </c>
      <c r="C1195" s="1" t="s">
        <v>928</v>
      </c>
      <c r="D1195" s="1" t="s">
        <v>1442</v>
      </c>
      <c r="E1195" s="1" t="s">
        <v>1357</v>
      </c>
      <c r="F1195" s="1" t="s">
        <v>4314</v>
      </c>
      <c r="G1195" s="3">
        <v>0</v>
      </c>
      <c r="J1195" s="20" t="s">
        <v>2860</v>
      </c>
      <c r="K1195" s="20" t="s">
        <v>10021</v>
      </c>
      <c r="L1195" s="3">
        <v>30</v>
      </c>
      <c r="M1195" s="3" t="s">
        <v>10080</v>
      </c>
      <c r="N1195" s="3" t="str">
        <f>HYPERLINK("http://ictvonline.org/taxonomyHistory.asp?taxnode_id=20160926","ICTVonline=20160926")</f>
        <v>ICTVonline=20160926</v>
      </c>
    </row>
    <row r="1196" spans="1:14" x14ac:dyDescent="0.15">
      <c r="A1196" s="3">
        <v>1195</v>
      </c>
      <c r="B1196" s="1" t="s">
        <v>923</v>
      </c>
      <c r="C1196" s="1" t="s">
        <v>928</v>
      </c>
      <c r="D1196" s="1" t="s">
        <v>1442</v>
      </c>
      <c r="E1196" s="1" t="s">
        <v>1357</v>
      </c>
      <c r="F1196" s="1" t="s">
        <v>4315</v>
      </c>
      <c r="G1196" s="3">
        <v>0</v>
      </c>
      <c r="J1196" s="20" t="s">
        <v>2860</v>
      </c>
      <c r="K1196" s="20" t="s">
        <v>10021</v>
      </c>
      <c r="L1196" s="3">
        <v>30</v>
      </c>
      <c r="M1196" s="3" t="s">
        <v>10080</v>
      </c>
      <c r="N1196" s="3" t="str">
        <f>HYPERLINK("http://ictvonline.org/taxonomyHistory.asp?taxnode_id=20160927","ICTVonline=20160927")</f>
        <v>ICTVonline=20160927</v>
      </c>
    </row>
    <row r="1197" spans="1:14" x14ac:dyDescent="0.15">
      <c r="A1197" s="3">
        <v>1196</v>
      </c>
      <c r="B1197" s="1" t="s">
        <v>923</v>
      </c>
      <c r="C1197" s="1" t="s">
        <v>928</v>
      </c>
      <c r="D1197" s="1" t="s">
        <v>1442</v>
      </c>
      <c r="E1197" s="1" t="s">
        <v>1357</v>
      </c>
      <c r="F1197" s="1" t="s">
        <v>4316</v>
      </c>
      <c r="G1197" s="3">
        <v>0</v>
      </c>
      <c r="J1197" s="20" t="s">
        <v>2860</v>
      </c>
      <c r="K1197" s="20" t="s">
        <v>10021</v>
      </c>
      <c r="L1197" s="3">
        <v>30</v>
      </c>
      <c r="M1197" s="3" t="s">
        <v>10080</v>
      </c>
      <c r="N1197" s="3" t="str">
        <f>HYPERLINK("http://ictvonline.org/taxonomyHistory.asp?taxnode_id=20160928","ICTVonline=20160928")</f>
        <v>ICTVonline=20160928</v>
      </c>
    </row>
    <row r="1198" spans="1:14" x14ac:dyDescent="0.15">
      <c r="A1198" s="3">
        <v>1197</v>
      </c>
      <c r="B1198" s="1" t="s">
        <v>923</v>
      </c>
      <c r="C1198" s="1" t="s">
        <v>928</v>
      </c>
      <c r="D1198" s="1" t="s">
        <v>1442</v>
      </c>
      <c r="E1198" s="1" t="s">
        <v>1357</v>
      </c>
      <c r="F1198" s="1" t="s">
        <v>4317</v>
      </c>
      <c r="G1198" s="3">
        <v>0</v>
      </c>
      <c r="J1198" s="20" t="s">
        <v>2860</v>
      </c>
      <c r="K1198" s="20" t="s">
        <v>10021</v>
      </c>
      <c r="L1198" s="3">
        <v>30</v>
      </c>
      <c r="M1198" s="3" t="s">
        <v>10080</v>
      </c>
      <c r="N1198" s="3" t="str">
        <f>HYPERLINK("http://ictvonline.org/taxonomyHistory.asp?taxnode_id=20160929","ICTVonline=20160929")</f>
        <v>ICTVonline=20160929</v>
      </c>
    </row>
    <row r="1199" spans="1:14" x14ac:dyDescent="0.15">
      <c r="A1199" s="3">
        <v>1198</v>
      </c>
      <c r="B1199" s="1" t="s">
        <v>923</v>
      </c>
      <c r="C1199" s="1" t="s">
        <v>928</v>
      </c>
      <c r="D1199" s="1" t="s">
        <v>1442</v>
      </c>
      <c r="E1199" s="1" t="s">
        <v>1357</v>
      </c>
      <c r="F1199" s="1" t="s">
        <v>4318</v>
      </c>
      <c r="G1199" s="3">
        <v>0</v>
      </c>
      <c r="J1199" s="20" t="s">
        <v>2860</v>
      </c>
      <c r="K1199" s="20" t="s">
        <v>10021</v>
      </c>
      <c r="L1199" s="3">
        <v>30</v>
      </c>
      <c r="M1199" s="3" t="s">
        <v>10080</v>
      </c>
      <c r="N1199" s="3" t="str">
        <f>HYPERLINK("http://ictvonline.org/taxonomyHistory.asp?taxnode_id=20160930","ICTVonline=20160930")</f>
        <v>ICTVonline=20160930</v>
      </c>
    </row>
    <row r="1200" spans="1:14" x14ac:dyDescent="0.15">
      <c r="A1200" s="3">
        <v>1199</v>
      </c>
      <c r="B1200" s="1" t="s">
        <v>923</v>
      </c>
      <c r="C1200" s="1" t="s">
        <v>928</v>
      </c>
      <c r="D1200" s="1" t="s">
        <v>1442</v>
      </c>
      <c r="E1200" s="1" t="s">
        <v>1324</v>
      </c>
      <c r="F1200" s="1" t="s">
        <v>4319</v>
      </c>
      <c r="G1200" s="3">
        <v>1</v>
      </c>
      <c r="J1200" s="20" t="s">
        <v>2860</v>
      </c>
      <c r="K1200" s="20" t="s">
        <v>10021</v>
      </c>
      <c r="L1200" s="3">
        <v>30</v>
      </c>
      <c r="M1200" s="3" t="s">
        <v>10080</v>
      </c>
      <c r="N1200" s="3" t="str">
        <f>HYPERLINK("http://ictvonline.org/taxonomyHistory.asp?taxnode_id=20160932","ICTVonline=20160932")</f>
        <v>ICTVonline=20160932</v>
      </c>
    </row>
    <row r="1201" spans="1:14" x14ac:dyDescent="0.15">
      <c r="A1201" s="3">
        <v>1200</v>
      </c>
      <c r="B1201" s="1" t="s">
        <v>923</v>
      </c>
      <c r="C1201" s="1" t="s">
        <v>928</v>
      </c>
      <c r="D1201" s="1" t="s">
        <v>1442</v>
      </c>
      <c r="E1201" s="1" t="s">
        <v>1324</v>
      </c>
      <c r="F1201" s="1" t="s">
        <v>4320</v>
      </c>
      <c r="G1201" s="3">
        <v>0</v>
      </c>
      <c r="J1201" s="20" t="s">
        <v>2860</v>
      </c>
      <c r="K1201" s="20" t="s">
        <v>10021</v>
      </c>
      <c r="L1201" s="3">
        <v>30</v>
      </c>
      <c r="M1201" s="3" t="s">
        <v>10080</v>
      </c>
      <c r="N1201" s="3" t="str">
        <f>HYPERLINK("http://ictvonline.org/taxonomyHistory.asp?taxnode_id=20160933","ICTVonline=20160933")</f>
        <v>ICTVonline=20160933</v>
      </c>
    </row>
    <row r="1202" spans="1:14" x14ac:dyDescent="0.15">
      <c r="A1202" s="3">
        <v>1201</v>
      </c>
      <c r="B1202" s="1" t="s">
        <v>923</v>
      </c>
      <c r="C1202" s="1" t="s">
        <v>928</v>
      </c>
      <c r="D1202" s="1" t="s">
        <v>1442</v>
      </c>
      <c r="E1202" s="1" t="s">
        <v>1324</v>
      </c>
      <c r="F1202" s="1" t="s">
        <v>4321</v>
      </c>
      <c r="G1202" s="3">
        <v>0</v>
      </c>
      <c r="J1202" s="20" t="s">
        <v>2860</v>
      </c>
      <c r="K1202" s="20" t="s">
        <v>10021</v>
      </c>
      <c r="L1202" s="3">
        <v>30</v>
      </c>
      <c r="M1202" s="3" t="s">
        <v>10080</v>
      </c>
      <c r="N1202" s="3" t="str">
        <f>HYPERLINK("http://ictvonline.org/taxonomyHistory.asp?taxnode_id=20160934","ICTVonline=20160934")</f>
        <v>ICTVonline=20160934</v>
      </c>
    </row>
    <row r="1203" spans="1:14" x14ac:dyDescent="0.15">
      <c r="A1203" s="3">
        <v>1202</v>
      </c>
      <c r="B1203" s="1" t="s">
        <v>923</v>
      </c>
      <c r="C1203" s="1" t="s">
        <v>928</v>
      </c>
      <c r="D1203" s="1" t="s">
        <v>1442</v>
      </c>
      <c r="E1203" s="1" t="s">
        <v>1325</v>
      </c>
      <c r="F1203" s="1" t="s">
        <v>4322</v>
      </c>
      <c r="G1203" s="3">
        <v>0</v>
      </c>
      <c r="J1203" s="20" t="s">
        <v>2860</v>
      </c>
      <c r="K1203" s="20" t="s">
        <v>10021</v>
      </c>
      <c r="L1203" s="3">
        <v>30</v>
      </c>
      <c r="M1203" s="3" t="s">
        <v>10080</v>
      </c>
      <c r="N1203" s="3" t="str">
        <f>HYPERLINK("http://ictvonline.org/taxonomyHistory.asp?taxnode_id=20160936","ICTVonline=20160936")</f>
        <v>ICTVonline=20160936</v>
      </c>
    </row>
    <row r="1204" spans="1:14" x14ac:dyDescent="0.15">
      <c r="A1204" s="3">
        <v>1203</v>
      </c>
      <c r="B1204" s="1" t="s">
        <v>923</v>
      </c>
      <c r="C1204" s="1" t="s">
        <v>928</v>
      </c>
      <c r="D1204" s="1" t="s">
        <v>1442</v>
      </c>
      <c r="E1204" s="1" t="s">
        <v>1325</v>
      </c>
      <c r="F1204" s="1" t="s">
        <v>4323</v>
      </c>
      <c r="G1204" s="3">
        <v>0</v>
      </c>
      <c r="J1204" s="20" t="s">
        <v>2860</v>
      </c>
      <c r="K1204" s="20" t="s">
        <v>10021</v>
      </c>
      <c r="L1204" s="3">
        <v>30</v>
      </c>
      <c r="M1204" s="3" t="s">
        <v>10080</v>
      </c>
      <c r="N1204" s="3" t="str">
        <f>HYPERLINK("http://ictvonline.org/taxonomyHistory.asp?taxnode_id=20160937","ICTVonline=20160937")</f>
        <v>ICTVonline=20160937</v>
      </c>
    </row>
    <row r="1205" spans="1:14" x14ac:dyDescent="0.15">
      <c r="A1205" s="3">
        <v>1204</v>
      </c>
      <c r="B1205" s="1" t="s">
        <v>923</v>
      </c>
      <c r="C1205" s="1" t="s">
        <v>928</v>
      </c>
      <c r="D1205" s="1" t="s">
        <v>1442</v>
      </c>
      <c r="E1205" s="1" t="s">
        <v>1325</v>
      </c>
      <c r="F1205" s="1" t="s">
        <v>4324</v>
      </c>
      <c r="G1205" s="3">
        <v>0</v>
      </c>
      <c r="J1205" s="20" t="s">
        <v>2860</v>
      </c>
      <c r="K1205" s="20" t="s">
        <v>10021</v>
      </c>
      <c r="L1205" s="3">
        <v>30</v>
      </c>
      <c r="M1205" s="3" t="s">
        <v>10080</v>
      </c>
      <c r="N1205" s="3" t="str">
        <f>HYPERLINK("http://ictvonline.org/taxonomyHistory.asp?taxnode_id=20160938","ICTVonline=20160938")</f>
        <v>ICTVonline=20160938</v>
      </c>
    </row>
    <row r="1206" spans="1:14" x14ac:dyDescent="0.15">
      <c r="A1206" s="3">
        <v>1205</v>
      </c>
      <c r="B1206" s="1" t="s">
        <v>923</v>
      </c>
      <c r="C1206" s="1" t="s">
        <v>928</v>
      </c>
      <c r="D1206" s="1" t="s">
        <v>1442</v>
      </c>
      <c r="E1206" s="1" t="s">
        <v>1325</v>
      </c>
      <c r="F1206" s="1" t="s">
        <v>4325</v>
      </c>
      <c r="G1206" s="3">
        <v>0</v>
      </c>
      <c r="J1206" s="20" t="s">
        <v>2860</v>
      </c>
      <c r="K1206" s="20" t="s">
        <v>10021</v>
      </c>
      <c r="L1206" s="3">
        <v>30</v>
      </c>
      <c r="M1206" s="3" t="s">
        <v>10080</v>
      </c>
      <c r="N1206" s="3" t="str">
        <f>HYPERLINK("http://ictvonline.org/taxonomyHistory.asp?taxnode_id=20160939","ICTVonline=20160939")</f>
        <v>ICTVonline=20160939</v>
      </c>
    </row>
    <row r="1207" spans="1:14" x14ac:dyDescent="0.15">
      <c r="A1207" s="3">
        <v>1206</v>
      </c>
      <c r="B1207" s="1" t="s">
        <v>923</v>
      </c>
      <c r="C1207" s="1" t="s">
        <v>928</v>
      </c>
      <c r="D1207" s="1" t="s">
        <v>1442</v>
      </c>
      <c r="E1207" s="1" t="s">
        <v>1325</v>
      </c>
      <c r="F1207" s="1" t="s">
        <v>4326</v>
      </c>
      <c r="G1207" s="3">
        <v>0</v>
      </c>
      <c r="J1207" s="20" t="s">
        <v>2860</v>
      </c>
      <c r="K1207" s="20" t="s">
        <v>10021</v>
      </c>
      <c r="L1207" s="3">
        <v>30</v>
      </c>
      <c r="M1207" s="3" t="s">
        <v>10080</v>
      </c>
      <c r="N1207" s="3" t="str">
        <f>HYPERLINK("http://ictvonline.org/taxonomyHistory.asp?taxnode_id=20160940","ICTVonline=20160940")</f>
        <v>ICTVonline=20160940</v>
      </c>
    </row>
    <row r="1208" spans="1:14" x14ac:dyDescent="0.15">
      <c r="A1208" s="3">
        <v>1207</v>
      </c>
      <c r="B1208" s="1" t="s">
        <v>923</v>
      </c>
      <c r="C1208" s="1" t="s">
        <v>928</v>
      </c>
      <c r="D1208" s="1" t="s">
        <v>1442</v>
      </c>
      <c r="E1208" s="1" t="s">
        <v>1325</v>
      </c>
      <c r="F1208" s="1" t="s">
        <v>4327</v>
      </c>
      <c r="G1208" s="3">
        <v>0</v>
      </c>
      <c r="J1208" s="20" t="s">
        <v>2860</v>
      </c>
      <c r="K1208" s="20" t="s">
        <v>10021</v>
      </c>
      <c r="L1208" s="3">
        <v>30</v>
      </c>
      <c r="M1208" s="3" t="s">
        <v>10080</v>
      </c>
      <c r="N1208" s="3" t="str">
        <f>HYPERLINK("http://ictvonline.org/taxonomyHistory.asp?taxnode_id=20160941","ICTVonline=20160941")</f>
        <v>ICTVonline=20160941</v>
      </c>
    </row>
    <row r="1209" spans="1:14" x14ac:dyDescent="0.15">
      <c r="A1209" s="3">
        <v>1208</v>
      </c>
      <c r="B1209" s="1" t="s">
        <v>923</v>
      </c>
      <c r="C1209" s="1" t="s">
        <v>928</v>
      </c>
      <c r="D1209" s="1" t="s">
        <v>1442</v>
      </c>
      <c r="E1209" s="1" t="s">
        <v>1325</v>
      </c>
      <c r="F1209" s="1" t="s">
        <v>4328</v>
      </c>
      <c r="G1209" s="3">
        <v>0</v>
      </c>
      <c r="J1209" s="20" t="s">
        <v>2860</v>
      </c>
      <c r="K1209" s="20" t="s">
        <v>10021</v>
      </c>
      <c r="L1209" s="3">
        <v>30</v>
      </c>
      <c r="M1209" s="3" t="s">
        <v>10080</v>
      </c>
      <c r="N1209" s="3" t="str">
        <f>HYPERLINK("http://ictvonline.org/taxonomyHistory.asp?taxnode_id=20160942","ICTVonline=20160942")</f>
        <v>ICTVonline=20160942</v>
      </c>
    </row>
    <row r="1210" spans="1:14" x14ac:dyDescent="0.15">
      <c r="A1210" s="3">
        <v>1209</v>
      </c>
      <c r="B1210" s="1" t="s">
        <v>923</v>
      </c>
      <c r="C1210" s="1" t="s">
        <v>928</v>
      </c>
      <c r="D1210" s="1" t="s">
        <v>1442</v>
      </c>
      <c r="E1210" s="1" t="s">
        <v>1325</v>
      </c>
      <c r="F1210" s="1" t="s">
        <v>4329</v>
      </c>
      <c r="G1210" s="3">
        <v>0</v>
      </c>
      <c r="J1210" s="20" t="s">
        <v>2860</v>
      </c>
      <c r="K1210" s="20" t="s">
        <v>10021</v>
      </c>
      <c r="L1210" s="3">
        <v>30</v>
      </c>
      <c r="M1210" s="3" t="s">
        <v>10080</v>
      </c>
      <c r="N1210" s="3" t="str">
        <f>HYPERLINK("http://ictvonline.org/taxonomyHistory.asp?taxnode_id=20160943","ICTVonline=20160943")</f>
        <v>ICTVonline=20160943</v>
      </c>
    </row>
    <row r="1211" spans="1:14" x14ac:dyDescent="0.15">
      <c r="A1211" s="3">
        <v>1210</v>
      </c>
      <c r="B1211" s="1" t="s">
        <v>923</v>
      </c>
      <c r="C1211" s="1" t="s">
        <v>928</v>
      </c>
      <c r="D1211" s="1" t="s">
        <v>1442</v>
      </c>
      <c r="E1211" s="1" t="s">
        <v>1325</v>
      </c>
      <c r="F1211" s="1" t="s">
        <v>4330</v>
      </c>
      <c r="G1211" s="3">
        <v>1</v>
      </c>
      <c r="J1211" s="20" t="s">
        <v>2860</v>
      </c>
      <c r="K1211" s="20" t="s">
        <v>10021</v>
      </c>
      <c r="L1211" s="3">
        <v>30</v>
      </c>
      <c r="M1211" s="3" t="s">
        <v>10080</v>
      </c>
      <c r="N1211" s="3" t="str">
        <f>HYPERLINK("http://ictvonline.org/taxonomyHistory.asp?taxnode_id=20160944","ICTVonline=20160944")</f>
        <v>ICTVonline=20160944</v>
      </c>
    </row>
    <row r="1212" spans="1:14" x14ac:dyDescent="0.15">
      <c r="A1212" s="3">
        <v>1211</v>
      </c>
      <c r="B1212" s="1" t="s">
        <v>923</v>
      </c>
      <c r="C1212" s="1" t="s">
        <v>928</v>
      </c>
      <c r="D1212" s="1" t="s">
        <v>1442</v>
      </c>
      <c r="E1212" s="1" t="s">
        <v>926</v>
      </c>
      <c r="F1212" s="1" t="s">
        <v>4331</v>
      </c>
      <c r="G1212" s="3">
        <v>0</v>
      </c>
      <c r="J1212" s="20" t="s">
        <v>2860</v>
      </c>
      <c r="K1212" s="20" t="s">
        <v>10021</v>
      </c>
      <c r="L1212" s="3">
        <v>30</v>
      </c>
      <c r="M1212" s="3" t="s">
        <v>10080</v>
      </c>
      <c r="N1212" s="3" t="str">
        <f>HYPERLINK("http://ictvonline.org/taxonomyHistory.asp?taxnode_id=20160946","ICTVonline=20160946")</f>
        <v>ICTVonline=20160946</v>
      </c>
    </row>
    <row r="1213" spans="1:14" x14ac:dyDescent="0.15">
      <c r="A1213" s="3">
        <v>1212</v>
      </c>
      <c r="B1213" s="1" t="s">
        <v>923</v>
      </c>
      <c r="C1213" s="1" t="s">
        <v>928</v>
      </c>
      <c r="D1213" s="1" t="s">
        <v>1442</v>
      </c>
      <c r="E1213" s="1" t="s">
        <v>926</v>
      </c>
      <c r="F1213" s="1" t="s">
        <v>4332</v>
      </c>
      <c r="G1213" s="3">
        <v>0</v>
      </c>
      <c r="J1213" s="20" t="s">
        <v>2860</v>
      </c>
      <c r="K1213" s="20" t="s">
        <v>10021</v>
      </c>
      <c r="L1213" s="3">
        <v>30</v>
      </c>
      <c r="M1213" s="3" t="s">
        <v>10080</v>
      </c>
      <c r="N1213" s="3" t="str">
        <f>HYPERLINK("http://ictvonline.org/taxonomyHistory.asp?taxnode_id=20160947","ICTVonline=20160947")</f>
        <v>ICTVonline=20160947</v>
      </c>
    </row>
    <row r="1214" spans="1:14" x14ac:dyDescent="0.15">
      <c r="A1214" s="3">
        <v>1213</v>
      </c>
      <c r="B1214" s="1" t="s">
        <v>923</v>
      </c>
      <c r="C1214" s="1" t="s">
        <v>928</v>
      </c>
      <c r="D1214" s="1" t="s">
        <v>1442</v>
      </c>
      <c r="E1214" s="1" t="s">
        <v>926</v>
      </c>
      <c r="F1214" s="1" t="s">
        <v>4333</v>
      </c>
      <c r="G1214" s="3">
        <v>0</v>
      </c>
      <c r="J1214" s="20" t="s">
        <v>2860</v>
      </c>
      <c r="K1214" s="20" t="s">
        <v>10021</v>
      </c>
      <c r="L1214" s="3">
        <v>30</v>
      </c>
      <c r="M1214" s="3" t="s">
        <v>10080</v>
      </c>
      <c r="N1214" s="3" t="str">
        <f>HYPERLINK("http://ictvonline.org/taxonomyHistory.asp?taxnode_id=20160948","ICTVonline=20160948")</f>
        <v>ICTVonline=20160948</v>
      </c>
    </row>
    <row r="1215" spans="1:14" x14ac:dyDescent="0.15">
      <c r="A1215" s="3">
        <v>1214</v>
      </c>
      <c r="B1215" s="1" t="s">
        <v>923</v>
      </c>
      <c r="C1215" s="1" t="s">
        <v>928</v>
      </c>
      <c r="E1215" s="1" t="s">
        <v>926</v>
      </c>
      <c r="F1215" s="1" t="s">
        <v>1024</v>
      </c>
      <c r="G1215" s="3">
        <v>0</v>
      </c>
      <c r="J1215" s="20" t="s">
        <v>2860</v>
      </c>
      <c r="K1215" s="20" t="s">
        <v>10013</v>
      </c>
      <c r="L1215" s="3">
        <v>24</v>
      </c>
      <c r="M1215" s="3" t="s">
        <v>10078</v>
      </c>
      <c r="N1215" s="3" t="str">
        <f>HYPERLINK("http://ictvonline.org/taxonomyHistory.asp?taxnode_id=20160951","ICTVonline=20160951")</f>
        <v>ICTVonline=20160951</v>
      </c>
    </row>
    <row r="1216" spans="1:14" x14ac:dyDescent="0.15">
      <c r="A1216" s="3">
        <v>1215</v>
      </c>
      <c r="B1216" s="1" t="s">
        <v>923</v>
      </c>
      <c r="C1216" s="1" t="s">
        <v>1105</v>
      </c>
      <c r="E1216" s="1" t="s">
        <v>2238</v>
      </c>
      <c r="F1216" s="1" t="s">
        <v>2239</v>
      </c>
      <c r="G1216" s="3">
        <v>1</v>
      </c>
      <c r="J1216" s="20" t="s">
        <v>2860</v>
      </c>
      <c r="K1216" s="20" t="s">
        <v>10072</v>
      </c>
      <c r="L1216" s="3">
        <v>27</v>
      </c>
      <c r="M1216" s="3" t="s">
        <v>10082</v>
      </c>
      <c r="N1216" s="3" t="str">
        <f>HYPERLINK("http://ictvonline.org/taxonomyHistory.asp?taxnode_id=20160955","ICTVonline=20160955")</f>
        <v>ICTVonline=20160955</v>
      </c>
    </row>
    <row r="1217" spans="1:14" x14ac:dyDescent="0.15">
      <c r="A1217" s="3">
        <v>1216</v>
      </c>
      <c r="B1217" s="1" t="s">
        <v>923</v>
      </c>
      <c r="C1217" s="1" t="s">
        <v>1105</v>
      </c>
      <c r="E1217" s="1" t="s">
        <v>1025</v>
      </c>
      <c r="F1217" s="1" t="s">
        <v>1026</v>
      </c>
      <c r="G1217" s="3">
        <v>1</v>
      </c>
      <c r="J1217" s="20" t="s">
        <v>2860</v>
      </c>
      <c r="K1217" s="20" t="s">
        <v>10072</v>
      </c>
      <c r="L1217" s="3">
        <v>24</v>
      </c>
      <c r="M1217" s="3" t="s">
        <v>10078</v>
      </c>
      <c r="N1217" s="3" t="str">
        <f>HYPERLINK("http://ictvonline.org/taxonomyHistory.asp?taxnode_id=20160957","ICTVonline=20160957")</f>
        <v>ICTVonline=20160957</v>
      </c>
    </row>
    <row r="1218" spans="1:14" x14ac:dyDescent="0.15">
      <c r="A1218" s="3">
        <v>1217</v>
      </c>
      <c r="B1218" s="1" t="s">
        <v>2240</v>
      </c>
      <c r="C1218" s="1" t="s">
        <v>1686</v>
      </c>
      <c r="E1218" s="1" t="s">
        <v>1688</v>
      </c>
      <c r="F1218" s="1" t="s">
        <v>672</v>
      </c>
      <c r="G1218" s="3">
        <v>0</v>
      </c>
      <c r="H1218" s="20" t="s">
        <v>4335</v>
      </c>
      <c r="J1218" s="20" t="s">
        <v>2860</v>
      </c>
      <c r="K1218" s="20" t="s">
        <v>10016</v>
      </c>
      <c r="L1218" s="3">
        <v>27</v>
      </c>
      <c r="M1218" s="3" t="s">
        <v>10083</v>
      </c>
      <c r="N1218" s="3" t="str">
        <f>HYPERLINK("http://ictvonline.org/taxonomyHistory.asp?taxnode_id=20160964","ICTVonline=20160964")</f>
        <v>ICTVonline=20160964</v>
      </c>
    </row>
    <row r="1219" spans="1:14" x14ac:dyDescent="0.15">
      <c r="A1219" s="3">
        <v>1218</v>
      </c>
      <c r="B1219" s="1" t="s">
        <v>2240</v>
      </c>
      <c r="C1219" s="1" t="s">
        <v>1686</v>
      </c>
      <c r="E1219" s="1" t="s">
        <v>1688</v>
      </c>
      <c r="F1219" s="1" t="s">
        <v>671</v>
      </c>
      <c r="G1219" s="3">
        <v>0</v>
      </c>
      <c r="H1219" s="20" t="s">
        <v>4336</v>
      </c>
      <c r="J1219" s="20" t="s">
        <v>2860</v>
      </c>
      <c r="K1219" s="20" t="s">
        <v>10016</v>
      </c>
      <c r="L1219" s="3">
        <v>27</v>
      </c>
      <c r="M1219" s="3" t="s">
        <v>10083</v>
      </c>
      <c r="N1219" s="3" t="str">
        <f>HYPERLINK("http://ictvonline.org/taxonomyHistory.asp?taxnode_id=20160965","ICTVonline=20160965")</f>
        <v>ICTVonline=20160965</v>
      </c>
    </row>
    <row r="1220" spans="1:14" x14ac:dyDescent="0.15">
      <c r="A1220" s="3">
        <v>1219</v>
      </c>
      <c r="B1220" s="1" t="s">
        <v>2240</v>
      </c>
      <c r="C1220" s="1" t="s">
        <v>1686</v>
      </c>
      <c r="E1220" s="1" t="s">
        <v>1688</v>
      </c>
      <c r="F1220" s="1" t="s">
        <v>670</v>
      </c>
      <c r="G1220" s="3">
        <v>0</v>
      </c>
      <c r="H1220" s="20" t="s">
        <v>4337</v>
      </c>
      <c r="J1220" s="20" t="s">
        <v>2860</v>
      </c>
      <c r="K1220" s="20" t="s">
        <v>10016</v>
      </c>
      <c r="L1220" s="3">
        <v>27</v>
      </c>
      <c r="M1220" s="3" t="s">
        <v>10083</v>
      </c>
      <c r="N1220" s="3" t="str">
        <f>HYPERLINK("http://ictvonline.org/taxonomyHistory.asp?taxnode_id=20160966","ICTVonline=20160966")</f>
        <v>ICTVonline=20160966</v>
      </c>
    </row>
    <row r="1221" spans="1:14" x14ac:dyDescent="0.15">
      <c r="A1221" s="3">
        <v>1220</v>
      </c>
      <c r="B1221" s="1" t="s">
        <v>2240</v>
      </c>
      <c r="C1221" s="1" t="s">
        <v>1686</v>
      </c>
      <c r="E1221" s="1" t="s">
        <v>1688</v>
      </c>
      <c r="F1221" s="1" t="s">
        <v>1858</v>
      </c>
      <c r="G1221" s="3">
        <v>0</v>
      </c>
      <c r="H1221" s="20" t="s">
        <v>4338</v>
      </c>
      <c r="J1221" s="20" t="s">
        <v>2860</v>
      </c>
      <c r="K1221" s="20" t="s">
        <v>10016</v>
      </c>
      <c r="L1221" s="3">
        <v>27</v>
      </c>
      <c r="M1221" s="3" t="s">
        <v>10083</v>
      </c>
      <c r="N1221" s="3" t="str">
        <f>HYPERLINK("http://ictvonline.org/taxonomyHistory.asp?taxnode_id=20160967","ICTVonline=20160967")</f>
        <v>ICTVonline=20160967</v>
      </c>
    </row>
    <row r="1222" spans="1:14" x14ac:dyDescent="0.15">
      <c r="A1222" s="3">
        <v>1221</v>
      </c>
      <c r="B1222" s="1" t="s">
        <v>2240</v>
      </c>
      <c r="C1222" s="1" t="s">
        <v>1686</v>
      </c>
      <c r="E1222" s="1" t="s">
        <v>1688</v>
      </c>
      <c r="F1222" s="1" t="s">
        <v>1857</v>
      </c>
      <c r="G1222" s="3">
        <v>0</v>
      </c>
      <c r="H1222" s="20" t="s">
        <v>4339</v>
      </c>
      <c r="J1222" s="20" t="s">
        <v>2860</v>
      </c>
      <c r="K1222" s="20" t="s">
        <v>10016</v>
      </c>
      <c r="L1222" s="3">
        <v>27</v>
      </c>
      <c r="M1222" s="3" t="s">
        <v>10083</v>
      </c>
      <c r="N1222" s="3" t="str">
        <f>HYPERLINK("http://ictvonline.org/taxonomyHistory.asp?taxnode_id=20160968","ICTVonline=20160968")</f>
        <v>ICTVonline=20160968</v>
      </c>
    </row>
    <row r="1223" spans="1:14" x14ac:dyDescent="0.15">
      <c r="A1223" s="3">
        <v>1222</v>
      </c>
      <c r="B1223" s="1" t="s">
        <v>2240</v>
      </c>
      <c r="C1223" s="1" t="s">
        <v>1686</v>
      </c>
      <c r="E1223" s="1" t="s">
        <v>1688</v>
      </c>
      <c r="F1223" s="1" t="s">
        <v>1689</v>
      </c>
      <c r="G1223" s="3">
        <v>1</v>
      </c>
      <c r="H1223" s="20" t="s">
        <v>4340</v>
      </c>
      <c r="J1223" s="20" t="s">
        <v>2860</v>
      </c>
      <c r="K1223" s="20" t="s">
        <v>10016</v>
      </c>
      <c r="L1223" s="3">
        <v>27</v>
      </c>
      <c r="M1223" s="3" t="s">
        <v>10083</v>
      </c>
      <c r="N1223" s="3" t="str">
        <f>HYPERLINK("http://ictvonline.org/taxonomyHistory.asp?taxnode_id=20160969","ICTVonline=20160969")</f>
        <v>ICTVonline=20160969</v>
      </c>
    </row>
    <row r="1224" spans="1:14" x14ac:dyDescent="0.15">
      <c r="A1224" s="3">
        <v>1223</v>
      </c>
      <c r="B1224" s="1" t="s">
        <v>2240</v>
      </c>
      <c r="C1224" s="1" t="s">
        <v>1686</v>
      </c>
      <c r="E1224" s="1" t="s">
        <v>1149</v>
      </c>
      <c r="F1224" s="1" t="s">
        <v>2042</v>
      </c>
      <c r="G1224" s="3">
        <v>1</v>
      </c>
      <c r="H1224" s="20" t="s">
        <v>4341</v>
      </c>
      <c r="J1224" s="20" t="s">
        <v>2860</v>
      </c>
      <c r="K1224" s="20" t="s">
        <v>10016</v>
      </c>
      <c r="L1224" s="3">
        <v>27</v>
      </c>
      <c r="M1224" s="3" t="s">
        <v>10083</v>
      </c>
      <c r="N1224" s="3" t="str">
        <f>HYPERLINK("http://ictvonline.org/taxonomyHistory.asp?taxnode_id=20160971","ICTVonline=20160971")</f>
        <v>ICTVonline=20160971</v>
      </c>
    </row>
    <row r="1225" spans="1:14" x14ac:dyDescent="0.15">
      <c r="A1225" s="3">
        <v>1224</v>
      </c>
      <c r="B1225" s="1" t="s">
        <v>2240</v>
      </c>
      <c r="C1225" s="1" t="s">
        <v>1686</v>
      </c>
      <c r="E1225" s="1" t="s">
        <v>2043</v>
      </c>
      <c r="F1225" s="1" t="s">
        <v>2044</v>
      </c>
      <c r="G1225" s="3">
        <v>1</v>
      </c>
      <c r="H1225" s="20" t="s">
        <v>4342</v>
      </c>
      <c r="J1225" s="20" t="s">
        <v>2860</v>
      </c>
      <c r="K1225" s="20" t="s">
        <v>10016</v>
      </c>
      <c r="L1225" s="3">
        <v>27</v>
      </c>
      <c r="M1225" s="3" t="s">
        <v>10083</v>
      </c>
      <c r="N1225" s="3" t="str">
        <f>HYPERLINK("http://ictvonline.org/taxonomyHistory.asp?taxnode_id=20160973","ICTVonline=20160973")</f>
        <v>ICTVonline=20160973</v>
      </c>
    </row>
    <row r="1226" spans="1:14" x14ac:dyDescent="0.15">
      <c r="A1226" s="3">
        <v>1225</v>
      </c>
      <c r="B1226" s="1" t="s">
        <v>2240</v>
      </c>
      <c r="C1226" s="1" t="s">
        <v>1330</v>
      </c>
      <c r="E1226" s="1" t="s">
        <v>1331</v>
      </c>
      <c r="F1226" s="1" t="s">
        <v>1964</v>
      </c>
      <c r="G1226" s="3">
        <v>0</v>
      </c>
      <c r="H1226" s="20" t="s">
        <v>4343</v>
      </c>
      <c r="J1226" s="20" t="s">
        <v>2860</v>
      </c>
      <c r="K1226" s="20" t="s">
        <v>10016</v>
      </c>
      <c r="L1226" s="3">
        <v>27</v>
      </c>
      <c r="M1226" s="3" t="s">
        <v>10083</v>
      </c>
      <c r="N1226" s="3" t="str">
        <f>HYPERLINK("http://ictvonline.org/taxonomyHistory.asp?taxnode_id=20160977","ICTVonline=20160977")</f>
        <v>ICTVonline=20160977</v>
      </c>
    </row>
    <row r="1227" spans="1:14" x14ac:dyDescent="0.15">
      <c r="A1227" s="3">
        <v>1226</v>
      </c>
      <c r="B1227" s="1" t="s">
        <v>2240</v>
      </c>
      <c r="C1227" s="1" t="s">
        <v>1330</v>
      </c>
      <c r="E1227" s="1" t="s">
        <v>1331</v>
      </c>
      <c r="F1227" s="1" t="s">
        <v>1965</v>
      </c>
      <c r="G1227" s="3">
        <v>0</v>
      </c>
      <c r="H1227" s="20" t="s">
        <v>4344</v>
      </c>
      <c r="J1227" s="20" t="s">
        <v>2860</v>
      </c>
      <c r="K1227" s="20" t="s">
        <v>10016</v>
      </c>
      <c r="L1227" s="3">
        <v>27</v>
      </c>
      <c r="M1227" s="3" t="s">
        <v>10083</v>
      </c>
      <c r="N1227" s="3" t="str">
        <f>HYPERLINK("http://ictvonline.org/taxonomyHistory.asp?taxnode_id=20160978","ICTVonline=20160978")</f>
        <v>ICTVonline=20160978</v>
      </c>
    </row>
    <row r="1228" spans="1:14" x14ac:dyDescent="0.15">
      <c r="A1228" s="3">
        <v>1227</v>
      </c>
      <c r="B1228" s="1" t="s">
        <v>2240</v>
      </c>
      <c r="C1228" s="1" t="s">
        <v>1330</v>
      </c>
      <c r="E1228" s="1" t="s">
        <v>1331</v>
      </c>
      <c r="F1228" s="1" t="s">
        <v>1638</v>
      </c>
      <c r="G1228" s="3">
        <v>1</v>
      </c>
      <c r="H1228" s="20" t="s">
        <v>4345</v>
      </c>
      <c r="J1228" s="20" t="s">
        <v>2860</v>
      </c>
      <c r="K1228" s="20" t="s">
        <v>10016</v>
      </c>
      <c r="L1228" s="3">
        <v>27</v>
      </c>
      <c r="M1228" s="3" t="s">
        <v>10083</v>
      </c>
      <c r="N1228" s="3" t="str">
        <f>HYPERLINK("http://ictvonline.org/taxonomyHistory.asp?taxnode_id=20160979","ICTVonline=20160979")</f>
        <v>ICTVonline=20160979</v>
      </c>
    </row>
    <row r="1229" spans="1:14" x14ac:dyDescent="0.15">
      <c r="A1229" s="3">
        <v>1228</v>
      </c>
      <c r="B1229" s="1" t="s">
        <v>1027</v>
      </c>
      <c r="C1229" s="1" t="s">
        <v>1443</v>
      </c>
      <c r="E1229" s="1" t="s">
        <v>1444</v>
      </c>
      <c r="F1229" s="1" t="s">
        <v>4346</v>
      </c>
      <c r="G1229" s="3">
        <v>0</v>
      </c>
      <c r="H1229" s="20" t="s">
        <v>6702</v>
      </c>
      <c r="I1229" s="20" t="s">
        <v>4347</v>
      </c>
      <c r="J1229" s="20" t="s">
        <v>3149</v>
      </c>
      <c r="K1229" s="20" t="s">
        <v>10013</v>
      </c>
      <c r="L1229" s="3">
        <v>30</v>
      </c>
      <c r="M1229" s="3" t="s">
        <v>10084</v>
      </c>
      <c r="N1229" s="3" t="str">
        <f>HYPERLINK("http://ictvonline.org/taxonomyHistory.asp?taxnode_id=20160984","ICTVonline=20160984")</f>
        <v>ICTVonline=20160984</v>
      </c>
    </row>
    <row r="1230" spans="1:14" x14ac:dyDescent="0.15">
      <c r="A1230" s="3">
        <v>1229</v>
      </c>
      <c r="B1230" s="1" t="s">
        <v>1027</v>
      </c>
      <c r="C1230" s="1" t="s">
        <v>1443</v>
      </c>
      <c r="E1230" s="1" t="s">
        <v>1444</v>
      </c>
      <c r="F1230" s="1" t="s">
        <v>2724</v>
      </c>
      <c r="G1230" s="3">
        <v>1</v>
      </c>
      <c r="J1230" s="20" t="s">
        <v>3149</v>
      </c>
      <c r="K1230" s="20" t="s">
        <v>10021</v>
      </c>
      <c r="L1230" s="3">
        <v>29</v>
      </c>
      <c r="M1230" s="3" t="s">
        <v>10085</v>
      </c>
      <c r="N1230" s="3" t="str">
        <f>HYPERLINK("http://ictvonline.org/taxonomyHistory.asp?taxnode_id=20160985","ICTVonline=20160985")</f>
        <v>ICTVonline=20160985</v>
      </c>
    </row>
    <row r="1231" spans="1:14" x14ac:dyDescent="0.15">
      <c r="A1231" s="3">
        <v>1230</v>
      </c>
      <c r="B1231" s="1" t="s">
        <v>1027</v>
      </c>
      <c r="C1231" s="1" t="s">
        <v>1443</v>
      </c>
      <c r="E1231" s="1" t="s">
        <v>1444</v>
      </c>
      <c r="F1231" s="1" t="s">
        <v>8744</v>
      </c>
      <c r="G1231" s="3">
        <v>0</v>
      </c>
      <c r="H1231" s="20" t="s">
        <v>8745</v>
      </c>
      <c r="I1231" s="20" t="s">
        <v>8746</v>
      </c>
      <c r="J1231" s="20" t="s">
        <v>3149</v>
      </c>
      <c r="K1231" s="20" t="s">
        <v>10013</v>
      </c>
      <c r="L1231" s="3">
        <v>31</v>
      </c>
      <c r="M1231" s="3" t="s">
        <v>8747</v>
      </c>
      <c r="N1231" s="3" t="str">
        <f>HYPERLINK("http://ictvonline.org/taxonomyHistory.asp?taxnode_id=20165112","ICTVonline=20165112")</f>
        <v>ICTVonline=20165112</v>
      </c>
    </row>
    <row r="1232" spans="1:14" x14ac:dyDescent="0.15">
      <c r="A1232" s="3">
        <v>1231</v>
      </c>
      <c r="B1232" s="1" t="s">
        <v>1027</v>
      </c>
      <c r="C1232" s="1" t="s">
        <v>1443</v>
      </c>
      <c r="E1232" s="1" t="s">
        <v>1444</v>
      </c>
      <c r="F1232" s="1" t="s">
        <v>2725</v>
      </c>
      <c r="G1232" s="3">
        <v>0</v>
      </c>
      <c r="H1232" s="20" t="s">
        <v>3150</v>
      </c>
      <c r="I1232" s="20" t="s">
        <v>3151</v>
      </c>
      <c r="J1232" s="20" t="s">
        <v>3149</v>
      </c>
      <c r="K1232" s="20" t="s">
        <v>10013</v>
      </c>
      <c r="L1232" s="3">
        <v>29</v>
      </c>
      <c r="M1232" s="3" t="s">
        <v>10085</v>
      </c>
      <c r="N1232" s="3" t="str">
        <f>HYPERLINK("http://ictvonline.org/taxonomyHistory.asp?taxnode_id=20160986","ICTVonline=20160986")</f>
        <v>ICTVonline=20160986</v>
      </c>
    </row>
    <row r="1233" spans="1:14" x14ac:dyDescent="0.15">
      <c r="A1233" s="3">
        <v>1232</v>
      </c>
      <c r="B1233" s="1" t="s">
        <v>1027</v>
      </c>
      <c r="C1233" s="1" t="s">
        <v>1443</v>
      </c>
      <c r="E1233" s="1" t="s">
        <v>1444</v>
      </c>
      <c r="F1233" s="1" t="s">
        <v>2726</v>
      </c>
      <c r="G1233" s="3">
        <v>0</v>
      </c>
      <c r="H1233" s="20" t="s">
        <v>3152</v>
      </c>
      <c r="I1233" s="20" t="s">
        <v>3153</v>
      </c>
      <c r="J1233" s="20" t="s">
        <v>3149</v>
      </c>
      <c r="K1233" s="20" t="s">
        <v>10013</v>
      </c>
      <c r="L1233" s="3">
        <v>29</v>
      </c>
      <c r="M1233" s="3" t="s">
        <v>10085</v>
      </c>
      <c r="N1233" s="3" t="str">
        <f>HYPERLINK("http://ictvonline.org/taxonomyHistory.asp?taxnode_id=20160987","ICTVonline=20160987")</f>
        <v>ICTVonline=20160987</v>
      </c>
    </row>
    <row r="1234" spans="1:14" x14ac:dyDescent="0.15">
      <c r="A1234" s="3">
        <v>1233</v>
      </c>
      <c r="B1234" s="1" t="s">
        <v>1027</v>
      </c>
      <c r="C1234" s="1" t="s">
        <v>1443</v>
      </c>
      <c r="E1234" s="1" t="s">
        <v>1444</v>
      </c>
      <c r="F1234" s="1" t="s">
        <v>2727</v>
      </c>
      <c r="G1234" s="3">
        <v>0</v>
      </c>
      <c r="H1234" s="20" t="s">
        <v>3154</v>
      </c>
      <c r="I1234" s="20" t="s">
        <v>3155</v>
      </c>
      <c r="J1234" s="20" t="s">
        <v>3149</v>
      </c>
      <c r="K1234" s="20" t="s">
        <v>10013</v>
      </c>
      <c r="L1234" s="3">
        <v>29</v>
      </c>
      <c r="M1234" s="3" t="s">
        <v>10085</v>
      </c>
      <c r="N1234" s="3" t="str">
        <f>HYPERLINK("http://ictvonline.org/taxonomyHistory.asp?taxnode_id=20160988","ICTVonline=20160988")</f>
        <v>ICTVonline=20160988</v>
      </c>
    </row>
    <row r="1235" spans="1:14" x14ac:dyDescent="0.15">
      <c r="A1235" s="3">
        <v>1234</v>
      </c>
      <c r="B1235" s="1" t="s">
        <v>1027</v>
      </c>
      <c r="C1235" s="1" t="s">
        <v>1443</v>
      </c>
      <c r="E1235" s="1" t="s">
        <v>1444</v>
      </c>
      <c r="F1235" s="1" t="s">
        <v>4348</v>
      </c>
      <c r="G1235" s="3">
        <v>0</v>
      </c>
      <c r="H1235" s="20" t="s">
        <v>6703</v>
      </c>
      <c r="I1235" s="20" t="s">
        <v>4349</v>
      </c>
      <c r="J1235" s="20" t="s">
        <v>3149</v>
      </c>
      <c r="K1235" s="20" t="s">
        <v>10013</v>
      </c>
      <c r="L1235" s="3">
        <v>30</v>
      </c>
      <c r="M1235" s="3" t="s">
        <v>10084</v>
      </c>
      <c r="N1235" s="3" t="str">
        <f>HYPERLINK("http://ictvonline.org/taxonomyHistory.asp?taxnode_id=20160989","ICTVonline=20160989")</f>
        <v>ICTVonline=20160989</v>
      </c>
    </row>
    <row r="1236" spans="1:14" x14ac:dyDescent="0.15">
      <c r="A1236" s="3">
        <v>1235</v>
      </c>
      <c r="B1236" s="1" t="s">
        <v>1027</v>
      </c>
      <c r="C1236" s="1" t="s">
        <v>1443</v>
      </c>
      <c r="E1236" s="1" t="s">
        <v>1444</v>
      </c>
      <c r="F1236" s="1" t="s">
        <v>2728</v>
      </c>
      <c r="G1236" s="3">
        <v>0</v>
      </c>
      <c r="H1236" s="20" t="s">
        <v>3156</v>
      </c>
      <c r="I1236" s="20" t="s">
        <v>3157</v>
      </c>
      <c r="J1236" s="20" t="s">
        <v>3149</v>
      </c>
      <c r="K1236" s="20" t="s">
        <v>10013</v>
      </c>
      <c r="L1236" s="3">
        <v>29</v>
      </c>
      <c r="M1236" s="3" t="s">
        <v>10085</v>
      </c>
      <c r="N1236" s="3" t="str">
        <f>HYPERLINK("http://ictvonline.org/taxonomyHistory.asp?taxnode_id=20160990","ICTVonline=20160990")</f>
        <v>ICTVonline=20160990</v>
      </c>
    </row>
    <row r="1237" spans="1:14" x14ac:dyDescent="0.15">
      <c r="A1237" s="3">
        <v>1236</v>
      </c>
      <c r="B1237" s="1" t="s">
        <v>1027</v>
      </c>
      <c r="C1237" s="1" t="s">
        <v>1445</v>
      </c>
      <c r="E1237" s="1" t="s">
        <v>2381</v>
      </c>
      <c r="F1237" s="1" t="s">
        <v>2382</v>
      </c>
      <c r="G1237" s="3">
        <v>1</v>
      </c>
      <c r="I1237" s="20" t="s">
        <v>7075</v>
      </c>
      <c r="J1237" s="20" t="s">
        <v>3149</v>
      </c>
      <c r="K1237" s="20" t="s">
        <v>10013</v>
      </c>
      <c r="L1237" s="3">
        <v>28</v>
      </c>
      <c r="M1237" s="3" t="s">
        <v>10086</v>
      </c>
      <c r="N1237" s="3" t="str">
        <f>HYPERLINK("http://ictvonline.org/taxonomyHistory.asp?taxnode_id=20160994","ICTVonline=20160994")</f>
        <v>ICTVonline=20160994</v>
      </c>
    </row>
    <row r="1238" spans="1:14" x14ac:dyDescent="0.15">
      <c r="A1238" s="3">
        <v>1237</v>
      </c>
      <c r="B1238" s="1" t="s">
        <v>1027</v>
      </c>
      <c r="C1238" s="1" t="s">
        <v>1445</v>
      </c>
      <c r="E1238" s="1" t="s">
        <v>1446</v>
      </c>
      <c r="F1238" s="1" t="s">
        <v>1382</v>
      </c>
      <c r="G1238" s="3">
        <v>0</v>
      </c>
      <c r="I1238" s="20" t="s">
        <v>7076</v>
      </c>
      <c r="J1238" s="20" t="s">
        <v>3149</v>
      </c>
      <c r="K1238" s="20" t="s">
        <v>10013</v>
      </c>
      <c r="L1238" s="3">
        <v>26</v>
      </c>
      <c r="M1238" s="3" t="s">
        <v>10087</v>
      </c>
      <c r="N1238" s="3" t="str">
        <f>HYPERLINK("http://ictvonline.org/taxonomyHistory.asp?taxnode_id=20160996","ICTVonline=20160996")</f>
        <v>ICTVonline=20160996</v>
      </c>
    </row>
    <row r="1239" spans="1:14" x14ac:dyDescent="0.15">
      <c r="A1239" s="3">
        <v>1238</v>
      </c>
      <c r="B1239" s="1" t="s">
        <v>1027</v>
      </c>
      <c r="C1239" s="1" t="s">
        <v>1445</v>
      </c>
      <c r="E1239" s="1" t="s">
        <v>1446</v>
      </c>
      <c r="F1239" s="1" t="s">
        <v>1447</v>
      </c>
      <c r="G1239" s="3">
        <v>0</v>
      </c>
      <c r="I1239" s="20" t="s">
        <v>7077</v>
      </c>
      <c r="J1239" s="20" t="s">
        <v>3149</v>
      </c>
      <c r="K1239" s="20" t="s">
        <v>10014</v>
      </c>
      <c r="L1239" s="3">
        <v>21</v>
      </c>
      <c r="M1239" s="3" t="s">
        <v>10088</v>
      </c>
      <c r="N1239" s="3" t="str">
        <f>HYPERLINK("http://ictvonline.org/taxonomyHistory.asp?taxnode_id=20160997","ICTVonline=20160997")</f>
        <v>ICTVonline=20160997</v>
      </c>
    </row>
    <row r="1240" spans="1:14" x14ac:dyDescent="0.15">
      <c r="A1240" s="3">
        <v>1239</v>
      </c>
      <c r="B1240" s="1" t="s">
        <v>1027</v>
      </c>
      <c r="C1240" s="1" t="s">
        <v>1445</v>
      </c>
      <c r="E1240" s="1" t="s">
        <v>1446</v>
      </c>
      <c r="F1240" s="1" t="s">
        <v>1448</v>
      </c>
      <c r="G1240" s="3">
        <v>0</v>
      </c>
      <c r="I1240" s="20" t="s">
        <v>7299</v>
      </c>
      <c r="J1240" s="20" t="s">
        <v>3149</v>
      </c>
      <c r="K1240" s="20" t="s">
        <v>10014</v>
      </c>
      <c r="L1240" s="3">
        <v>21</v>
      </c>
      <c r="M1240" s="3" t="s">
        <v>10088</v>
      </c>
      <c r="N1240" s="3" t="str">
        <f>HYPERLINK("http://ictvonline.org/taxonomyHistory.asp?taxnode_id=20160998","ICTVonline=20160998")</f>
        <v>ICTVonline=20160998</v>
      </c>
    </row>
    <row r="1241" spans="1:14" x14ac:dyDescent="0.15">
      <c r="A1241" s="3">
        <v>1240</v>
      </c>
      <c r="B1241" s="1" t="s">
        <v>1027</v>
      </c>
      <c r="C1241" s="1" t="s">
        <v>1445</v>
      </c>
      <c r="E1241" s="1" t="s">
        <v>1446</v>
      </c>
      <c r="F1241" s="1" t="s">
        <v>6433</v>
      </c>
      <c r="G1241" s="3">
        <v>0</v>
      </c>
      <c r="I1241" s="20" t="s">
        <v>7078</v>
      </c>
      <c r="J1241" s="20" t="s">
        <v>3149</v>
      </c>
      <c r="K1241" s="20" t="s">
        <v>10021</v>
      </c>
      <c r="L1241" s="3">
        <v>25</v>
      </c>
      <c r="M1241" s="3" t="s">
        <v>10089</v>
      </c>
      <c r="N1241" s="3" t="str">
        <f>HYPERLINK("http://ictvonline.org/taxonomyHistory.asp?taxnode_id=20160999","ICTVonline=20160999")</f>
        <v>ICTVonline=20160999</v>
      </c>
    </row>
    <row r="1242" spans="1:14" x14ac:dyDescent="0.15">
      <c r="A1242" s="3">
        <v>1241</v>
      </c>
      <c r="B1242" s="1" t="s">
        <v>1027</v>
      </c>
      <c r="C1242" s="1" t="s">
        <v>1445</v>
      </c>
      <c r="E1242" s="1" t="s">
        <v>1446</v>
      </c>
      <c r="F1242" s="1" t="s">
        <v>1449</v>
      </c>
      <c r="G1242" s="3">
        <v>1</v>
      </c>
      <c r="I1242" s="20" t="s">
        <v>7300</v>
      </c>
      <c r="J1242" s="20" t="s">
        <v>3149</v>
      </c>
      <c r="K1242" s="20" t="s">
        <v>10014</v>
      </c>
      <c r="L1242" s="3">
        <v>21</v>
      </c>
      <c r="M1242" s="3" t="s">
        <v>10088</v>
      </c>
      <c r="N1242" s="3" t="str">
        <f>HYPERLINK("http://ictvonline.org/taxonomyHistory.asp?taxnode_id=20161000","ICTVonline=20161000")</f>
        <v>ICTVonline=20161000</v>
      </c>
    </row>
    <row r="1243" spans="1:14" x14ac:dyDescent="0.15">
      <c r="A1243" s="3">
        <v>1242</v>
      </c>
      <c r="B1243" s="1" t="s">
        <v>1027</v>
      </c>
      <c r="C1243" s="1" t="s">
        <v>1445</v>
      </c>
      <c r="E1243" s="1" t="s">
        <v>1450</v>
      </c>
      <c r="F1243" s="1" t="s">
        <v>1383</v>
      </c>
      <c r="G1243" s="3">
        <v>1</v>
      </c>
      <c r="I1243" s="20" t="s">
        <v>7079</v>
      </c>
      <c r="J1243" s="20" t="s">
        <v>3149</v>
      </c>
      <c r="K1243" s="20" t="s">
        <v>10021</v>
      </c>
      <c r="L1243" s="3">
        <v>26</v>
      </c>
      <c r="M1243" s="3" t="s">
        <v>10089</v>
      </c>
      <c r="N1243" s="3" t="str">
        <f>HYPERLINK("http://ictvonline.org/taxonomyHistory.asp?taxnode_id=20161002","ICTVonline=20161002")</f>
        <v>ICTVonline=20161002</v>
      </c>
    </row>
    <row r="1244" spans="1:14" x14ac:dyDescent="0.15">
      <c r="A1244" s="3">
        <v>1243</v>
      </c>
      <c r="B1244" s="1" t="s">
        <v>1027</v>
      </c>
      <c r="C1244" s="1" t="s">
        <v>4350</v>
      </c>
      <c r="E1244" s="1" t="s">
        <v>4351</v>
      </c>
      <c r="F1244" s="4" t="s">
        <v>4352</v>
      </c>
      <c r="G1244" s="3">
        <v>1</v>
      </c>
      <c r="H1244" s="21" t="s">
        <v>7367</v>
      </c>
      <c r="I1244" s="21" t="s">
        <v>4353</v>
      </c>
      <c r="J1244" s="21" t="s">
        <v>3149</v>
      </c>
      <c r="K1244" s="21" t="s">
        <v>10013</v>
      </c>
      <c r="L1244" s="3">
        <v>30</v>
      </c>
      <c r="M1244" s="3" t="s">
        <v>10090</v>
      </c>
      <c r="N1244" s="3" t="str">
        <f>HYPERLINK("http://ictvonline.org/taxonomyHistory.asp?taxnode_id=20161006","ICTVonline=20161006")</f>
        <v>ICTVonline=20161006</v>
      </c>
    </row>
    <row r="1245" spans="1:14" x14ac:dyDescent="0.15">
      <c r="A1245" s="3">
        <v>1244</v>
      </c>
      <c r="B1245" s="1" t="s">
        <v>1027</v>
      </c>
      <c r="C1245" s="1" t="s">
        <v>2383</v>
      </c>
      <c r="E1245" s="1" t="s">
        <v>2384</v>
      </c>
      <c r="F1245" s="1" t="s">
        <v>2385</v>
      </c>
      <c r="G1245" s="3">
        <v>0</v>
      </c>
      <c r="J1245" s="20" t="s">
        <v>3149</v>
      </c>
      <c r="K1245" s="20" t="s">
        <v>10013</v>
      </c>
      <c r="L1245" s="3">
        <v>28</v>
      </c>
      <c r="M1245" s="3" t="s">
        <v>10091</v>
      </c>
      <c r="N1245" s="3" t="str">
        <f>HYPERLINK("http://ictvonline.org/taxonomyHistory.asp?taxnode_id=20161010","ICTVonline=20161010")</f>
        <v>ICTVonline=20161010</v>
      </c>
    </row>
    <row r="1246" spans="1:14" x14ac:dyDescent="0.15">
      <c r="A1246" s="3">
        <v>1245</v>
      </c>
      <c r="B1246" s="1" t="s">
        <v>1027</v>
      </c>
      <c r="C1246" s="1" t="s">
        <v>2383</v>
      </c>
      <c r="E1246" s="1" t="s">
        <v>2384</v>
      </c>
      <c r="F1246" s="1" t="s">
        <v>2386</v>
      </c>
      <c r="G1246" s="3">
        <v>1</v>
      </c>
      <c r="J1246" s="20" t="s">
        <v>3149</v>
      </c>
      <c r="K1246" s="20" t="s">
        <v>10013</v>
      </c>
      <c r="L1246" s="3">
        <v>28</v>
      </c>
      <c r="M1246" s="3" t="s">
        <v>10091</v>
      </c>
      <c r="N1246" s="3" t="str">
        <f>HYPERLINK("http://ictvonline.org/taxonomyHistory.asp?taxnode_id=20161011","ICTVonline=20161011")</f>
        <v>ICTVonline=20161011</v>
      </c>
    </row>
    <row r="1247" spans="1:14" x14ac:dyDescent="0.15">
      <c r="A1247" s="3">
        <v>1246</v>
      </c>
      <c r="B1247" s="1" t="s">
        <v>1027</v>
      </c>
      <c r="C1247" s="1" t="s">
        <v>2383</v>
      </c>
      <c r="E1247" s="1" t="s">
        <v>2384</v>
      </c>
      <c r="F1247" s="1" t="s">
        <v>2729</v>
      </c>
      <c r="G1247" s="3">
        <v>0</v>
      </c>
      <c r="H1247" s="20" t="s">
        <v>3158</v>
      </c>
      <c r="I1247" s="20" t="s">
        <v>3159</v>
      </c>
      <c r="J1247" s="20" t="s">
        <v>3149</v>
      </c>
      <c r="K1247" s="20" t="s">
        <v>10013</v>
      </c>
      <c r="L1247" s="3">
        <v>29</v>
      </c>
      <c r="M1247" s="3" t="s">
        <v>10092</v>
      </c>
      <c r="N1247" s="3" t="str">
        <f>HYPERLINK("http://ictvonline.org/taxonomyHistory.asp?taxnode_id=20161012","ICTVonline=20161012")</f>
        <v>ICTVonline=20161012</v>
      </c>
    </row>
    <row r="1248" spans="1:14" x14ac:dyDescent="0.15">
      <c r="A1248" s="3">
        <v>1247</v>
      </c>
      <c r="B1248" s="1" t="s">
        <v>1027</v>
      </c>
      <c r="C1248" s="1" t="s">
        <v>2383</v>
      </c>
      <c r="E1248" s="1" t="s">
        <v>8748</v>
      </c>
      <c r="F1248" s="1" t="s">
        <v>8749</v>
      </c>
      <c r="G1248" s="3">
        <v>1</v>
      </c>
      <c r="H1248" s="20" t="s">
        <v>8750</v>
      </c>
      <c r="I1248" s="20" t="s">
        <v>8751</v>
      </c>
      <c r="J1248" s="20" t="s">
        <v>3149</v>
      </c>
      <c r="K1248" s="20" t="s">
        <v>10013</v>
      </c>
      <c r="L1248" s="3">
        <v>31</v>
      </c>
      <c r="M1248" s="3" t="s">
        <v>8752</v>
      </c>
      <c r="N1248" s="3" t="str">
        <f>HYPERLINK("http://ictvonline.org/taxonomyHistory.asp?taxnode_id=20165113","ICTVonline=20165113")</f>
        <v>ICTVonline=20165113</v>
      </c>
    </row>
    <row r="1249" spans="1:14" x14ac:dyDescent="0.15">
      <c r="A1249" s="3">
        <v>1248</v>
      </c>
      <c r="B1249" s="1" t="s">
        <v>1027</v>
      </c>
      <c r="C1249" s="1" t="s">
        <v>2383</v>
      </c>
      <c r="E1249" s="1" t="s">
        <v>4354</v>
      </c>
      <c r="F1249" s="1" t="s">
        <v>4355</v>
      </c>
      <c r="G1249" s="3">
        <v>1</v>
      </c>
      <c r="J1249" s="20" t="s">
        <v>3149</v>
      </c>
      <c r="K1249" s="20" t="s">
        <v>10014</v>
      </c>
      <c r="L1249" s="3">
        <v>30</v>
      </c>
      <c r="M1249" s="3" t="s">
        <v>10093</v>
      </c>
      <c r="N1249" s="3" t="str">
        <f>HYPERLINK("http://ictvonline.org/taxonomyHistory.asp?taxnode_id=20161014","ICTVonline=20161014")</f>
        <v>ICTVonline=20161014</v>
      </c>
    </row>
    <row r="1250" spans="1:14" x14ac:dyDescent="0.15">
      <c r="A1250" s="3">
        <v>1249</v>
      </c>
      <c r="B1250" s="1" t="s">
        <v>1027</v>
      </c>
      <c r="C1250" s="1" t="s">
        <v>1451</v>
      </c>
      <c r="E1250" s="1" t="s">
        <v>1384</v>
      </c>
      <c r="F1250" s="1" t="s">
        <v>10476</v>
      </c>
      <c r="G1250" s="3">
        <v>0</v>
      </c>
      <c r="J1250" s="20" t="s">
        <v>3149</v>
      </c>
      <c r="K1250" s="20" t="s">
        <v>10021</v>
      </c>
      <c r="L1250" s="3">
        <v>31</v>
      </c>
      <c r="M1250" s="3" t="s">
        <v>10477</v>
      </c>
      <c r="N1250" s="3" t="str">
        <f>HYPERLINK("http://ictvonline.org/taxonomyHistory.asp?taxnode_id=20161018","ICTVonline=20161018")</f>
        <v>ICTVonline=20161018</v>
      </c>
    </row>
    <row r="1251" spans="1:14" x14ac:dyDescent="0.15">
      <c r="A1251" s="3">
        <v>1250</v>
      </c>
      <c r="B1251" s="1" t="s">
        <v>1027</v>
      </c>
      <c r="C1251" s="1" t="s">
        <v>1451</v>
      </c>
      <c r="E1251" s="1" t="s">
        <v>1452</v>
      </c>
      <c r="F1251" s="1" t="s">
        <v>10478</v>
      </c>
      <c r="G1251" s="3">
        <v>1</v>
      </c>
      <c r="J1251" s="20" t="s">
        <v>3149</v>
      </c>
      <c r="K1251" s="20" t="s">
        <v>10021</v>
      </c>
      <c r="L1251" s="3">
        <v>31</v>
      </c>
      <c r="M1251" s="3" t="s">
        <v>8756</v>
      </c>
      <c r="N1251" s="3" t="str">
        <f>HYPERLINK("http://ictvonline.org/taxonomyHistory.asp?taxnode_id=20161031","ICTVonline=20161031")</f>
        <v>ICTVonline=20161031</v>
      </c>
    </row>
    <row r="1252" spans="1:14" x14ac:dyDescent="0.15">
      <c r="A1252" s="3">
        <v>1251</v>
      </c>
      <c r="B1252" s="1" t="s">
        <v>1027</v>
      </c>
      <c r="C1252" s="1" t="s">
        <v>1451</v>
      </c>
      <c r="E1252" s="1" t="s">
        <v>1452</v>
      </c>
      <c r="F1252" s="1" t="s">
        <v>10479</v>
      </c>
      <c r="G1252" s="3">
        <v>0</v>
      </c>
      <c r="J1252" s="20" t="s">
        <v>3149</v>
      </c>
      <c r="K1252" s="20" t="s">
        <v>10021</v>
      </c>
      <c r="L1252" s="3">
        <v>31</v>
      </c>
      <c r="M1252" s="3" t="s">
        <v>8756</v>
      </c>
      <c r="N1252" s="3" t="str">
        <f>HYPERLINK("http://ictvonline.org/taxonomyHistory.asp?taxnode_id=20161020","ICTVonline=20161020")</f>
        <v>ICTVonline=20161020</v>
      </c>
    </row>
    <row r="1253" spans="1:14" x14ac:dyDescent="0.15">
      <c r="A1253" s="3">
        <v>1252</v>
      </c>
      <c r="B1253" s="1" t="s">
        <v>1027</v>
      </c>
      <c r="C1253" s="1" t="s">
        <v>1451</v>
      </c>
      <c r="E1253" s="1" t="s">
        <v>1452</v>
      </c>
      <c r="F1253" s="1" t="s">
        <v>10480</v>
      </c>
      <c r="G1253" s="3">
        <v>0</v>
      </c>
      <c r="J1253" s="20" t="s">
        <v>3149</v>
      </c>
      <c r="K1253" s="20" t="s">
        <v>10021</v>
      </c>
      <c r="L1253" s="3">
        <v>31</v>
      </c>
      <c r="M1253" s="3" t="s">
        <v>8756</v>
      </c>
      <c r="N1253" s="3" t="str">
        <f>HYPERLINK("http://ictvonline.org/taxonomyHistory.asp?taxnode_id=20161021","ICTVonline=20161021")</f>
        <v>ICTVonline=20161021</v>
      </c>
    </row>
    <row r="1254" spans="1:14" x14ac:dyDescent="0.15">
      <c r="A1254" s="3">
        <v>1253</v>
      </c>
      <c r="B1254" s="1" t="s">
        <v>1027</v>
      </c>
      <c r="C1254" s="1" t="s">
        <v>1451</v>
      </c>
      <c r="E1254" s="1" t="s">
        <v>1452</v>
      </c>
      <c r="F1254" s="1" t="s">
        <v>10481</v>
      </c>
      <c r="G1254" s="3">
        <v>0</v>
      </c>
      <c r="J1254" s="20" t="s">
        <v>3149</v>
      </c>
      <c r="K1254" s="20" t="s">
        <v>10021</v>
      </c>
      <c r="L1254" s="3">
        <v>31</v>
      </c>
      <c r="M1254" s="3" t="s">
        <v>8756</v>
      </c>
      <c r="N1254" s="3" t="str">
        <f>HYPERLINK("http://ictvonline.org/taxonomyHistory.asp?taxnode_id=20161022","ICTVonline=20161022")</f>
        <v>ICTVonline=20161022</v>
      </c>
    </row>
    <row r="1255" spans="1:14" x14ac:dyDescent="0.15">
      <c r="A1255" s="3">
        <v>1254</v>
      </c>
      <c r="B1255" s="1" t="s">
        <v>1027</v>
      </c>
      <c r="C1255" s="1" t="s">
        <v>1451</v>
      </c>
      <c r="E1255" s="1" t="s">
        <v>1452</v>
      </c>
      <c r="F1255" s="1" t="s">
        <v>10482</v>
      </c>
      <c r="G1255" s="3">
        <v>0</v>
      </c>
      <c r="J1255" s="20" t="s">
        <v>3149</v>
      </c>
      <c r="K1255" s="20" t="s">
        <v>10021</v>
      </c>
      <c r="L1255" s="3">
        <v>31</v>
      </c>
      <c r="M1255" s="3" t="s">
        <v>8756</v>
      </c>
      <c r="N1255" s="3" t="str">
        <f>HYPERLINK("http://ictvonline.org/taxonomyHistory.asp?taxnode_id=20161023","ICTVonline=20161023")</f>
        <v>ICTVonline=20161023</v>
      </c>
    </row>
    <row r="1256" spans="1:14" x14ac:dyDescent="0.15">
      <c r="A1256" s="3">
        <v>1255</v>
      </c>
      <c r="B1256" s="1" t="s">
        <v>1027</v>
      </c>
      <c r="C1256" s="1" t="s">
        <v>1451</v>
      </c>
      <c r="E1256" s="1" t="s">
        <v>1452</v>
      </c>
      <c r="F1256" s="1" t="s">
        <v>10483</v>
      </c>
      <c r="G1256" s="3">
        <v>0</v>
      </c>
      <c r="J1256" s="20" t="s">
        <v>3149</v>
      </c>
      <c r="K1256" s="20" t="s">
        <v>10021</v>
      </c>
      <c r="L1256" s="3">
        <v>31</v>
      </c>
      <c r="M1256" s="3" t="s">
        <v>8756</v>
      </c>
      <c r="N1256" s="3" t="str">
        <f>HYPERLINK("http://ictvonline.org/taxonomyHistory.asp?taxnode_id=20161024","ICTVonline=20161024")</f>
        <v>ICTVonline=20161024</v>
      </c>
    </row>
    <row r="1257" spans="1:14" x14ac:dyDescent="0.15">
      <c r="A1257" s="3">
        <v>1256</v>
      </c>
      <c r="B1257" s="1" t="s">
        <v>1027</v>
      </c>
      <c r="C1257" s="1" t="s">
        <v>1451</v>
      </c>
      <c r="E1257" s="1" t="s">
        <v>1452</v>
      </c>
      <c r="F1257" s="1" t="s">
        <v>10484</v>
      </c>
      <c r="G1257" s="3">
        <v>0</v>
      </c>
      <c r="J1257" s="20" t="s">
        <v>3149</v>
      </c>
      <c r="K1257" s="20" t="s">
        <v>10021</v>
      </c>
      <c r="L1257" s="3">
        <v>31</v>
      </c>
      <c r="M1257" s="3" t="s">
        <v>8756</v>
      </c>
      <c r="N1257" s="3" t="str">
        <f>HYPERLINK("http://ictvonline.org/taxonomyHistory.asp?taxnode_id=20161025","ICTVonline=20161025")</f>
        <v>ICTVonline=20161025</v>
      </c>
    </row>
    <row r="1258" spans="1:14" x14ac:dyDescent="0.15">
      <c r="A1258" s="3">
        <v>1257</v>
      </c>
      <c r="B1258" s="1" t="s">
        <v>1027</v>
      </c>
      <c r="C1258" s="1" t="s">
        <v>1451</v>
      </c>
      <c r="E1258" s="1" t="s">
        <v>1452</v>
      </c>
      <c r="F1258" s="1" t="s">
        <v>10485</v>
      </c>
      <c r="G1258" s="3">
        <v>0</v>
      </c>
      <c r="J1258" s="20" t="s">
        <v>3149</v>
      </c>
      <c r="K1258" s="20" t="s">
        <v>10021</v>
      </c>
      <c r="L1258" s="3">
        <v>31</v>
      </c>
      <c r="M1258" s="3" t="s">
        <v>8756</v>
      </c>
      <c r="N1258" s="3" t="str">
        <f>HYPERLINK("http://ictvonline.org/taxonomyHistory.asp?taxnode_id=20161026","ICTVonline=20161026")</f>
        <v>ICTVonline=20161026</v>
      </c>
    </row>
    <row r="1259" spans="1:14" x14ac:dyDescent="0.15">
      <c r="A1259" s="3">
        <v>1258</v>
      </c>
      <c r="B1259" s="1" t="s">
        <v>1027</v>
      </c>
      <c r="C1259" s="1" t="s">
        <v>1451</v>
      </c>
      <c r="E1259" s="1" t="s">
        <v>1452</v>
      </c>
      <c r="F1259" s="1" t="s">
        <v>10486</v>
      </c>
      <c r="G1259" s="3">
        <v>0</v>
      </c>
      <c r="J1259" s="20" t="s">
        <v>3149</v>
      </c>
      <c r="K1259" s="20" t="s">
        <v>10021</v>
      </c>
      <c r="L1259" s="3">
        <v>31</v>
      </c>
      <c r="M1259" s="3" t="s">
        <v>8756</v>
      </c>
      <c r="N1259" s="3" t="str">
        <f>HYPERLINK("http://ictvonline.org/taxonomyHistory.asp?taxnode_id=20161027","ICTVonline=20161027")</f>
        <v>ICTVonline=20161027</v>
      </c>
    </row>
    <row r="1260" spans="1:14" x14ac:dyDescent="0.15">
      <c r="A1260" s="3">
        <v>1259</v>
      </c>
      <c r="B1260" s="1" t="s">
        <v>1027</v>
      </c>
      <c r="C1260" s="1" t="s">
        <v>1451</v>
      </c>
      <c r="E1260" s="1" t="s">
        <v>1452</v>
      </c>
      <c r="F1260" s="1" t="s">
        <v>10487</v>
      </c>
      <c r="G1260" s="3">
        <v>0</v>
      </c>
      <c r="H1260" s="20" t="s">
        <v>6704</v>
      </c>
      <c r="I1260" s="20" t="s">
        <v>4356</v>
      </c>
      <c r="J1260" s="20" t="s">
        <v>3149</v>
      </c>
      <c r="K1260" s="20" t="s">
        <v>10021</v>
      </c>
      <c r="L1260" s="3">
        <v>31</v>
      </c>
      <c r="M1260" s="3" t="s">
        <v>8756</v>
      </c>
      <c r="N1260" s="3" t="str">
        <f>HYPERLINK("http://ictvonline.org/taxonomyHistory.asp?taxnode_id=20161028","ICTVonline=20161028")</f>
        <v>ICTVonline=20161028</v>
      </c>
    </row>
    <row r="1261" spans="1:14" x14ac:dyDescent="0.15">
      <c r="A1261" s="3">
        <v>1260</v>
      </c>
      <c r="B1261" s="1" t="s">
        <v>1027</v>
      </c>
      <c r="C1261" s="1" t="s">
        <v>1451</v>
      </c>
      <c r="E1261" s="1" t="s">
        <v>1452</v>
      </c>
      <c r="F1261" s="1" t="s">
        <v>10488</v>
      </c>
      <c r="G1261" s="3">
        <v>0</v>
      </c>
      <c r="H1261" s="20" t="s">
        <v>6705</v>
      </c>
      <c r="I1261" s="20" t="s">
        <v>4357</v>
      </c>
      <c r="J1261" s="20" t="s">
        <v>3149</v>
      </c>
      <c r="K1261" s="20" t="s">
        <v>10021</v>
      </c>
      <c r="L1261" s="3">
        <v>31</v>
      </c>
      <c r="M1261" s="3" t="s">
        <v>8756</v>
      </c>
      <c r="N1261" s="3" t="str">
        <f>HYPERLINK("http://ictvonline.org/taxonomyHistory.asp?taxnode_id=20161029","ICTVonline=20161029")</f>
        <v>ICTVonline=20161029</v>
      </c>
    </row>
    <row r="1262" spans="1:14" x14ac:dyDescent="0.15">
      <c r="A1262" s="3">
        <v>1261</v>
      </c>
      <c r="B1262" s="1" t="s">
        <v>1027</v>
      </c>
      <c r="C1262" s="1" t="s">
        <v>1451</v>
      </c>
      <c r="E1262" s="1" t="s">
        <v>1452</v>
      </c>
      <c r="F1262" s="1" t="s">
        <v>10489</v>
      </c>
      <c r="G1262" s="3">
        <v>0</v>
      </c>
      <c r="H1262" s="20" t="s">
        <v>6706</v>
      </c>
      <c r="I1262" s="20" t="s">
        <v>4358</v>
      </c>
      <c r="J1262" s="20" t="s">
        <v>3149</v>
      </c>
      <c r="K1262" s="20" t="s">
        <v>10021</v>
      </c>
      <c r="L1262" s="3">
        <v>31</v>
      </c>
      <c r="M1262" s="3" t="s">
        <v>8756</v>
      </c>
      <c r="N1262" s="3" t="str">
        <f>HYPERLINK("http://ictvonline.org/taxonomyHistory.asp?taxnode_id=20161030","ICTVonline=20161030")</f>
        <v>ICTVonline=20161030</v>
      </c>
    </row>
    <row r="1263" spans="1:14" x14ac:dyDescent="0.15">
      <c r="A1263" s="3">
        <v>1262</v>
      </c>
      <c r="B1263" s="1" t="s">
        <v>1027</v>
      </c>
      <c r="C1263" s="1" t="s">
        <v>1451</v>
      </c>
      <c r="E1263" s="1" t="s">
        <v>1452</v>
      </c>
      <c r="F1263" s="1" t="s">
        <v>8753</v>
      </c>
      <c r="G1263" s="3">
        <v>0</v>
      </c>
      <c r="H1263" s="20" t="s">
        <v>8754</v>
      </c>
      <c r="I1263" s="20" t="s">
        <v>8755</v>
      </c>
      <c r="J1263" s="20" t="s">
        <v>3149</v>
      </c>
      <c r="K1263" s="20" t="s">
        <v>10013</v>
      </c>
      <c r="L1263" s="3">
        <v>31</v>
      </c>
      <c r="M1263" s="3" t="s">
        <v>8756</v>
      </c>
      <c r="N1263" s="3" t="str">
        <f>HYPERLINK("http://ictvonline.org/taxonomyHistory.asp?taxnode_id=20165114","ICTVonline=20165114")</f>
        <v>ICTVonline=20165114</v>
      </c>
    </row>
    <row r="1264" spans="1:14" x14ac:dyDescent="0.15">
      <c r="A1264" s="3">
        <v>1263</v>
      </c>
      <c r="B1264" s="1" t="s">
        <v>1027</v>
      </c>
      <c r="C1264" s="1" t="s">
        <v>1451</v>
      </c>
      <c r="E1264" s="1" t="s">
        <v>1385</v>
      </c>
      <c r="F1264" s="1" t="s">
        <v>10490</v>
      </c>
      <c r="G1264" s="3">
        <v>1</v>
      </c>
      <c r="J1264" s="20" t="s">
        <v>3149</v>
      </c>
      <c r="K1264" s="20" t="s">
        <v>10021</v>
      </c>
      <c r="L1264" s="3">
        <v>31</v>
      </c>
      <c r="M1264" s="3" t="s">
        <v>10477</v>
      </c>
      <c r="N1264" s="3" t="str">
        <f>HYPERLINK("http://ictvonline.org/taxonomyHistory.asp?taxnode_id=20161033","ICTVonline=20161033")</f>
        <v>ICTVonline=20161033</v>
      </c>
    </row>
    <row r="1265" spans="1:14" x14ac:dyDescent="0.15">
      <c r="A1265" s="3">
        <v>1264</v>
      </c>
      <c r="B1265" s="1" t="s">
        <v>1027</v>
      </c>
      <c r="C1265" s="1" t="s">
        <v>1451</v>
      </c>
      <c r="E1265" s="1" t="s">
        <v>1358</v>
      </c>
      <c r="F1265" s="1" t="s">
        <v>4359</v>
      </c>
      <c r="G1265" s="3">
        <v>0</v>
      </c>
      <c r="H1265" s="20" t="s">
        <v>6707</v>
      </c>
      <c r="I1265" s="20" t="s">
        <v>4360</v>
      </c>
      <c r="J1265" s="20" t="s">
        <v>3149</v>
      </c>
      <c r="K1265" s="20" t="s">
        <v>10013</v>
      </c>
      <c r="L1265" s="3">
        <v>30</v>
      </c>
      <c r="M1265" s="3" t="s">
        <v>10096</v>
      </c>
      <c r="N1265" s="3" t="str">
        <f>HYPERLINK("http://ictvonline.org/taxonomyHistory.asp?taxnode_id=20161035","ICTVonline=20161035")</f>
        <v>ICTVonline=20161035</v>
      </c>
    </row>
    <row r="1266" spans="1:14" x14ac:dyDescent="0.15">
      <c r="A1266" s="3">
        <v>1265</v>
      </c>
      <c r="B1266" s="1" t="s">
        <v>1027</v>
      </c>
      <c r="C1266" s="1" t="s">
        <v>1451</v>
      </c>
      <c r="E1266" s="1" t="s">
        <v>1358</v>
      </c>
      <c r="F1266" s="1" t="s">
        <v>4361</v>
      </c>
      <c r="G1266" s="3">
        <v>0</v>
      </c>
      <c r="H1266" s="20" t="s">
        <v>6708</v>
      </c>
      <c r="I1266" s="20" t="s">
        <v>4362</v>
      </c>
      <c r="J1266" s="20" t="s">
        <v>3149</v>
      </c>
      <c r="K1266" s="20" t="s">
        <v>10013</v>
      </c>
      <c r="L1266" s="3">
        <v>30</v>
      </c>
      <c r="M1266" s="3" t="s">
        <v>10096</v>
      </c>
      <c r="N1266" s="3" t="str">
        <f>HYPERLINK("http://ictvonline.org/taxonomyHistory.asp?taxnode_id=20161036","ICTVonline=20161036")</f>
        <v>ICTVonline=20161036</v>
      </c>
    </row>
    <row r="1267" spans="1:14" x14ac:dyDescent="0.15">
      <c r="A1267" s="3">
        <v>1266</v>
      </c>
      <c r="B1267" s="1" t="s">
        <v>1027</v>
      </c>
      <c r="C1267" s="1" t="s">
        <v>1451</v>
      </c>
      <c r="E1267" s="1" t="s">
        <v>1358</v>
      </c>
      <c r="F1267" s="1" t="s">
        <v>10491</v>
      </c>
      <c r="G1267" s="3">
        <v>1</v>
      </c>
      <c r="J1267" s="20" t="s">
        <v>3149</v>
      </c>
      <c r="K1267" s="20" t="s">
        <v>10021</v>
      </c>
      <c r="L1267" s="3">
        <v>31</v>
      </c>
      <c r="M1267" s="3" t="s">
        <v>10477</v>
      </c>
      <c r="N1267" s="3" t="str">
        <f>HYPERLINK("http://ictvonline.org/taxonomyHistory.asp?taxnode_id=20161037","ICTVonline=20161037")</f>
        <v>ICTVonline=20161037</v>
      </c>
    </row>
    <row r="1268" spans="1:14" x14ac:dyDescent="0.15">
      <c r="A1268" s="3">
        <v>1267</v>
      </c>
      <c r="B1268" s="1" t="s">
        <v>1027</v>
      </c>
      <c r="C1268" s="1" t="s">
        <v>1451</v>
      </c>
      <c r="E1268" s="1" t="s">
        <v>1358</v>
      </c>
      <c r="F1268" s="1" t="s">
        <v>4363</v>
      </c>
      <c r="G1268" s="3">
        <v>0</v>
      </c>
      <c r="H1268" s="20" t="s">
        <v>6709</v>
      </c>
      <c r="I1268" s="20" t="s">
        <v>7290</v>
      </c>
      <c r="J1268" s="20" t="s">
        <v>3149</v>
      </c>
      <c r="K1268" s="20" t="s">
        <v>10013</v>
      </c>
      <c r="L1268" s="3">
        <v>30</v>
      </c>
      <c r="M1268" s="3" t="s">
        <v>10095</v>
      </c>
      <c r="N1268" s="3" t="str">
        <f>HYPERLINK("http://ictvonline.org/taxonomyHistory.asp?taxnode_id=20161038","ICTVonline=20161038")</f>
        <v>ICTVonline=20161038</v>
      </c>
    </row>
    <row r="1269" spans="1:14" x14ac:dyDescent="0.15">
      <c r="A1269" s="3">
        <v>1268</v>
      </c>
      <c r="B1269" s="1" t="s">
        <v>1027</v>
      </c>
      <c r="C1269" s="1" t="s">
        <v>1451</v>
      </c>
      <c r="E1269" s="1" t="s">
        <v>1358</v>
      </c>
      <c r="F1269" s="1" t="s">
        <v>10492</v>
      </c>
      <c r="G1269" s="3">
        <v>0</v>
      </c>
      <c r="J1269" s="20" t="s">
        <v>3149</v>
      </c>
      <c r="K1269" s="20" t="s">
        <v>10021</v>
      </c>
      <c r="L1269" s="3">
        <v>31</v>
      </c>
      <c r="M1269" s="3" t="s">
        <v>10477</v>
      </c>
      <c r="N1269" s="3" t="str">
        <f>HYPERLINK("http://ictvonline.org/taxonomyHistory.asp?taxnode_id=20161039","ICTVonline=20161039")</f>
        <v>ICTVonline=20161039</v>
      </c>
    </row>
    <row r="1270" spans="1:14" x14ac:dyDescent="0.15">
      <c r="A1270" s="3">
        <v>1269</v>
      </c>
      <c r="B1270" s="1" t="s">
        <v>1027</v>
      </c>
      <c r="C1270" s="1" t="s">
        <v>1451</v>
      </c>
      <c r="E1270" s="1" t="s">
        <v>1359</v>
      </c>
      <c r="F1270" s="1" t="s">
        <v>10493</v>
      </c>
      <c r="G1270" s="3">
        <v>0</v>
      </c>
      <c r="J1270" s="20" t="s">
        <v>3149</v>
      </c>
      <c r="K1270" s="20" t="s">
        <v>10021</v>
      </c>
      <c r="L1270" s="3">
        <v>31</v>
      </c>
      <c r="M1270" s="3" t="s">
        <v>10477</v>
      </c>
      <c r="N1270" s="3" t="str">
        <f>HYPERLINK("http://ictvonline.org/taxonomyHistory.asp?taxnode_id=20161041","ICTVonline=20161041")</f>
        <v>ICTVonline=20161041</v>
      </c>
    </row>
    <row r="1271" spans="1:14" x14ac:dyDescent="0.15">
      <c r="A1271" s="3">
        <v>1270</v>
      </c>
      <c r="B1271" s="1" t="s">
        <v>1027</v>
      </c>
      <c r="C1271" s="1" t="s">
        <v>1451</v>
      </c>
      <c r="E1271" s="1" t="s">
        <v>1359</v>
      </c>
      <c r="F1271" s="1" t="s">
        <v>1360</v>
      </c>
      <c r="G1271" s="3">
        <v>0</v>
      </c>
      <c r="J1271" s="20" t="s">
        <v>3149</v>
      </c>
      <c r="K1271" s="20" t="s">
        <v>10016</v>
      </c>
      <c r="L1271" s="3">
        <v>30</v>
      </c>
      <c r="M1271" s="3" t="s">
        <v>10094</v>
      </c>
      <c r="N1271" s="3" t="str">
        <f>HYPERLINK("http://ictvonline.org/taxonomyHistory.asp?taxnode_id=20161042","ICTVonline=20161042")</f>
        <v>ICTVonline=20161042</v>
      </c>
    </row>
    <row r="1272" spans="1:14" x14ac:dyDescent="0.15">
      <c r="A1272" s="3">
        <v>1271</v>
      </c>
      <c r="B1272" s="1" t="s">
        <v>1027</v>
      </c>
      <c r="C1272" s="1" t="s">
        <v>1451</v>
      </c>
      <c r="E1272" s="1" t="s">
        <v>1359</v>
      </c>
      <c r="F1272" s="1" t="s">
        <v>4364</v>
      </c>
      <c r="G1272" s="3">
        <v>0</v>
      </c>
      <c r="H1272" s="20" t="s">
        <v>6710</v>
      </c>
      <c r="I1272" s="20" t="s">
        <v>4365</v>
      </c>
      <c r="J1272" s="20" t="s">
        <v>3149</v>
      </c>
      <c r="K1272" s="20" t="s">
        <v>10013</v>
      </c>
      <c r="L1272" s="3">
        <v>30</v>
      </c>
      <c r="M1272" s="3" t="s">
        <v>10097</v>
      </c>
      <c r="N1272" s="3" t="str">
        <f>HYPERLINK("http://ictvonline.org/taxonomyHistory.asp?taxnode_id=20161043","ICTVonline=20161043")</f>
        <v>ICTVonline=20161043</v>
      </c>
    </row>
    <row r="1273" spans="1:14" x14ac:dyDescent="0.15">
      <c r="A1273" s="3">
        <v>1272</v>
      </c>
      <c r="B1273" s="1" t="s">
        <v>1027</v>
      </c>
      <c r="C1273" s="1" t="s">
        <v>1451</v>
      </c>
      <c r="E1273" s="1" t="s">
        <v>1359</v>
      </c>
      <c r="F1273" s="1" t="s">
        <v>10494</v>
      </c>
      <c r="G1273" s="3">
        <v>1</v>
      </c>
      <c r="J1273" s="20" t="s">
        <v>3149</v>
      </c>
      <c r="K1273" s="20" t="s">
        <v>10021</v>
      </c>
      <c r="L1273" s="3">
        <v>31</v>
      </c>
      <c r="M1273" s="3" t="s">
        <v>10477</v>
      </c>
      <c r="N1273" s="3" t="str">
        <f>HYPERLINK("http://ictvonline.org/taxonomyHistory.asp?taxnode_id=20161044","ICTVonline=20161044")</f>
        <v>ICTVonline=20161044</v>
      </c>
    </row>
    <row r="1274" spans="1:14" x14ac:dyDescent="0.15">
      <c r="A1274" s="3">
        <v>1273</v>
      </c>
      <c r="B1274" s="1" t="s">
        <v>1027</v>
      </c>
      <c r="C1274" s="1" t="s">
        <v>1451</v>
      </c>
      <c r="E1274" s="1" t="s">
        <v>1359</v>
      </c>
      <c r="F1274" s="1" t="s">
        <v>10495</v>
      </c>
      <c r="G1274" s="3">
        <v>0</v>
      </c>
      <c r="J1274" s="20" t="s">
        <v>3149</v>
      </c>
      <c r="K1274" s="20" t="s">
        <v>10021</v>
      </c>
      <c r="L1274" s="3">
        <v>31</v>
      </c>
      <c r="M1274" s="3" t="s">
        <v>10477</v>
      </c>
      <c r="N1274" s="3" t="str">
        <f>HYPERLINK("http://ictvonline.org/taxonomyHistory.asp?taxnode_id=20161046","ICTVonline=20161046")</f>
        <v>ICTVonline=20161046</v>
      </c>
    </row>
    <row r="1275" spans="1:14" x14ac:dyDescent="0.15">
      <c r="A1275" s="3">
        <v>1274</v>
      </c>
      <c r="B1275" s="1" t="s">
        <v>1027</v>
      </c>
      <c r="C1275" s="1" t="s">
        <v>1451</v>
      </c>
      <c r="E1275" s="1" t="s">
        <v>1359</v>
      </c>
      <c r="F1275" s="1" t="s">
        <v>10496</v>
      </c>
      <c r="G1275" s="3">
        <v>0</v>
      </c>
      <c r="J1275" s="20" t="s">
        <v>3149</v>
      </c>
      <c r="K1275" s="20" t="s">
        <v>10021</v>
      </c>
      <c r="L1275" s="3">
        <v>31</v>
      </c>
      <c r="M1275" s="3" t="s">
        <v>10477</v>
      </c>
      <c r="N1275" s="3" t="str">
        <f>HYPERLINK("http://ictvonline.org/taxonomyHistory.asp?taxnode_id=20161047","ICTVonline=20161047")</f>
        <v>ICTVonline=20161047</v>
      </c>
    </row>
    <row r="1276" spans="1:14" x14ac:dyDescent="0.15">
      <c r="A1276" s="3">
        <v>1275</v>
      </c>
      <c r="B1276" s="1" t="s">
        <v>1027</v>
      </c>
      <c r="C1276" s="1" t="s">
        <v>1451</v>
      </c>
      <c r="E1276" s="1" t="s">
        <v>1359</v>
      </c>
      <c r="F1276" s="1" t="s">
        <v>10497</v>
      </c>
      <c r="G1276" s="3">
        <v>0</v>
      </c>
      <c r="J1276" s="20" t="s">
        <v>3149</v>
      </c>
      <c r="K1276" s="20" t="s">
        <v>10021</v>
      </c>
      <c r="L1276" s="3">
        <v>31</v>
      </c>
      <c r="M1276" s="3" t="s">
        <v>10477</v>
      </c>
      <c r="N1276" s="3" t="str">
        <f>HYPERLINK("http://ictvonline.org/taxonomyHistory.asp?taxnode_id=20161045","ICTVonline=20161045")</f>
        <v>ICTVonline=20161045</v>
      </c>
    </row>
    <row r="1277" spans="1:14" x14ac:dyDescent="0.15">
      <c r="A1277" s="3">
        <v>1276</v>
      </c>
      <c r="B1277" s="1" t="s">
        <v>1027</v>
      </c>
      <c r="C1277" s="1" t="s">
        <v>1451</v>
      </c>
      <c r="E1277" s="1" t="s">
        <v>1361</v>
      </c>
      <c r="F1277" s="1" t="s">
        <v>10498</v>
      </c>
      <c r="G1277" s="3">
        <v>0</v>
      </c>
      <c r="J1277" s="20" t="s">
        <v>3149</v>
      </c>
      <c r="K1277" s="20" t="s">
        <v>10021</v>
      </c>
      <c r="L1277" s="3">
        <v>31</v>
      </c>
      <c r="M1277" s="3" t="s">
        <v>10477</v>
      </c>
      <c r="N1277" s="3" t="str">
        <f>HYPERLINK("http://ictvonline.org/taxonomyHistory.asp?taxnode_id=20161049","ICTVonline=20161049")</f>
        <v>ICTVonline=20161049</v>
      </c>
    </row>
    <row r="1278" spans="1:14" x14ac:dyDescent="0.15">
      <c r="A1278" s="3">
        <v>1277</v>
      </c>
      <c r="B1278" s="1" t="s">
        <v>1027</v>
      </c>
      <c r="C1278" s="1" t="s">
        <v>1451</v>
      </c>
      <c r="E1278" s="1" t="s">
        <v>1361</v>
      </c>
      <c r="F1278" s="1" t="s">
        <v>10499</v>
      </c>
      <c r="G1278" s="3">
        <v>0</v>
      </c>
      <c r="J1278" s="20" t="s">
        <v>3149</v>
      </c>
      <c r="K1278" s="20" t="s">
        <v>10021</v>
      </c>
      <c r="L1278" s="3">
        <v>31</v>
      </c>
      <c r="M1278" s="3" t="s">
        <v>10477</v>
      </c>
      <c r="N1278" s="3" t="str">
        <f>HYPERLINK("http://ictvonline.org/taxonomyHistory.asp?taxnode_id=20161050","ICTVonline=20161050")</f>
        <v>ICTVonline=20161050</v>
      </c>
    </row>
    <row r="1279" spans="1:14" x14ac:dyDescent="0.15">
      <c r="A1279" s="3">
        <v>1278</v>
      </c>
      <c r="B1279" s="1" t="s">
        <v>1027</v>
      </c>
      <c r="C1279" s="1" t="s">
        <v>1451</v>
      </c>
      <c r="E1279" s="1" t="s">
        <v>1361</v>
      </c>
      <c r="F1279" s="1" t="s">
        <v>10500</v>
      </c>
      <c r="G1279" s="3">
        <v>0</v>
      </c>
      <c r="J1279" s="20" t="s">
        <v>3149</v>
      </c>
      <c r="K1279" s="20" t="s">
        <v>10021</v>
      </c>
      <c r="L1279" s="3">
        <v>31</v>
      </c>
      <c r="M1279" s="3" t="s">
        <v>10477</v>
      </c>
      <c r="N1279" s="3" t="str">
        <f>HYPERLINK("http://ictvonline.org/taxonomyHistory.asp?taxnode_id=20161051","ICTVonline=20161051")</f>
        <v>ICTVonline=20161051</v>
      </c>
    </row>
    <row r="1280" spans="1:14" x14ac:dyDescent="0.15">
      <c r="A1280" s="3">
        <v>1279</v>
      </c>
      <c r="B1280" s="1" t="s">
        <v>1027</v>
      </c>
      <c r="C1280" s="1" t="s">
        <v>1451</v>
      </c>
      <c r="E1280" s="1" t="s">
        <v>1361</v>
      </c>
      <c r="F1280" s="1" t="s">
        <v>10501</v>
      </c>
      <c r="G1280" s="3">
        <v>1</v>
      </c>
      <c r="J1280" s="20" t="s">
        <v>3149</v>
      </c>
      <c r="K1280" s="20" t="s">
        <v>10021</v>
      </c>
      <c r="L1280" s="3">
        <v>31</v>
      </c>
      <c r="M1280" s="3" t="s">
        <v>10477</v>
      </c>
      <c r="N1280" s="3" t="str">
        <f>HYPERLINK("http://ictvonline.org/taxonomyHistory.asp?taxnode_id=20161053","ICTVonline=20161053")</f>
        <v>ICTVonline=20161053</v>
      </c>
    </row>
    <row r="1281" spans="1:14" x14ac:dyDescent="0.15">
      <c r="A1281" s="3">
        <v>1280</v>
      </c>
      <c r="B1281" s="1" t="s">
        <v>1027</v>
      </c>
      <c r="C1281" s="1" t="s">
        <v>1451</v>
      </c>
      <c r="E1281" s="1" t="s">
        <v>1361</v>
      </c>
      <c r="F1281" s="1" t="s">
        <v>10502</v>
      </c>
      <c r="G1281" s="3">
        <v>0</v>
      </c>
      <c r="H1281" s="20" t="s">
        <v>6711</v>
      </c>
      <c r="I1281" s="20" t="s">
        <v>4366</v>
      </c>
      <c r="J1281" s="20" t="s">
        <v>3149</v>
      </c>
      <c r="K1281" s="20" t="s">
        <v>10021</v>
      </c>
      <c r="L1281" s="3">
        <v>31</v>
      </c>
      <c r="M1281" s="3" t="s">
        <v>10477</v>
      </c>
      <c r="N1281" s="3" t="str">
        <f>HYPERLINK("http://ictvonline.org/taxonomyHistory.asp?taxnode_id=20161052","ICTVonline=20161052")</f>
        <v>ICTVonline=20161052</v>
      </c>
    </row>
    <row r="1282" spans="1:14" x14ac:dyDescent="0.15">
      <c r="A1282" s="3">
        <v>1281</v>
      </c>
      <c r="B1282" s="1" t="s">
        <v>1027</v>
      </c>
      <c r="C1282" s="1" t="s">
        <v>1451</v>
      </c>
      <c r="E1282" s="1" t="s">
        <v>1474</v>
      </c>
      <c r="F1282" s="1" t="s">
        <v>8757</v>
      </c>
      <c r="G1282" s="3">
        <v>0</v>
      </c>
      <c r="H1282" s="20" t="s">
        <v>8758</v>
      </c>
      <c r="I1282" s="20" t="s">
        <v>8759</v>
      </c>
      <c r="J1282" s="20" t="s">
        <v>3149</v>
      </c>
      <c r="K1282" s="20" t="s">
        <v>10013</v>
      </c>
      <c r="L1282" s="3">
        <v>31</v>
      </c>
      <c r="M1282" s="3" t="s">
        <v>8760</v>
      </c>
      <c r="N1282" s="3" t="str">
        <f>HYPERLINK("http://ictvonline.org/taxonomyHistory.asp?taxnode_id=20165115","ICTVonline=20165115")</f>
        <v>ICTVonline=20165115</v>
      </c>
    </row>
    <row r="1283" spans="1:14" x14ac:dyDescent="0.15">
      <c r="A1283" s="3">
        <v>1282</v>
      </c>
      <c r="B1283" s="1" t="s">
        <v>1027</v>
      </c>
      <c r="C1283" s="1" t="s">
        <v>1451</v>
      </c>
      <c r="E1283" s="1" t="s">
        <v>1474</v>
      </c>
      <c r="F1283" s="1" t="s">
        <v>8761</v>
      </c>
      <c r="G1283" s="3">
        <v>0</v>
      </c>
      <c r="H1283" s="20" t="s">
        <v>8762</v>
      </c>
      <c r="I1283" s="20" t="s">
        <v>8763</v>
      </c>
      <c r="J1283" s="20" t="s">
        <v>3149</v>
      </c>
      <c r="K1283" s="20" t="s">
        <v>10013</v>
      </c>
      <c r="L1283" s="3">
        <v>31</v>
      </c>
      <c r="M1283" s="3" t="s">
        <v>8760</v>
      </c>
      <c r="N1283" s="3" t="str">
        <f>HYPERLINK("http://ictvonline.org/taxonomyHistory.asp?taxnode_id=20165116","ICTVonline=20165116")</f>
        <v>ICTVonline=20165116</v>
      </c>
    </row>
    <row r="1284" spans="1:14" x14ac:dyDescent="0.15">
      <c r="A1284" s="3">
        <v>1283</v>
      </c>
      <c r="B1284" s="1" t="s">
        <v>1027</v>
      </c>
      <c r="C1284" s="1" t="s">
        <v>1451</v>
      </c>
      <c r="E1284" s="1" t="s">
        <v>1474</v>
      </c>
      <c r="F1284" s="1" t="s">
        <v>8764</v>
      </c>
      <c r="G1284" s="3">
        <v>0</v>
      </c>
      <c r="H1284" s="20" t="s">
        <v>8765</v>
      </c>
      <c r="I1284" s="20" t="s">
        <v>8766</v>
      </c>
      <c r="J1284" s="20" t="s">
        <v>3149</v>
      </c>
      <c r="K1284" s="20" t="s">
        <v>10013</v>
      </c>
      <c r="L1284" s="3">
        <v>31</v>
      </c>
      <c r="M1284" s="3" t="s">
        <v>8760</v>
      </c>
      <c r="N1284" s="3" t="str">
        <f>HYPERLINK("http://ictvonline.org/taxonomyHistory.asp?taxnode_id=20165117","ICTVonline=20165117")</f>
        <v>ICTVonline=20165117</v>
      </c>
    </row>
    <row r="1285" spans="1:14" x14ac:dyDescent="0.15">
      <c r="A1285" s="3">
        <v>1284</v>
      </c>
      <c r="B1285" s="1" t="s">
        <v>1027</v>
      </c>
      <c r="C1285" s="1" t="s">
        <v>1451</v>
      </c>
      <c r="E1285" s="1" t="s">
        <v>1474</v>
      </c>
      <c r="F1285" s="1" t="s">
        <v>10503</v>
      </c>
      <c r="G1285" s="3">
        <v>0</v>
      </c>
      <c r="J1285" s="20" t="s">
        <v>3149</v>
      </c>
      <c r="K1285" s="20" t="s">
        <v>10021</v>
      </c>
      <c r="L1285" s="3">
        <v>31</v>
      </c>
      <c r="M1285" s="3" t="s">
        <v>10477</v>
      </c>
      <c r="N1285" s="3" t="str">
        <f>HYPERLINK("http://ictvonline.org/taxonomyHistory.asp?taxnode_id=20161055","ICTVonline=20161055")</f>
        <v>ICTVonline=20161055</v>
      </c>
    </row>
    <row r="1286" spans="1:14" x14ac:dyDescent="0.15">
      <c r="A1286" s="3">
        <v>1285</v>
      </c>
      <c r="B1286" s="1" t="s">
        <v>1027</v>
      </c>
      <c r="C1286" s="1" t="s">
        <v>1451</v>
      </c>
      <c r="E1286" s="1" t="s">
        <v>1474</v>
      </c>
      <c r="F1286" s="1" t="s">
        <v>10504</v>
      </c>
      <c r="G1286" s="3">
        <v>0</v>
      </c>
      <c r="J1286" s="20" t="s">
        <v>3149</v>
      </c>
      <c r="K1286" s="20" t="s">
        <v>10021</v>
      </c>
      <c r="L1286" s="3">
        <v>31</v>
      </c>
      <c r="M1286" s="3" t="s">
        <v>10477</v>
      </c>
      <c r="N1286" s="3" t="str">
        <f>HYPERLINK("http://ictvonline.org/taxonomyHistory.asp?taxnode_id=20161056","ICTVonline=20161056")</f>
        <v>ICTVonline=20161056</v>
      </c>
    </row>
    <row r="1287" spans="1:14" x14ac:dyDescent="0.15">
      <c r="A1287" s="3">
        <v>1286</v>
      </c>
      <c r="B1287" s="1" t="s">
        <v>1027</v>
      </c>
      <c r="C1287" s="1" t="s">
        <v>1451</v>
      </c>
      <c r="E1287" s="1" t="s">
        <v>1474</v>
      </c>
      <c r="F1287" s="1" t="s">
        <v>10505</v>
      </c>
      <c r="G1287" s="3">
        <v>0</v>
      </c>
      <c r="J1287" s="20" t="s">
        <v>3149</v>
      </c>
      <c r="K1287" s="20" t="s">
        <v>10021</v>
      </c>
      <c r="L1287" s="3">
        <v>31</v>
      </c>
      <c r="M1287" s="3" t="s">
        <v>10477</v>
      </c>
      <c r="N1287" s="3" t="str">
        <f>HYPERLINK("http://ictvonline.org/taxonomyHistory.asp?taxnode_id=20161059","ICTVonline=20161059")</f>
        <v>ICTVonline=20161059</v>
      </c>
    </row>
    <row r="1288" spans="1:14" x14ac:dyDescent="0.15">
      <c r="A1288" s="3">
        <v>1287</v>
      </c>
      <c r="B1288" s="1" t="s">
        <v>1027</v>
      </c>
      <c r="C1288" s="1" t="s">
        <v>1451</v>
      </c>
      <c r="E1288" s="1" t="s">
        <v>1474</v>
      </c>
      <c r="F1288" s="1" t="s">
        <v>10506</v>
      </c>
      <c r="G1288" s="3">
        <v>0</v>
      </c>
      <c r="J1288" s="20" t="s">
        <v>3149</v>
      </c>
      <c r="K1288" s="20" t="s">
        <v>10021</v>
      </c>
      <c r="L1288" s="3">
        <v>31</v>
      </c>
      <c r="M1288" s="3" t="s">
        <v>10477</v>
      </c>
      <c r="N1288" s="3" t="str">
        <f>HYPERLINK("http://ictvonline.org/taxonomyHistory.asp?taxnode_id=20161057","ICTVonline=20161057")</f>
        <v>ICTVonline=20161057</v>
      </c>
    </row>
    <row r="1289" spans="1:14" x14ac:dyDescent="0.15">
      <c r="A1289" s="3">
        <v>1288</v>
      </c>
      <c r="B1289" s="1" t="s">
        <v>1027</v>
      </c>
      <c r="C1289" s="1" t="s">
        <v>1451</v>
      </c>
      <c r="E1289" s="1" t="s">
        <v>1474</v>
      </c>
      <c r="F1289" s="1" t="s">
        <v>8767</v>
      </c>
      <c r="G1289" s="3">
        <v>0</v>
      </c>
      <c r="H1289" s="20" t="s">
        <v>8768</v>
      </c>
      <c r="I1289" s="20" t="s">
        <v>8769</v>
      </c>
      <c r="J1289" s="20" t="s">
        <v>3149</v>
      </c>
      <c r="K1289" s="20" t="s">
        <v>10013</v>
      </c>
      <c r="L1289" s="3">
        <v>31</v>
      </c>
      <c r="M1289" s="3" t="s">
        <v>8760</v>
      </c>
      <c r="N1289" s="3" t="str">
        <f>HYPERLINK("http://ictvonline.org/taxonomyHistory.asp?taxnode_id=20165118","ICTVonline=20165118")</f>
        <v>ICTVonline=20165118</v>
      </c>
    </row>
    <row r="1290" spans="1:14" x14ac:dyDescent="0.15">
      <c r="A1290" s="3">
        <v>1289</v>
      </c>
      <c r="B1290" s="1" t="s">
        <v>1027</v>
      </c>
      <c r="C1290" s="1" t="s">
        <v>1451</v>
      </c>
      <c r="E1290" s="1" t="s">
        <v>1474</v>
      </c>
      <c r="F1290" s="1" t="s">
        <v>10507</v>
      </c>
      <c r="G1290" s="3">
        <v>1</v>
      </c>
      <c r="J1290" s="20" t="s">
        <v>3149</v>
      </c>
      <c r="K1290" s="20" t="s">
        <v>10021</v>
      </c>
      <c r="L1290" s="3">
        <v>31</v>
      </c>
      <c r="M1290" s="3" t="s">
        <v>10477</v>
      </c>
      <c r="N1290" s="3" t="str">
        <f>HYPERLINK("http://ictvonline.org/taxonomyHistory.asp?taxnode_id=20161058","ICTVonline=20161058")</f>
        <v>ICTVonline=20161058</v>
      </c>
    </row>
    <row r="1291" spans="1:14" x14ac:dyDescent="0.15">
      <c r="A1291" s="3">
        <v>1290</v>
      </c>
      <c r="B1291" s="1" t="s">
        <v>1027</v>
      </c>
      <c r="C1291" s="1" t="s">
        <v>1451</v>
      </c>
      <c r="E1291" s="1" t="s">
        <v>1474</v>
      </c>
      <c r="F1291" s="1" t="s">
        <v>1475</v>
      </c>
      <c r="G1291" s="3">
        <v>0</v>
      </c>
      <c r="J1291" s="20" t="s">
        <v>3149</v>
      </c>
      <c r="K1291" s="20" t="s">
        <v>10016</v>
      </c>
      <c r="L1291" s="3">
        <v>30</v>
      </c>
      <c r="M1291" s="3" t="s">
        <v>10094</v>
      </c>
      <c r="N1291" s="3" t="str">
        <f>HYPERLINK("http://ictvonline.org/taxonomyHistory.asp?taxnode_id=20161060","ICTVonline=20161060")</f>
        <v>ICTVonline=20161060</v>
      </c>
    </row>
    <row r="1292" spans="1:14" x14ac:dyDescent="0.15">
      <c r="A1292" s="3">
        <v>1291</v>
      </c>
      <c r="B1292" s="1" t="s">
        <v>1027</v>
      </c>
      <c r="C1292" s="1" t="s">
        <v>1451</v>
      </c>
      <c r="E1292" s="1" t="s">
        <v>1474</v>
      </c>
      <c r="F1292" s="1" t="s">
        <v>10508</v>
      </c>
      <c r="G1292" s="3">
        <v>0</v>
      </c>
      <c r="J1292" s="20" t="s">
        <v>3149</v>
      </c>
      <c r="K1292" s="20" t="s">
        <v>10021</v>
      </c>
      <c r="L1292" s="3">
        <v>31</v>
      </c>
      <c r="M1292" s="3" t="s">
        <v>10477</v>
      </c>
      <c r="N1292" s="3" t="str">
        <f>HYPERLINK("http://ictvonline.org/taxonomyHistory.asp?taxnode_id=20161061","ICTVonline=20161061")</f>
        <v>ICTVonline=20161061</v>
      </c>
    </row>
    <row r="1293" spans="1:14" x14ac:dyDescent="0.15">
      <c r="A1293" s="3">
        <v>1292</v>
      </c>
      <c r="B1293" s="1" t="s">
        <v>1027</v>
      </c>
      <c r="C1293" s="1" t="s">
        <v>1451</v>
      </c>
      <c r="E1293" s="1" t="s">
        <v>1474</v>
      </c>
      <c r="F1293" s="1" t="s">
        <v>8770</v>
      </c>
      <c r="G1293" s="3">
        <v>0</v>
      </c>
      <c r="H1293" s="20" t="s">
        <v>8771</v>
      </c>
      <c r="I1293" s="20" t="s">
        <v>8772</v>
      </c>
      <c r="J1293" s="20" t="s">
        <v>3149</v>
      </c>
      <c r="K1293" s="20" t="s">
        <v>10013</v>
      </c>
      <c r="L1293" s="3">
        <v>31</v>
      </c>
      <c r="M1293" s="3" t="s">
        <v>8760</v>
      </c>
      <c r="N1293" s="3" t="str">
        <f>HYPERLINK("http://ictvonline.org/taxonomyHistory.asp?taxnode_id=20165119","ICTVonline=20165119")</f>
        <v>ICTVonline=20165119</v>
      </c>
    </row>
    <row r="1294" spans="1:14" x14ac:dyDescent="0.15">
      <c r="A1294" s="3">
        <v>1293</v>
      </c>
      <c r="B1294" s="1" t="s">
        <v>1027</v>
      </c>
      <c r="C1294" s="1" t="s">
        <v>1451</v>
      </c>
      <c r="E1294" s="1" t="s">
        <v>1474</v>
      </c>
      <c r="F1294" s="1" t="s">
        <v>8773</v>
      </c>
      <c r="G1294" s="3">
        <v>0</v>
      </c>
      <c r="H1294" s="20" t="s">
        <v>8774</v>
      </c>
      <c r="I1294" s="20" t="s">
        <v>8775</v>
      </c>
      <c r="J1294" s="20" t="s">
        <v>3149</v>
      </c>
      <c r="K1294" s="20" t="s">
        <v>10013</v>
      </c>
      <c r="L1294" s="3">
        <v>31</v>
      </c>
      <c r="M1294" s="3" t="s">
        <v>8760</v>
      </c>
      <c r="N1294" s="3" t="str">
        <f>HYPERLINK("http://ictvonline.org/taxonomyHistory.asp?taxnode_id=20165120","ICTVonline=20165120")</f>
        <v>ICTVonline=20165120</v>
      </c>
    </row>
    <row r="1295" spans="1:14" x14ac:dyDescent="0.15">
      <c r="A1295" s="3">
        <v>1294</v>
      </c>
      <c r="B1295" s="1" t="s">
        <v>1027</v>
      </c>
      <c r="C1295" s="1" t="s">
        <v>1451</v>
      </c>
      <c r="E1295" s="1" t="s">
        <v>1474</v>
      </c>
      <c r="F1295" s="1" t="s">
        <v>8776</v>
      </c>
      <c r="G1295" s="3">
        <v>0</v>
      </c>
      <c r="H1295" s="20" t="s">
        <v>8777</v>
      </c>
      <c r="I1295" s="20" t="s">
        <v>8778</v>
      </c>
      <c r="J1295" s="20" t="s">
        <v>3149</v>
      </c>
      <c r="K1295" s="20" t="s">
        <v>10013</v>
      </c>
      <c r="L1295" s="3">
        <v>31</v>
      </c>
      <c r="M1295" s="3" t="s">
        <v>8760</v>
      </c>
      <c r="N1295" s="3" t="str">
        <f>HYPERLINK("http://ictvonline.org/taxonomyHistory.asp?taxnode_id=20165121","ICTVonline=20165121")</f>
        <v>ICTVonline=20165121</v>
      </c>
    </row>
    <row r="1296" spans="1:14" x14ac:dyDescent="0.15">
      <c r="A1296" s="3">
        <v>1295</v>
      </c>
      <c r="B1296" s="1" t="s">
        <v>1027</v>
      </c>
      <c r="C1296" s="1" t="s">
        <v>1451</v>
      </c>
      <c r="E1296" s="1" t="s">
        <v>1474</v>
      </c>
      <c r="F1296" s="1" t="s">
        <v>8779</v>
      </c>
      <c r="G1296" s="3">
        <v>0</v>
      </c>
      <c r="H1296" s="20" t="s">
        <v>8780</v>
      </c>
      <c r="I1296" s="20" t="s">
        <v>8781</v>
      </c>
      <c r="J1296" s="20" t="s">
        <v>3149</v>
      </c>
      <c r="K1296" s="20" t="s">
        <v>10013</v>
      </c>
      <c r="L1296" s="3">
        <v>31</v>
      </c>
      <c r="M1296" s="3" t="s">
        <v>8760</v>
      </c>
      <c r="N1296" s="3" t="str">
        <f>HYPERLINK("http://ictvonline.org/taxonomyHistory.asp?taxnode_id=20165122","ICTVonline=20165122")</f>
        <v>ICTVonline=20165122</v>
      </c>
    </row>
    <row r="1297" spans="1:14" x14ac:dyDescent="0.15">
      <c r="A1297" s="3">
        <v>1296</v>
      </c>
      <c r="B1297" s="1" t="s">
        <v>1027</v>
      </c>
      <c r="C1297" s="1" t="s">
        <v>1451</v>
      </c>
      <c r="E1297" s="1" t="s">
        <v>1474</v>
      </c>
      <c r="F1297" s="1" t="s">
        <v>8782</v>
      </c>
      <c r="G1297" s="3">
        <v>0</v>
      </c>
      <c r="H1297" s="20" t="s">
        <v>8783</v>
      </c>
      <c r="I1297" s="20" t="s">
        <v>8784</v>
      </c>
      <c r="J1297" s="20" t="s">
        <v>3149</v>
      </c>
      <c r="K1297" s="20" t="s">
        <v>10013</v>
      </c>
      <c r="L1297" s="3">
        <v>31</v>
      </c>
      <c r="M1297" s="3" t="s">
        <v>8760</v>
      </c>
      <c r="N1297" s="3" t="str">
        <f>HYPERLINK("http://ictvonline.org/taxonomyHistory.asp?taxnode_id=20165123","ICTVonline=20165123")</f>
        <v>ICTVonline=20165123</v>
      </c>
    </row>
    <row r="1298" spans="1:14" x14ac:dyDescent="0.15">
      <c r="A1298" s="3">
        <v>1297</v>
      </c>
      <c r="B1298" s="1" t="s">
        <v>1027</v>
      </c>
      <c r="C1298" s="1" t="s">
        <v>1451</v>
      </c>
      <c r="E1298" s="1" t="s">
        <v>1474</v>
      </c>
      <c r="F1298" s="1" t="s">
        <v>8785</v>
      </c>
      <c r="G1298" s="3">
        <v>0</v>
      </c>
      <c r="H1298" s="20" t="s">
        <v>8786</v>
      </c>
      <c r="I1298" s="20" t="s">
        <v>8787</v>
      </c>
      <c r="J1298" s="20" t="s">
        <v>3149</v>
      </c>
      <c r="K1298" s="20" t="s">
        <v>10013</v>
      </c>
      <c r="L1298" s="3">
        <v>31</v>
      </c>
      <c r="M1298" s="3" t="s">
        <v>8760</v>
      </c>
      <c r="N1298" s="3" t="str">
        <f>HYPERLINK("http://ictvonline.org/taxonomyHistory.asp?taxnode_id=20165124","ICTVonline=20165124")</f>
        <v>ICTVonline=20165124</v>
      </c>
    </row>
    <row r="1299" spans="1:14" x14ac:dyDescent="0.15">
      <c r="A1299" s="3">
        <v>1298</v>
      </c>
      <c r="B1299" s="1" t="s">
        <v>1027</v>
      </c>
      <c r="C1299" s="1" t="s">
        <v>4367</v>
      </c>
      <c r="E1299" s="1" t="s">
        <v>6474</v>
      </c>
      <c r="F1299" s="1" t="s">
        <v>1476</v>
      </c>
      <c r="G1299" s="3">
        <v>1</v>
      </c>
      <c r="J1299" s="20" t="s">
        <v>3149</v>
      </c>
      <c r="K1299" s="20" t="s">
        <v>10016</v>
      </c>
      <c r="L1299" s="3">
        <v>30</v>
      </c>
      <c r="M1299" s="3" t="s">
        <v>10094</v>
      </c>
      <c r="N1299" s="3" t="str">
        <f>HYPERLINK("http://ictvonline.org/taxonomyHistory.asp?taxnode_id=20161065","ICTVonline=20161065")</f>
        <v>ICTVonline=20161065</v>
      </c>
    </row>
    <row r="1300" spans="1:14" x14ac:dyDescent="0.15">
      <c r="A1300" s="3">
        <v>1299</v>
      </c>
      <c r="B1300" s="1" t="s">
        <v>1027</v>
      </c>
      <c r="C1300" s="1" t="s">
        <v>4367</v>
      </c>
      <c r="E1300" s="1" t="s">
        <v>6474</v>
      </c>
      <c r="F1300" s="1" t="s">
        <v>1477</v>
      </c>
      <c r="G1300" s="3">
        <v>0</v>
      </c>
      <c r="J1300" s="20" t="s">
        <v>3149</v>
      </c>
      <c r="K1300" s="20" t="s">
        <v>10016</v>
      </c>
      <c r="L1300" s="3">
        <v>30</v>
      </c>
      <c r="M1300" s="3" t="s">
        <v>10094</v>
      </c>
      <c r="N1300" s="3" t="str">
        <f>HYPERLINK("http://ictvonline.org/taxonomyHistory.asp?taxnode_id=20161066","ICTVonline=20161066")</f>
        <v>ICTVonline=20161066</v>
      </c>
    </row>
    <row r="1301" spans="1:14" x14ac:dyDescent="0.15">
      <c r="A1301" s="3">
        <v>1300</v>
      </c>
      <c r="B1301" s="1" t="s">
        <v>1027</v>
      </c>
      <c r="C1301" s="1" t="s">
        <v>4367</v>
      </c>
      <c r="E1301" s="1" t="s">
        <v>4368</v>
      </c>
      <c r="F1301" s="1" t="s">
        <v>10509</v>
      </c>
      <c r="G1301" s="3">
        <v>0</v>
      </c>
      <c r="J1301" s="20" t="s">
        <v>3149</v>
      </c>
      <c r="K1301" s="20" t="s">
        <v>10021</v>
      </c>
      <c r="L1301" s="3">
        <v>31</v>
      </c>
      <c r="M1301" s="3" t="s">
        <v>10510</v>
      </c>
      <c r="N1301" s="3" t="str">
        <f>HYPERLINK("http://ictvonline.org/taxonomyHistory.asp?taxnode_id=20161068","ICTVonline=20161068")</f>
        <v>ICTVonline=20161068</v>
      </c>
    </row>
    <row r="1302" spans="1:14" x14ac:dyDescent="0.15">
      <c r="A1302" s="3">
        <v>1301</v>
      </c>
      <c r="B1302" s="1" t="s">
        <v>1027</v>
      </c>
      <c r="C1302" s="1" t="s">
        <v>4367</v>
      </c>
      <c r="E1302" s="1" t="s">
        <v>4368</v>
      </c>
      <c r="F1302" s="1" t="s">
        <v>10511</v>
      </c>
      <c r="G1302" s="3">
        <v>1</v>
      </c>
      <c r="J1302" s="20" t="s">
        <v>3149</v>
      </c>
      <c r="K1302" s="20" t="s">
        <v>10021</v>
      </c>
      <c r="L1302" s="3">
        <v>31</v>
      </c>
      <c r="M1302" s="3" t="s">
        <v>10510</v>
      </c>
      <c r="N1302" s="3" t="str">
        <f>HYPERLINK("http://ictvonline.org/taxonomyHistory.asp?taxnode_id=20161069","ICTVonline=20161069")</f>
        <v>ICTVonline=20161069</v>
      </c>
    </row>
    <row r="1303" spans="1:14" x14ac:dyDescent="0.15">
      <c r="A1303" s="3">
        <v>1302</v>
      </c>
      <c r="B1303" s="1" t="s">
        <v>1027</v>
      </c>
      <c r="C1303" s="1" t="s">
        <v>4367</v>
      </c>
      <c r="E1303" s="1" t="s">
        <v>4368</v>
      </c>
      <c r="F1303" s="1" t="s">
        <v>10512</v>
      </c>
      <c r="G1303" s="3">
        <v>0</v>
      </c>
      <c r="J1303" s="20" t="s">
        <v>3149</v>
      </c>
      <c r="K1303" s="20" t="s">
        <v>10021</v>
      </c>
      <c r="L1303" s="3">
        <v>31</v>
      </c>
      <c r="M1303" s="3" t="s">
        <v>10510</v>
      </c>
      <c r="N1303" s="3" t="str">
        <f>HYPERLINK("http://ictvonline.org/taxonomyHistory.asp?taxnode_id=20161070","ICTVonline=20161070")</f>
        <v>ICTVonline=20161070</v>
      </c>
    </row>
    <row r="1304" spans="1:14" x14ac:dyDescent="0.15">
      <c r="A1304" s="3">
        <v>1303</v>
      </c>
      <c r="B1304" s="1" t="s">
        <v>1027</v>
      </c>
      <c r="C1304" s="1" t="s">
        <v>1479</v>
      </c>
      <c r="E1304" s="1" t="s">
        <v>8788</v>
      </c>
      <c r="F1304" s="1" t="s">
        <v>8789</v>
      </c>
      <c r="G1304" s="3">
        <v>0</v>
      </c>
      <c r="H1304" s="20" t="s">
        <v>8790</v>
      </c>
      <c r="I1304" s="20" t="s">
        <v>8791</v>
      </c>
      <c r="J1304" s="20" t="s">
        <v>3149</v>
      </c>
      <c r="K1304" s="20" t="s">
        <v>10013</v>
      </c>
      <c r="L1304" s="3">
        <v>31</v>
      </c>
      <c r="M1304" s="3" t="s">
        <v>8792</v>
      </c>
      <c r="N1304" s="3" t="str">
        <f>HYPERLINK("http://ictvonline.org/taxonomyHistory.asp?taxnode_id=20165125","ICTVonline=20165125")</f>
        <v>ICTVonline=20165125</v>
      </c>
    </row>
    <row r="1305" spans="1:14" x14ac:dyDescent="0.15">
      <c r="A1305" s="3">
        <v>1304</v>
      </c>
      <c r="B1305" s="1" t="s">
        <v>1027</v>
      </c>
      <c r="C1305" s="1" t="s">
        <v>1479</v>
      </c>
      <c r="E1305" s="1" t="s">
        <v>8788</v>
      </c>
      <c r="F1305" s="1" t="s">
        <v>8793</v>
      </c>
      <c r="G1305" s="3">
        <v>0</v>
      </c>
      <c r="H1305" s="20" t="s">
        <v>8794</v>
      </c>
      <c r="I1305" s="20" t="s">
        <v>8795</v>
      </c>
      <c r="J1305" s="20" t="s">
        <v>3149</v>
      </c>
      <c r="K1305" s="20" t="s">
        <v>10013</v>
      </c>
      <c r="L1305" s="3">
        <v>31</v>
      </c>
      <c r="M1305" s="3" t="s">
        <v>8792</v>
      </c>
      <c r="N1305" s="3" t="str">
        <f>HYPERLINK("http://ictvonline.org/taxonomyHistory.asp?taxnode_id=20165126","ICTVonline=20165126")</f>
        <v>ICTVonline=20165126</v>
      </c>
    </row>
    <row r="1306" spans="1:14" x14ac:dyDescent="0.15">
      <c r="A1306" s="3">
        <v>1305</v>
      </c>
      <c r="B1306" s="1" t="s">
        <v>1027</v>
      </c>
      <c r="C1306" s="1" t="s">
        <v>1479</v>
      </c>
      <c r="E1306" s="1" t="s">
        <v>8788</v>
      </c>
      <c r="F1306" s="1" t="s">
        <v>8796</v>
      </c>
      <c r="G1306" s="3">
        <v>0</v>
      </c>
      <c r="H1306" s="20" t="s">
        <v>8797</v>
      </c>
      <c r="I1306" s="20" t="s">
        <v>8798</v>
      </c>
      <c r="J1306" s="20" t="s">
        <v>3149</v>
      </c>
      <c r="K1306" s="20" t="s">
        <v>10013</v>
      </c>
      <c r="L1306" s="3">
        <v>31</v>
      </c>
      <c r="M1306" s="3" t="s">
        <v>8792</v>
      </c>
      <c r="N1306" s="3" t="str">
        <f>HYPERLINK("http://ictvonline.org/taxonomyHistory.asp?taxnode_id=20165127","ICTVonline=20165127")</f>
        <v>ICTVonline=20165127</v>
      </c>
    </row>
    <row r="1307" spans="1:14" x14ac:dyDescent="0.15">
      <c r="A1307" s="3">
        <v>1306</v>
      </c>
      <c r="B1307" s="1" t="s">
        <v>1027</v>
      </c>
      <c r="C1307" s="1" t="s">
        <v>1479</v>
      </c>
      <c r="E1307" s="1" t="s">
        <v>8788</v>
      </c>
      <c r="F1307" s="1" t="s">
        <v>8799</v>
      </c>
      <c r="G1307" s="3">
        <v>1</v>
      </c>
      <c r="H1307" s="20" t="s">
        <v>8800</v>
      </c>
      <c r="I1307" s="20" t="s">
        <v>8801</v>
      </c>
      <c r="J1307" s="20" t="s">
        <v>3149</v>
      </c>
      <c r="K1307" s="20" t="s">
        <v>10013</v>
      </c>
      <c r="L1307" s="3">
        <v>31</v>
      </c>
      <c r="M1307" s="3" t="s">
        <v>8792</v>
      </c>
      <c r="N1307" s="3" t="str">
        <f>HYPERLINK("http://ictvonline.org/taxonomyHistory.asp?taxnode_id=20165128","ICTVonline=20165128")</f>
        <v>ICTVonline=20165128</v>
      </c>
    </row>
    <row r="1308" spans="1:14" x14ac:dyDescent="0.15">
      <c r="A1308" s="3">
        <v>1307</v>
      </c>
      <c r="B1308" s="1" t="s">
        <v>1027</v>
      </c>
      <c r="C1308" s="1" t="s">
        <v>1479</v>
      </c>
      <c r="E1308" s="1" t="s">
        <v>8788</v>
      </c>
      <c r="F1308" s="1" t="s">
        <v>8802</v>
      </c>
      <c r="G1308" s="3">
        <v>0</v>
      </c>
      <c r="H1308" s="20" t="s">
        <v>8803</v>
      </c>
      <c r="I1308" s="20" t="s">
        <v>8804</v>
      </c>
      <c r="J1308" s="20" t="s">
        <v>3149</v>
      </c>
      <c r="K1308" s="20" t="s">
        <v>10013</v>
      </c>
      <c r="L1308" s="3">
        <v>31</v>
      </c>
      <c r="M1308" s="3" t="s">
        <v>8792</v>
      </c>
      <c r="N1308" s="3" t="str">
        <f>HYPERLINK("http://ictvonline.org/taxonomyHistory.asp?taxnode_id=20165129","ICTVonline=20165129")</f>
        <v>ICTVonline=20165129</v>
      </c>
    </row>
    <row r="1309" spans="1:14" x14ac:dyDescent="0.15">
      <c r="A1309" s="3">
        <v>1308</v>
      </c>
      <c r="B1309" s="1" t="s">
        <v>1027</v>
      </c>
      <c r="C1309" s="1" t="s">
        <v>1479</v>
      </c>
      <c r="E1309" s="1" t="s">
        <v>8805</v>
      </c>
      <c r="F1309" s="1" t="s">
        <v>8806</v>
      </c>
      <c r="G1309" s="3">
        <v>1</v>
      </c>
      <c r="H1309" s="20" t="s">
        <v>8807</v>
      </c>
      <c r="I1309" s="20" t="s">
        <v>8808</v>
      </c>
      <c r="J1309" s="20" t="s">
        <v>3149</v>
      </c>
      <c r="K1309" s="20" t="s">
        <v>10013</v>
      </c>
      <c r="L1309" s="3">
        <v>31</v>
      </c>
      <c r="M1309" s="3" t="s">
        <v>8809</v>
      </c>
      <c r="N1309" s="3" t="str">
        <f>HYPERLINK("http://ictvonline.org/taxonomyHistory.asp?taxnode_id=20165130","ICTVonline=20165130")</f>
        <v>ICTVonline=20165130</v>
      </c>
    </row>
    <row r="1310" spans="1:14" x14ac:dyDescent="0.15">
      <c r="A1310" s="3">
        <v>1309</v>
      </c>
      <c r="B1310" s="1" t="s">
        <v>1027</v>
      </c>
      <c r="C1310" s="1" t="s">
        <v>1479</v>
      </c>
      <c r="E1310" s="1" t="s">
        <v>8805</v>
      </c>
      <c r="F1310" s="1" t="s">
        <v>8810</v>
      </c>
      <c r="G1310" s="3">
        <v>0</v>
      </c>
      <c r="H1310" s="20" t="s">
        <v>8811</v>
      </c>
      <c r="I1310" s="20" t="s">
        <v>8812</v>
      </c>
      <c r="J1310" s="20" t="s">
        <v>3149</v>
      </c>
      <c r="K1310" s="20" t="s">
        <v>10013</v>
      </c>
      <c r="L1310" s="3">
        <v>31</v>
      </c>
      <c r="M1310" s="3" t="s">
        <v>8809</v>
      </c>
      <c r="N1310" s="3" t="str">
        <f>HYPERLINK("http://ictvonline.org/taxonomyHistory.asp?taxnode_id=20165131","ICTVonline=20165131")</f>
        <v>ICTVonline=20165131</v>
      </c>
    </row>
    <row r="1311" spans="1:14" x14ac:dyDescent="0.15">
      <c r="A1311" s="3">
        <v>1310</v>
      </c>
      <c r="B1311" s="1" t="s">
        <v>1027</v>
      </c>
      <c r="C1311" s="1" t="s">
        <v>1479</v>
      </c>
      <c r="E1311" s="1" t="s">
        <v>8805</v>
      </c>
      <c r="F1311" s="1" t="s">
        <v>8813</v>
      </c>
      <c r="G1311" s="3">
        <v>0</v>
      </c>
      <c r="H1311" s="20" t="s">
        <v>8814</v>
      </c>
      <c r="I1311" s="20" t="s">
        <v>8815</v>
      </c>
      <c r="J1311" s="20" t="s">
        <v>3149</v>
      </c>
      <c r="K1311" s="20" t="s">
        <v>10013</v>
      </c>
      <c r="L1311" s="3">
        <v>31</v>
      </c>
      <c r="M1311" s="3" t="s">
        <v>8809</v>
      </c>
      <c r="N1311" s="3" t="str">
        <f>HYPERLINK("http://ictvonline.org/taxonomyHistory.asp?taxnode_id=20165132","ICTVonline=20165132")</f>
        <v>ICTVonline=20165132</v>
      </c>
    </row>
    <row r="1312" spans="1:14" x14ac:dyDescent="0.15">
      <c r="A1312" s="3">
        <v>1311</v>
      </c>
      <c r="B1312" s="1" t="s">
        <v>1027</v>
      </c>
      <c r="C1312" s="1" t="s">
        <v>1479</v>
      </c>
      <c r="E1312" s="1" t="s">
        <v>8805</v>
      </c>
      <c r="F1312" s="1" t="s">
        <v>8816</v>
      </c>
      <c r="G1312" s="3">
        <v>0</v>
      </c>
      <c r="H1312" s="20" t="s">
        <v>8817</v>
      </c>
      <c r="I1312" s="20" t="s">
        <v>8818</v>
      </c>
      <c r="J1312" s="20" t="s">
        <v>3149</v>
      </c>
      <c r="K1312" s="20" t="s">
        <v>10013</v>
      </c>
      <c r="L1312" s="3">
        <v>31</v>
      </c>
      <c r="M1312" s="3" t="s">
        <v>8809</v>
      </c>
      <c r="N1312" s="3" t="str">
        <f>HYPERLINK("http://ictvonline.org/taxonomyHistory.asp?taxnode_id=20165133","ICTVonline=20165133")</f>
        <v>ICTVonline=20165133</v>
      </c>
    </row>
    <row r="1313" spans="1:14" x14ac:dyDescent="0.15">
      <c r="A1313" s="3">
        <v>1312</v>
      </c>
      <c r="B1313" s="1" t="s">
        <v>1027</v>
      </c>
      <c r="C1313" s="1" t="s">
        <v>1479</v>
      </c>
      <c r="E1313" s="1" t="s">
        <v>1480</v>
      </c>
      <c r="F1313" s="1" t="s">
        <v>4369</v>
      </c>
      <c r="G1313" s="3">
        <v>0</v>
      </c>
      <c r="H1313" s="20" t="s">
        <v>6712</v>
      </c>
      <c r="I1313" s="20" t="s">
        <v>4370</v>
      </c>
      <c r="J1313" s="20" t="s">
        <v>3149</v>
      </c>
      <c r="K1313" s="20" t="s">
        <v>10013</v>
      </c>
      <c r="L1313" s="3">
        <v>30</v>
      </c>
      <c r="M1313" s="3" t="s">
        <v>10098</v>
      </c>
      <c r="N1313" s="3" t="str">
        <f>HYPERLINK("http://ictvonline.org/taxonomyHistory.asp?taxnode_id=20161074","ICTVonline=20161074")</f>
        <v>ICTVonline=20161074</v>
      </c>
    </row>
    <row r="1314" spans="1:14" x14ac:dyDescent="0.15">
      <c r="A1314" s="3">
        <v>1313</v>
      </c>
      <c r="B1314" s="1" t="s">
        <v>1027</v>
      </c>
      <c r="C1314" s="1" t="s">
        <v>1479</v>
      </c>
      <c r="E1314" s="1" t="s">
        <v>1480</v>
      </c>
      <c r="F1314" s="1" t="s">
        <v>4371</v>
      </c>
      <c r="G1314" s="3">
        <v>0</v>
      </c>
      <c r="H1314" s="20" t="s">
        <v>6713</v>
      </c>
      <c r="I1314" s="20" t="s">
        <v>4372</v>
      </c>
      <c r="J1314" s="20" t="s">
        <v>3149</v>
      </c>
      <c r="K1314" s="20" t="s">
        <v>10021</v>
      </c>
      <c r="L1314" s="3">
        <v>30</v>
      </c>
      <c r="M1314" s="3" t="s">
        <v>10099</v>
      </c>
      <c r="N1314" s="3" t="str">
        <f>HYPERLINK("http://ictvonline.org/taxonomyHistory.asp?taxnode_id=20161075","ICTVonline=20161075")</f>
        <v>ICTVonline=20161075</v>
      </c>
    </row>
    <row r="1315" spans="1:14" x14ac:dyDescent="0.15">
      <c r="A1315" s="3">
        <v>1314</v>
      </c>
      <c r="B1315" s="1" t="s">
        <v>1027</v>
      </c>
      <c r="C1315" s="1" t="s">
        <v>1479</v>
      </c>
      <c r="E1315" s="1" t="s">
        <v>1480</v>
      </c>
      <c r="F1315" s="1" t="s">
        <v>4373</v>
      </c>
      <c r="G1315" s="3">
        <v>0</v>
      </c>
      <c r="I1315" s="20" t="s">
        <v>4374</v>
      </c>
      <c r="J1315" s="20" t="s">
        <v>3149</v>
      </c>
      <c r="K1315" s="20" t="s">
        <v>10021</v>
      </c>
      <c r="L1315" s="3">
        <v>30</v>
      </c>
      <c r="M1315" s="3" t="s">
        <v>10099</v>
      </c>
      <c r="N1315" s="3" t="str">
        <f>HYPERLINK("http://ictvonline.org/taxonomyHistory.asp?taxnode_id=20161076","ICTVonline=20161076")</f>
        <v>ICTVonline=20161076</v>
      </c>
    </row>
    <row r="1316" spans="1:14" x14ac:dyDescent="0.15">
      <c r="A1316" s="3">
        <v>1315</v>
      </c>
      <c r="B1316" s="1" t="s">
        <v>1027</v>
      </c>
      <c r="C1316" s="1" t="s">
        <v>1479</v>
      </c>
      <c r="E1316" s="1" t="s">
        <v>1480</v>
      </c>
      <c r="F1316" s="1" t="s">
        <v>8819</v>
      </c>
      <c r="G1316" s="3">
        <v>0</v>
      </c>
      <c r="H1316" s="20" t="s">
        <v>8820</v>
      </c>
      <c r="I1316" s="20" t="s">
        <v>8821</v>
      </c>
      <c r="J1316" s="20" t="s">
        <v>3149</v>
      </c>
      <c r="K1316" s="20" t="s">
        <v>10013</v>
      </c>
      <c r="L1316" s="3">
        <v>31</v>
      </c>
      <c r="M1316" s="3" t="s">
        <v>8822</v>
      </c>
      <c r="N1316" s="3" t="str">
        <f>HYPERLINK("http://ictvonline.org/taxonomyHistory.asp?taxnode_id=20165134","ICTVonline=20165134")</f>
        <v>ICTVonline=20165134</v>
      </c>
    </row>
    <row r="1317" spans="1:14" x14ac:dyDescent="0.15">
      <c r="A1317" s="3">
        <v>1316</v>
      </c>
      <c r="B1317" s="1" t="s">
        <v>1027</v>
      </c>
      <c r="C1317" s="1" t="s">
        <v>1479</v>
      </c>
      <c r="E1317" s="1" t="s">
        <v>1480</v>
      </c>
      <c r="F1317" s="1" t="s">
        <v>4375</v>
      </c>
      <c r="G1317" s="3">
        <v>0</v>
      </c>
      <c r="I1317" s="20" t="s">
        <v>4376</v>
      </c>
      <c r="J1317" s="20" t="s">
        <v>3149</v>
      </c>
      <c r="K1317" s="20" t="s">
        <v>10021</v>
      </c>
      <c r="L1317" s="3">
        <v>30</v>
      </c>
      <c r="M1317" s="3" t="s">
        <v>10099</v>
      </c>
      <c r="N1317" s="3" t="str">
        <f>HYPERLINK("http://ictvonline.org/taxonomyHistory.asp?taxnode_id=20161077","ICTVonline=20161077")</f>
        <v>ICTVonline=20161077</v>
      </c>
    </row>
    <row r="1318" spans="1:14" x14ac:dyDescent="0.15">
      <c r="A1318" s="3">
        <v>1317</v>
      </c>
      <c r="B1318" s="1" t="s">
        <v>1027</v>
      </c>
      <c r="C1318" s="1" t="s">
        <v>1479</v>
      </c>
      <c r="E1318" s="1" t="s">
        <v>1480</v>
      </c>
      <c r="F1318" s="1" t="s">
        <v>4377</v>
      </c>
      <c r="G1318" s="3">
        <v>1</v>
      </c>
      <c r="H1318" s="20" t="s">
        <v>4378</v>
      </c>
      <c r="I1318" s="20" t="s">
        <v>4379</v>
      </c>
      <c r="J1318" s="20" t="s">
        <v>3149</v>
      </c>
      <c r="K1318" s="20" t="s">
        <v>10021</v>
      </c>
      <c r="L1318" s="3">
        <v>30</v>
      </c>
      <c r="M1318" s="3" t="s">
        <v>10099</v>
      </c>
      <c r="N1318" s="3" t="str">
        <f>HYPERLINK("http://ictvonline.org/taxonomyHistory.asp?taxnode_id=20161078","ICTVonline=20161078")</f>
        <v>ICTVonline=20161078</v>
      </c>
    </row>
    <row r="1319" spans="1:14" x14ac:dyDescent="0.15">
      <c r="A1319" s="3">
        <v>1318</v>
      </c>
      <c r="B1319" s="1" t="s">
        <v>1027</v>
      </c>
      <c r="C1319" s="1" t="s">
        <v>1479</v>
      </c>
      <c r="E1319" s="1" t="s">
        <v>1480</v>
      </c>
      <c r="F1319" s="1" t="s">
        <v>4380</v>
      </c>
      <c r="G1319" s="3">
        <v>0</v>
      </c>
      <c r="H1319" s="20" t="s">
        <v>4381</v>
      </c>
      <c r="I1319" s="20" t="s">
        <v>4382</v>
      </c>
      <c r="J1319" s="20" t="s">
        <v>3149</v>
      </c>
      <c r="K1319" s="20" t="s">
        <v>10021</v>
      </c>
      <c r="L1319" s="3">
        <v>30</v>
      </c>
      <c r="M1319" s="3" t="s">
        <v>10099</v>
      </c>
      <c r="N1319" s="3" t="str">
        <f>HYPERLINK("http://ictvonline.org/taxonomyHistory.asp?taxnode_id=20161079","ICTVonline=20161079")</f>
        <v>ICTVonline=20161079</v>
      </c>
    </row>
    <row r="1320" spans="1:14" x14ac:dyDescent="0.15">
      <c r="A1320" s="3">
        <v>1319</v>
      </c>
      <c r="B1320" s="1" t="s">
        <v>1027</v>
      </c>
      <c r="C1320" s="1" t="s">
        <v>1479</v>
      </c>
      <c r="E1320" s="1" t="s">
        <v>1480</v>
      </c>
      <c r="F1320" s="1" t="s">
        <v>4383</v>
      </c>
      <c r="G1320" s="3">
        <v>0</v>
      </c>
      <c r="H1320" s="20" t="s">
        <v>6714</v>
      </c>
      <c r="I1320" s="20" t="s">
        <v>4384</v>
      </c>
      <c r="J1320" s="20" t="s">
        <v>3149</v>
      </c>
      <c r="K1320" s="20" t="s">
        <v>10021</v>
      </c>
      <c r="L1320" s="3">
        <v>30</v>
      </c>
      <c r="M1320" s="3" t="s">
        <v>10099</v>
      </c>
      <c r="N1320" s="3" t="str">
        <f>HYPERLINK("http://ictvonline.org/taxonomyHistory.asp?taxnode_id=20161080","ICTVonline=20161080")</f>
        <v>ICTVonline=20161080</v>
      </c>
    </row>
    <row r="1321" spans="1:14" x14ac:dyDescent="0.15">
      <c r="A1321" s="3">
        <v>1320</v>
      </c>
      <c r="B1321" s="1" t="s">
        <v>1027</v>
      </c>
      <c r="C1321" s="1" t="s">
        <v>1479</v>
      </c>
      <c r="E1321" s="1" t="s">
        <v>1480</v>
      </c>
      <c r="F1321" s="1" t="s">
        <v>4385</v>
      </c>
      <c r="G1321" s="3">
        <v>0</v>
      </c>
      <c r="I1321" s="20" t="s">
        <v>4386</v>
      </c>
      <c r="J1321" s="20" t="s">
        <v>3149</v>
      </c>
      <c r="K1321" s="20" t="s">
        <v>10021</v>
      </c>
      <c r="L1321" s="3">
        <v>30</v>
      </c>
      <c r="M1321" s="3" t="s">
        <v>10099</v>
      </c>
      <c r="N1321" s="3" t="str">
        <f>HYPERLINK("http://ictvonline.org/taxonomyHistory.asp?taxnode_id=20161081","ICTVonline=20161081")</f>
        <v>ICTVonline=20161081</v>
      </c>
    </row>
    <row r="1322" spans="1:14" x14ac:dyDescent="0.15">
      <c r="A1322" s="3">
        <v>1321</v>
      </c>
      <c r="B1322" s="1" t="s">
        <v>1027</v>
      </c>
      <c r="C1322" s="1" t="s">
        <v>1479</v>
      </c>
      <c r="E1322" s="1" t="s">
        <v>1480</v>
      </c>
      <c r="F1322" s="1" t="s">
        <v>4387</v>
      </c>
      <c r="G1322" s="3">
        <v>0</v>
      </c>
      <c r="I1322" s="20" t="s">
        <v>4388</v>
      </c>
      <c r="J1322" s="20" t="s">
        <v>3149</v>
      </c>
      <c r="K1322" s="20" t="s">
        <v>10021</v>
      </c>
      <c r="L1322" s="3">
        <v>30</v>
      </c>
      <c r="M1322" s="3" t="s">
        <v>10099</v>
      </c>
      <c r="N1322" s="3" t="str">
        <f>HYPERLINK("http://ictvonline.org/taxonomyHistory.asp?taxnode_id=20161082","ICTVonline=20161082")</f>
        <v>ICTVonline=20161082</v>
      </c>
    </row>
    <row r="1323" spans="1:14" x14ac:dyDescent="0.15">
      <c r="A1323" s="3">
        <v>1322</v>
      </c>
      <c r="B1323" s="1" t="s">
        <v>1027</v>
      </c>
      <c r="C1323" s="1" t="s">
        <v>1479</v>
      </c>
      <c r="E1323" s="1" t="s">
        <v>1480</v>
      </c>
      <c r="F1323" s="1" t="s">
        <v>4389</v>
      </c>
      <c r="G1323" s="3">
        <v>0</v>
      </c>
      <c r="I1323" s="20" t="s">
        <v>4390</v>
      </c>
      <c r="J1323" s="20" t="s">
        <v>3149</v>
      </c>
      <c r="K1323" s="20" t="s">
        <v>10021</v>
      </c>
      <c r="L1323" s="3">
        <v>30</v>
      </c>
      <c r="M1323" s="3" t="s">
        <v>10099</v>
      </c>
      <c r="N1323" s="3" t="str">
        <f>HYPERLINK("http://ictvonline.org/taxonomyHistory.asp?taxnode_id=20161083","ICTVonline=20161083")</f>
        <v>ICTVonline=20161083</v>
      </c>
    </row>
    <row r="1324" spans="1:14" x14ac:dyDescent="0.15">
      <c r="A1324" s="3">
        <v>1323</v>
      </c>
      <c r="B1324" s="1" t="s">
        <v>1027</v>
      </c>
      <c r="C1324" s="1" t="s">
        <v>1479</v>
      </c>
      <c r="E1324" s="1" t="s">
        <v>4391</v>
      </c>
      <c r="F1324" s="1" t="s">
        <v>4392</v>
      </c>
      <c r="G1324" s="3">
        <v>0</v>
      </c>
      <c r="H1324" s="20" t="s">
        <v>6715</v>
      </c>
      <c r="I1324" s="20" t="s">
        <v>4393</v>
      </c>
      <c r="J1324" s="20" t="s">
        <v>3149</v>
      </c>
      <c r="K1324" s="20" t="s">
        <v>10013</v>
      </c>
      <c r="L1324" s="3">
        <v>30</v>
      </c>
      <c r="M1324" s="3" t="s">
        <v>10100</v>
      </c>
      <c r="N1324" s="3" t="str">
        <f>HYPERLINK("http://ictvonline.org/taxonomyHistory.asp?taxnode_id=20161085","ICTVonline=20161085")</f>
        <v>ICTVonline=20161085</v>
      </c>
    </row>
    <row r="1325" spans="1:14" x14ac:dyDescent="0.15">
      <c r="A1325" s="3">
        <v>1324</v>
      </c>
      <c r="B1325" s="1" t="s">
        <v>1027</v>
      </c>
      <c r="C1325" s="1" t="s">
        <v>1479</v>
      </c>
      <c r="E1325" s="1" t="s">
        <v>4391</v>
      </c>
      <c r="F1325" s="1" t="s">
        <v>4394</v>
      </c>
      <c r="G1325" s="3">
        <v>1</v>
      </c>
      <c r="H1325" s="20" t="s">
        <v>6716</v>
      </c>
      <c r="I1325" s="20" t="s">
        <v>4395</v>
      </c>
      <c r="J1325" s="20" t="s">
        <v>3149</v>
      </c>
      <c r="K1325" s="20" t="s">
        <v>10013</v>
      </c>
      <c r="L1325" s="3">
        <v>30</v>
      </c>
      <c r="M1325" s="3" t="s">
        <v>10100</v>
      </c>
      <c r="N1325" s="3" t="str">
        <f>HYPERLINK("http://ictvonline.org/taxonomyHistory.asp?taxnode_id=20161086","ICTVonline=20161086")</f>
        <v>ICTVonline=20161086</v>
      </c>
    </row>
    <row r="1326" spans="1:14" x14ac:dyDescent="0.15">
      <c r="A1326" s="3">
        <v>1325</v>
      </c>
      <c r="B1326" s="1" t="s">
        <v>1027</v>
      </c>
      <c r="C1326" s="1" t="s">
        <v>1479</v>
      </c>
      <c r="E1326" s="1" t="s">
        <v>1417</v>
      </c>
      <c r="F1326" s="1" t="s">
        <v>4396</v>
      </c>
      <c r="G1326" s="3">
        <v>0</v>
      </c>
      <c r="H1326" s="20" t="s">
        <v>6717</v>
      </c>
      <c r="I1326" s="20" t="s">
        <v>4397</v>
      </c>
      <c r="J1326" s="20" t="s">
        <v>3149</v>
      </c>
      <c r="K1326" s="20" t="s">
        <v>10021</v>
      </c>
      <c r="L1326" s="3">
        <v>30</v>
      </c>
      <c r="M1326" s="3" t="s">
        <v>10099</v>
      </c>
      <c r="N1326" s="3" t="str">
        <f>HYPERLINK("http://ictvonline.org/taxonomyHistory.asp?taxnode_id=20161088","ICTVonline=20161088")</f>
        <v>ICTVonline=20161088</v>
      </c>
    </row>
    <row r="1327" spans="1:14" x14ac:dyDescent="0.15">
      <c r="A1327" s="3">
        <v>1326</v>
      </c>
      <c r="B1327" s="1" t="s">
        <v>1027</v>
      </c>
      <c r="C1327" s="1" t="s">
        <v>1479</v>
      </c>
      <c r="E1327" s="1" t="s">
        <v>1417</v>
      </c>
      <c r="F1327" s="1" t="s">
        <v>4398</v>
      </c>
      <c r="G1327" s="3">
        <v>0</v>
      </c>
      <c r="H1327" s="20" t="s">
        <v>6718</v>
      </c>
      <c r="I1327" s="20" t="s">
        <v>4399</v>
      </c>
      <c r="J1327" s="20" t="s">
        <v>3149</v>
      </c>
      <c r="K1327" s="20" t="s">
        <v>10021</v>
      </c>
      <c r="L1327" s="3">
        <v>30</v>
      </c>
      <c r="M1327" s="3" t="s">
        <v>10099</v>
      </c>
      <c r="N1327" s="3" t="str">
        <f>HYPERLINK("http://ictvonline.org/taxonomyHistory.asp?taxnode_id=20161089","ICTVonline=20161089")</f>
        <v>ICTVonline=20161089</v>
      </c>
    </row>
    <row r="1328" spans="1:14" x14ac:dyDescent="0.15">
      <c r="A1328" s="3">
        <v>1327</v>
      </c>
      <c r="B1328" s="1" t="s">
        <v>1027</v>
      </c>
      <c r="C1328" s="1" t="s">
        <v>1479</v>
      </c>
      <c r="E1328" s="1" t="s">
        <v>1417</v>
      </c>
      <c r="F1328" s="1" t="s">
        <v>4400</v>
      </c>
      <c r="G1328" s="3">
        <v>1</v>
      </c>
      <c r="H1328" s="20" t="s">
        <v>6719</v>
      </c>
      <c r="I1328" s="20" t="s">
        <v>4401</v>
      </c>
      <c r="J1328" s="20" t="s">
        <v>3149</v>
      </c>
      <c r="K1328" s="20" t="s">
        <v>10021</v>
      </c>
      <c r="L1328" s="3">
        <v>30</v>
      </c>
      <c r="M1328" s="3" t="s">
        <v>10099</v>
      </c>
      <c r="N1328" s="3" t="str">
        <f>HYPERLINK("http://ictvonline.org/taxonomyHistory.asp?taxnode_id=20161090","ICTVonline=20161090")</f>
        <v>ICTVonline=20161090</v>
      </c>
    </row>
    <row r="1329" spans="1:14" x14ac:dyDescent="0.15">
      <c r="A1329" s="3">
        <v>1328</v>
      </c>
      <c r="B1329" s="1" t="s">
        <v>1027</v>
      </c>
      <c r="C1329" s="1" t="s">
        <v>1479</v>
      </c>
      <c r="E1329" s="1" t="s">
        <v>1417</v>
      </c>
      <c r="F1329" s="1" t="s">
        <v>8823</v>
      </c>
      <c r="G1329" s="3">
        <v>0</v>
      </c>
      <c r="H1329" s="20" t="s">
        <v>8824</v>
      </c>
      <c r="I1329" s="20" t="s">
        <v>8825</v>
      </c>
      <c r="J1329" s="20" t="s">
        <v>3149</v>
      </c>
      <c r="K1329" s="20" t="s">
        <v>10013</v>
      </c>
      <c r="L1329" s="3">
        <v>31</v>
      </c>
      <c r="M1329" s="3" t="s">
        <v>8826</v>
      </c>
      <c r="N1329" s="3" t="str">
        <f>HYPERLINK("http://ictvonline.org/taxonomyHistory.asp?taxnode_id=20165135","ICTVonline=20165135")</f>
        <v>ICTVonline=20165135</v>
      </c>
    </row>
    <row r="1330" spans="1:14" x14ac:dyDescent="0.15">
      <c r="A1330" s="3">
        <v>1329</v>
      </c>
      <c r="B1330" s="1" t="s">
        <v>1027</v>
      </c>
      <c r="C1330" s="1" t="s">
        <v>1479</v>
      </c>
      <c r="E1330" s="1" t="s">
        <v>1417</v>
      </c>
      <c r="F1330" s="1" t="s">
        <v>8827</v>
      </c>
      <c r="G1330" s="3">
        <v>0</v>
      </c>
      <c r="H1330" s="20" t="s">
        <v>8828</v>
      </c>
      <c r="I1330" s="20" t="s">
        <v>8829</v>
      </c>
      <c r="J1330" s="20" t="s">
        <v>3149</v>
      </c>
      <c r="K1330" s="20" t="s">
        <v>10013</v>
      </c>
      <c r="L1330" s="3">
        <v>31</v>
      </c>
      <c r="M1330" s="3" t="s">
        <v>8826</v>
      </c>
      <c r="N1330" s="3" t="str">
        <f>HYPERLINK("http://ictvonline.org/taxonomyHistory.asp?taxnode_id=20165136","ICTVonline=20165136")</f>
        <v>ICTVonline=20165136</v>
      </c>
    </row>
    <row r="1331" spans="1:14" x14ac:dyDescent="0.15">
      <c r="A1331" s="3">
        <v>1330</v>
      </c>
      <c r="B1331" s="1" t="s">
        <v>1027</v>
      </c>
      <c r="C1331" s="1" t="s">
        <v>1479</v>
      </c>
      <c r="E1331" s="1" t="s">
        <v>1417</v>
      </c>
      <c r="F1331" s="1" t="s">
        <v>6475</v>
      </c>
      <c r="G1331" s="3">
        <v>0</v>
      </c>
      <c r="H1331" s="20" t="s">
        <v>6720</v>
      </c>
      <c r="I1331" s="20" t="s">
        <v>4402</v>
      </c>
      <c r="J1331" s="20" t="s">
        <v>3149</v>
      </c>
      <c r="K1331" s="20" t="s">
        <v>10021</v>
      </c>
      <c r="L1331" s="3">
        <v>30</v>
      </c>
      <c r="M1331" s="3" t="s">
        <v>10099</v>
      </c>
      <c r="N1331" s="3" t="str">
        <f>HYPERLINK("http://ictvonline.org/taxonomyHistory.asp?taxnode_id=20161091","ICTVonline=20161091")</f>
        <v>ICTVonline=20161091</v>
      </c>
    </row>
    <row r="1332" spans="1:14" x14ac:dyDescent="0.15">
      <c r="A1332" s="3">
        <v>1331</v>
      </c>
      <c r="B1332" s="1" t="s">
        <v>1027</v>
      </c>
      <c r="C1332" s="1" t="s">
        <v>1479</v>
      </c>
      <c r="E1332" s="1" t="s">
        <v>1417</v>
      </c>
      <c r="F1332" s="1" t="s">
        <v>4403</v>
      </c>
      <c r="G1332" s="3">
        <v>0</v>
      </c>
      <c r="H1332" s="20" t="s">
        <v>6721</v>
      </c>
      <c r="I1332" s="20" t="s">
        <v>4404</v>
      </c>
      <c r="J1332" s="20" t="s">
        <v>3149</v>
      </c>
      <c r="K1332" s="20" t="s">
        <v>10021</v>
      </c>
      <c r="L1332" s="3">
        <v>30</v>
      </c>
      <c r="M1332" s="3" t="s">
        <v>10099</v>
      </c>
      <c r="N1332" s="3" t="str">
        <f>HYPERLINK("http://ictvonline.org/taxonomyHistory.asp?taxnode_id=20161092","ICTVonline=20161092")</f>
        <v>ICTVonline=20161092</v>
      </c>
    </row>
    <row r="1333" spans="1:14" x14ac:dyDescent="0.15">
      <c r="A1333" s="3">
        <v>1332</v>
      </c>
      <c r="B1333" s="1" t="s">
        <v>1027</v>
      </c>
      <c r="C1333" s="1" t="s">
        <v>1479</v>
      </c>
      <c r="E1333" s="1" t="s">
        <v>1417</v>
      </c>
      <c r="F1333" s="1" t="s">
        <v>8830</v>
      </c>
      <c r="G1333" s="3">
        <v>0</v>
      </c>
      <c r="H1333" s="20" t="s">
        <v>8831</v>
      </c>
      <c r="I1333" s="20" t="s">
        <v>8832</v>
      </c>
      <c r="J1333" s="20" t="s">
        <v>3149</v>
      </c>
      <c r="K1333" s="20" t="s">
        <v>10013</v>
      </c>
      <c r="L1333" s="3">
        <v>31</v>
      </c>
      <c r="M1333" s="3" t="s">
        <v>8826</v>
      </c>
      <c r="N1333" s="3" t="str">
        <f>HYPERLINK("http://ictvonline.org/taxonomyHistory.asp?taxnode_id=20165137","ICTVonline=20165137")</f>
        <v>ICTVonline=20165137</v>
      </c>
    </row>
    <row r="1334" spans="1:14" x14ac:dyDescent="0.15">
      <c r="A1334" s="3">
        <v>1333</v>
      </c>
      <c r="B1334" s="1" t="s">
        <v>1027</v>
      </c>
      <c r="C1334" s="1" t="s">
        <v>1479</v>
      </c>
      <c r="E1334" s="1" t="s">
        <v>7489</v>
      </c>
      <c r="F1334" s="1" t="s">
        <v>7490</v>
      </c>
      <c r="G1334" s="3">
        <v>1</v>
      </c>
      <c r="H1334" s="20" t="s">
        <v>7491</v>
      </c>
      <c r="I1334" s="20" t="s">
        <v>7088</v>
      </c>
      <c r="J1334" s="20" t="s">
        <v>3149</v>
      </c>
      <c r="K1334" s="20" t="s">
        <v>10014</v>
      </c>
      <c r="L1334" s="3">
        <v>31</v>
      </c>
      <c r="M1334" s="3" t="s">
        <v>7492</v>
      </c>
      <c r="N1334" s="3" t="str">
        <f>HYPERLINK("http://ictvonline.org/taxonomyHistory.asp?taxnode_id=20161146","ICTVonline=20161146")</f>
        <v>ICTVonline=20161146</v>
      </c>
    </row>
    <row r="1335" spans="1:14" x14ac:dyDescent="0.15">
      <c r="A1335" s="3">
        <v>1334</v>
      </c>
      <c r="B1335" s="1" t="s">
        <v>1027</v>
      </c>
      <c r="C1335" s="1" t="s">
        <v>1479</v>
      </c>
      <c r="E1335" s="1" t="s">
        <v>7489</v>
      </c>
      <c r="F1335" s="1" t="s">
        <v>8833</v>
      </c>
      <c r="G1335" s="3">
        <v>0</v>
      </c>
      <c r="H1335" s="20" t="s">
        <v>8834</v>
      </c>
      <c r="I1335" s="20" t="s">
        <v>8835</v>
      </c>
      <c r="J1335" s="20" t="s">
        <v>3149</v>
      </c>
      <c r="K1335" s="20" t="s">
        <v>10013</v>
      </c>
      <c r="L1335" s="3">
        <v>31</v>
      </c>
      <c r="M1335" s="3" t="s">
        <v>7492</v>
      </c>
      <c r="N1335" s="3" t="str">
        <f>HYPERLINK("http://ictvonline.org/taxonomyHistory.asp?taxnode_id=20165138","ICTVonline=20165138")</f>
        <v>ICTVonline=20165138</v>
      </c>
    </row>
    <row r="1336" spans="1:14" x14ac:dyDescent="0.15">
      <c r="A1336" s="3">
        <v>1335</v>
      </c>
      <c r="B1336" s="1" t="s">
        <v>1027</v>
      </c>
      <c r="C1336" s="1" t="s">
        <v>1479</v>
      </c>
      <c r="E1336" s="1" t="s">
        <v>7489</v>
      </c>
      <c r="F1336" s="1" t="s">
        <v>8836</v>
      </c>
      <c r="G1336" s="3">
        <v>0</v>
      </c>
      <c r="H1336" s="20" t="s">
        <v>8837</v>
      </c>
      <c r="I1336" s="20" t="s">
        <v>8838</v>
      </c>
      <c r="J1336" s="20" t="s">
        <v>3149</v>
      </c>
      <c r="K1336" s="20" t="s">
        <v>10013</v>
      </c>
      <c r="L1336" s="3">
        <v>31</v>
      </c>
      <c r="M1336" s="3" t="s">
        <v>7492</v>
      </c>
      <c r="N1336" s="3" t="str">
        <f>HYPERLINK("http://ictvonline.org/taxonomyHistory.asp?taxnode_id=20165139","ICTVonline=20165139")</f>
        <v>ICTVonline=20165139</v>
      </c>
    </row>
    <row r="1337" spans="1:14" x14ac:dyDescent="0.15">
      <c r="A1337" s="3">
        <v>1336</v>
      </c>
      <c r="B1337" s="1" t="s">
        <v>1027</v>
      </c>
      <c r="C1337" s="1" t="s">
        <v>1479</v>
      </c>
      <c r="E1337" s="1" t="s">
        <v>7489</v>
      </c>
      <c r="F1337" s="1" t="s">
        <v>8839</v>
      </c>
      <c r="G1337" s="3">
        <v>0</v>
      </c>
      <c r="H1337" s="20" t="s">
        <v>8840</v>
      </c>
      <c r="I1337" s="20" t="s">
        <v>8841</v>
      </c>
      <c r="J1337" s="20" t="s">
        <v>3149</v>
      </c>
      <c r="K1337" s="20" t="s">
        <v>10013</v>
      </c>
      <c r="L1337" s="3">
        <v>31</v>
      </c>
      <c r="M1337" s="3" t="s">
        <v>7492</v>
      </c>
      <c r="N1337" s="3" t="str">
        <f>HYPERLINK("http://ictvonline.org/taxonomyHistory.asp?taxnode_id=20165140","ICTVonline=20165140")</f>
        <v>ICTVonline=20165140</v>
      </c>
    </row>
    <row r="1338" spans="1:14" x14ac:dyDescent="0.15">
      <c r="A1338" s="3">
        <v>1337</v>
      </c>
      <c r="B1338" s="1" t="s">
        <v>1027</v>
      </c>
      <c r="C1338" s="1" t="s">
        <v>1479</v>
      </c>
      <c r="E1338" s="1" t="s">
        <v>7489</v>
      </c>
      <c r="F1338" s="1" t="s">
        <v>8842</v>
      </c>
      <c r="G1338" s="3">
        <v>0</v>
      </c>
      <c r="H1338" s="20" t="s">
        <v>8843</v>
      </c>
      <c r="I1338" s="20" t="s">
        <v>8844</v>
      </c>
      <c r="J1338" s="20" t="s">
        <v>3149</v>
      </c>
      <c r="K1338" s="20" t="s">
        <v>10013</v>
      </c>
      <c r="L1338" s="3">
        <v>31</v>
      </c>
      <c r="M1338" s="3" t="s">
        <v>7492</v>
      </c>
      <c r="N1338" s="3" t="str">
        <f>HYPERLINK("http://ictvonline.org/taxonomyHistory.asp?taxnode_id=20165141","ICTVonline=20165141")</f>
        <v>ICTVonline=20165141</v>
      </c>
    </row>
    <row r="1339" spans="1:14" x14ac:dyDescent="0.15">
      <c r="A1339" s="3">
        <v>1338</v>
      </c>
      <c r="B1339" s="1" t="s">
        <v>1027</v>
      </c>
      <c r="C1339" s="1" t="s">
        <v>1479</v>
      </c>
      <c r="E1339" s="1" t="s">
        <v>7489</v>
      </c>
      <c r="F1339" s="1" t="s">
        <v>8845</v>
      </c>
      <c r="G1339" s="3">
        <v>0</v>
      </c>
      <c r="H1339" s="20" t="s">
        <v>8846</v>
      </c>
      <c r="I1339" s="20" t="s">
        <v>8847</v>
      </c>
      <c r="J1339" s="20" t="s">
        <v>3149</v>
      </c>
      <c r="K1339" s="20" t="s">
        <v>10013</v>
      </c>
      <c r="L1339" s="3">
        <v>31</v>
      </c>
      <c r="M1339" s="3" t="s">
        <v>7492</v>
      </c>
      <c r="N1339" s="3" t="str">
        <f>HYPERLINK("http://ictvonline.org/taxonomyHistory.asp?taxnode_id=20165142","ICTVonline=20165142")</f>
        <v>ICTVonline=20165142</v>
      </c>
    </row>
    <row r="1340" spans="1:14" x14ac:dyDescent="0.15">
      <c r="A1340" s="3">
        <v>1339</v>
      </c>
      <c r="B1340" s="1" t="s">
        <v>1027</v>
      </c>
      <c r="C1340" s="1" t="s">
        <v>1479</v>
      </c>
      <c r="E1340" s="1" t="s">
        <v>7489</v>
      </c>
      <c r="F1340" s="1" t="s">
        <v>8848</v>
      </c>
      <c r="G1340" s="3">
        <v>0</v>
      </c>
      <c r="H1340" s="20" t="s">
        <v>8849</v>
      </c>
      <c r="I1340" s="20" t="s">
        <v>8850</v>
      </c>
      <c r="J1340" s="20" t="s">
        <v>3149</v>
      </c>
      <c r="K1340" s="20" t="s">
        <v>10013</v>
      </c>
      <c r="L1340" s="3">
        <v>31</v>
      </c>
      <c r="M1340" s="3" t="s">
        <v>7492</v>
      </c>
      <c r="N1340" s="3" t="str">
        <f>HYPERLINK("http://ictvonline.org/taxonomyHistory.asp?taxnode_id=20165143","ICTVonline=20165143")</f>
        <v>ICTVonline=20165143</v>
      </c>
    </row>
    <row r="1341" spans="1:14" x14ac:dyDescent="0.15">
      <c r="A1341" s="3">
        <v>1340</v>
      </c>
      <c r="B1341" s="1" t="s">
        <v>1027</v>
      </c>
      <c r="C1341" s="1" t="s">
        <v>1479</v>
      </c>
      <c r="E1341" s="1" t="s">
        <v>7489</v>
      </c>
      <c r="F1341" s="1" t="s">
        <v>8851</v>
      </c>
      <c r="G1341" s="3">
        <v>0</v>
      </c>
      <c r="H1341" s="20" t="s">
        <v>8852</v>
      </c>
      <c r="I1341" s="20" t="s">
        <v>8853</v>
      </c>
      <c r="J1341" s="20" t="s">
        <v>3149</v>
      </c>
      <c r="K1341" s="20" t="s">
        <v>10013</v>
      </c>
      <c r="L1341" s="3">
        <v>31</v>
      </c>
      <c r="M1341" s="3" t="s">
        <v>7492</v>
      </c>
      <c r="N1341" s="3" t="str">
        <f>HYPERLINK("http://ictvonline.org/taxonomyHistory.asp?taxnode_id=20165144","ICTVonline=20165144")</f>
        <v>ICTVonline=20165144</v>
      </c>
    </row>
    <row r="1342" spans="1:14" x14ac:dyDescent="0.15">
      <c r="A1342" s="3">
        <v>1341</v>
      </c>
      <c r="B1342" s="1" t="s">
        <v>1027</v>
      </c>
      <c r="C1342" s="1" t="s">
        <v>1479</v>
      </c>
      <c r="E1342" s="1" t="s">
        <v>7489</v>
      </c>
      <c r="F1342" s="1" t="s">
        <v>8854</v>
      </c>
      <c r="G1342" s="3">
        <v>0</v>
      </c>
      <c r="H1342" s="20" t="s">
        <v>8855</v>
      </c>
      <c r="I1342" s="20" t="s">
        <v>8856</v>
      </c>
      <c r="J1342" s="20" t="s">
        <v>3149</v>
      </c>
      <c r="K1342" s="20" t="s">
        <v>10013</v>
      </c>
      <c r="L1342" s="3">
        <v>31</v>
      </c>
      <c r="M1342" s="3" t="s">
        <v>7492</v>
      </c>
      <c r="N1342" s="3" t="str">
        <f>HYPERLINK("http://ictvonline.org/taxonomyHistory.asp?taxnode_id=20165145","ICTVonline=20165145")</f>
        <v>ICTVonline=20165145</v>
      </c>
    </row>
    <row r="1343" spans="1:14" x14ac:dyDescent="0.15">
      <c r="A1343" s="3">
        <v>1342</v>
      </c>
      <c r="B1343" s="1" t="s">
        <v>1027</v>
      </c>
      <c r="C1343" s="1" t="s">
        <v>1479</v>
      </c>
      <c r="E1343" s="1" t="s">
        <v>7489</v>
      </c>
      <c r="F1343" s="1" t="s">
        <v>8857</v>
      </c>
      <c r="G1343" s="3">
        <v>0</v>
      </c>
      <c r="H1343" s="20" t="s">
        <v>8858</v>
      </c>
      <c r="I1343" s="20" t="s">
        <v>8859</v>
      </c>
      <c r="J1343" s="20" t="s">
        <v>3149</v>
      </c>
      <c r="K1343" s="20" t="s">
        <v>10013</v>
      </c>
      <c r="L1343" s="3">
        <v>31</v>
      </c>
      <c r="M1343" s="3" t="s">
        <v>7492</v>
      </c>
      <c r="N1343" s="3" t="str">
        <f>HYPERLINK("http://ictvonline.org/taxonomyHistory.asp?taxnode_id=20165146","ICTVonline=20165146")</f>
        <v>ICTVonline=20165146</v>
      </c>
    </row>
    <row r="1344" spans="1:14" x14ac:dyDescent="0.15">
      <c r="A1344" s="3">
        <v>1343</v>
      </c>
      <c r="B1344" s="1" t="s">
        <v>1027</v>
      </c>
      <c r="C1344" s="1" t="s">
        <v>1479</v>
      </c>
      <c r="E1344" s="1" t="s">
        <v>7489</v>
      </c>
      <c r="F1344" s="1" t="s">
        <v>8860</v>
      </c>
      <c r="G1344" s="3">
        <v>0</v>
      </c>
      <c r="H1344" s="20" t="s">
        <v>8861</v>
      </c>
      <c r="I1344" s="20" t="s">
        <v>8862</v>
      </c>
      <c r="J1344" s="20" t="s">
        <v>3149</v>
      </c>
      <c r="K1344" s="20" t="s">
        <v>10013</v>
      </c>
      <c r="L1344" s="3">
        <v>31</v>
      </c>
      <c r="M1344" s="3" t="s">
        <v>7492</v>
      </c>
      <c r="N1344" s="3" t="str">
        <f>HYPERLINK("http://ictvonline.org/taxonomyHistory.asp?taxnode_id=20165147","ICTVonline=20165147")</f>
        <v>ICTVonline=20165147</v>
      </c>
    </row>
    <row r="1345" spans="1:14" x14ac:dyDescent="0.15">
      <c r="A1345" s="3">
        <v>1344</v>
      </c>
      <c r="B1345" s="1" t="s">
        <v>1027</v>
      </c>
      <c r="C1345" s="1" t="s">
        <v>1479</v>
      </c>
      <c r="D1345" s="2"/>
      <c r="E1345" s="1" t="s">
        <v>7489</v>
      </c>
      <c r="F1345" s="1" t="s">
        <v>7493</v>
      </c>
      <c r="G1345" s="3">
        <v>0</v>
      </c>
      <c r="H1345" s="20" t="s">
        <v>7091</v>
      </c>
      <c r="I1345" s="20" t="s">
        <v>7092</v>
      </c>
      <c r="J1345" s="20" t="s">
        <v>3149</v>
      </c>
      <c r="K1345" s="20" t="s">
        <v>10014</v>
      </c>
      <c r="L1345" s="3">
        <v>31</v>
      </c>
      <c r="M1345" s="3" t="s">
        <v>7492</v>
      </c>
      <c r="N1345" s="3" t="str">
        <f>HYPERLINK("http://ictvonline.org/taxonomyHistory.asp?taxnode_id=20161148","ICTVonline=20161148")</f>
        <v>ICTVonline=20161148</v>
      </c>
    </row>
    <row r="1346" spans="1:14" x14ac:dyDescent="0.15">
      <c r="A1346" s="3">
        <v>1345</v>
      </c>
      <c r="B1346" s="1" t="s">
        <v>1027</v>
      </c>
      <c r="C1346" s="1" t="s">
        <v>1479</v>
      </c>
      <c r="E1346" s="1" t="s">
        <v>7489</v>
      </c>
      <c r="F1346" s="1" t="s">
        <v>8863</v>
      </c>
      <c r="G1346" s="3">
        <v>0</v>
      </c>
      <c r="H1346" s="20" t="s">
        <v>8864</v>
      </c>
      <c r="I1346" s="20" t="s">
        <v>8865</v>
      </c>
      <c r="J1346" s="20" t="s">
        <v>3149</v>
      </c>
      <c r="K1346" s="20" t="s">
        <v>10013</v>
      </c>
      <c r="L1346" s="3">
        <v>31</v>
      </c>
      <c r="M1346" s="3" t="s">
        <v>7492</v>
      </c>
      <c r="N1346" s="3" t="str">
        <f>HYPERLINK("http://ictvonline.org/taxonomyHistory.asp?taxnode_id=20165148","ICTVonline=20165148")</f>
        <v>ICTVonline=20165148</v>
      </c>
    </row>
    <row r="1347" spans="1:14" x14ac:dyDescent="0.15">
      <c r="A1347" s="3">
        <v>1346</v>
      </c>
      <c r="B1347" s="1" t="s">
        <v>1027</v>
      </c>
      <c r="C1347" s="1" t="s">
        <v>1479</v>
      </c>
      <c r="E1347" s="1" t="s">
        <v>7489</v>
      </c>
      <c r="F1347" s="1" t="s">
        <v>8866</v>
      </c>
      <c r="G1347" s="3">
        <v>0</v>
      </c>
      <c r="H1347" s="20" t="s">
        <v>8867</v>
      </c>
      <c r="I1347" s="20" t="s">
        <v>8868</v>
      </c>
      <c r="J1347" s="20" t="s">
        <v>3149</v>
      </c>
      <c r="K1347" s="20" t="s">
        <v>10013</v>
      </c>
      <c r="L1347" s="3">
        <v>31</v>
      </c>
      <c r="M1347" s="3" t="s">
        <v>7492</v>
      </c>
      <c r="N1347" s="3" t="str">
        <f>HYPERLINK("http://ictvonline.org/taxonomyHistory.asp?taxnode_id=20165149","ICTVonline=20165149")</f>
        <v>ICTVonline=20165149</v>
      </c>
    </row>
    <row r="1348" spans="1:14" x14ac:dyDescent="0.15">
      <c r="A1348" s="3">
        <v>1347</v>
      </c>
      <c r="B1348" s="1" t="s">
        <v>1027</v>
      </c>
      <c r="C1348" s="1" t="s">
        <v>1479</v>
      </c>
      <c r="E1348" s="1" t="s">
        <v>7489</v>
      </c>
      <c r="F1348" s="1" t="s">
        <v>7494</v>
      </c>
      <c r="G1348" s="3">
        <v>0</v>
      </c>
      <c r="H1348" s="20" t="s">
        <v>7093</v>
      </c>
      <c r="I1348" s="20" t="s">
        <v>7094</v>
      </c>
      <c r="J1348" s="20" t="s">
        <v>3149</v>
      </c>
      <c r="K1348" s="20" t="s">
        <v>10014</v>
      </c>
      <c r="L1348" s="3">
        <v>31</v>
      </c>
      <c r="M1348" s="3" t="s">
        <v>7492</v>
      </c>
      <c r="N1348" s="3" t="str">
        <f>HYPERLINK("http://ictvonline.org/taxonomyHistory.asp?taxnode_id=20161149","ICTVonline=20161149")</f>
        <v>ICTVonline=20161149</v>
      </c>
    </row>
    <row r="1349" spans="1:14" x14ac:dyDescent="0.15">
      <c r="A1349" s="3">
        <v>1348</v>
      </c>
      <c r="B1349" s="1" t="s">
        <v>1027</v>
      </c>
      <c r="C1349" s="1" t="s">
        <v>1479</v>
      </c>
      <c r="E1349" s="1" t="s">
        <v>8869</v>
      </c>
      <c r="F1349" s="1" t="s">
        <v>8870</v>
      </c>
      <c r="G1349" s="3">
        <v>0</v>
      </c>
      <c r="H1349" s="20" t="s">
        <v>8871</v>
      </c>
      <c r="I1349" s="20" t="s">
        <v>8872</v>
      </c>
      <c r="J1349" s="20" t="s">
        <v>3149</v>
      </c>
      <c r="K1349" s="20" t="s">
        <v>10013</v>
      </c>
      <c r="L1349" s="3">
        <v>31</v>
      </c>
      <c r="M1349" s="3" t="s">
        <v>8873</v>
      </c>
      <c r="N1349" s="3" t="str">
        <f>HYPERLINK("http://ictvonline.org/taxonomyHistory.asp?taxnode_id=20165150","ICTVonline=20165150")</f>
        <v>ICTVonline=20165150</v>
      </c>
    </row>
    <row r="1350" spans="1:14" x14ac:dyDescent="0.15">
      <c r="A1350" s="3">
        <v>1349</v>
      </c>
      <c r="B1350" s="1" t="s">
        <v>1027</v>
      </c>
      <c r="C1350" s="1" t="s">
        <v>1479</v>
      </c>
      <c r="E1350" s="1" t="s">
        <v>8869</v>
      </c>
      <c r="F1350" s="1" t="s">
        <v>8874</v>
      </c>
      <c r="G1350" s="3">
        <v>0</v>
      </c>
      <c r="H1350" s="20" t="s">
        <v>8875</v>
      </c>
      <c r="I1350" s="20" t="s">
        <v>8876</v>
      </c>
      <c r="J1350" s="20" t="s">
        <v>3149</v>
      </c>
      <c r="K1350" s="20" t="s">
        <v>10013</v>
      </c>
      <c r="L1350" s="3">
        <v>31</v>
      </c>
      <c r="M1350" s="3" t="s">
        <v>8873</v>
      </c>
      <c r="N1350" s="3" t="str">
        <f>HYPERLINK("http://ictvonline.org/taxonomyHistory.asp?taxnode_id=20165151","ICTVonline=20165151")</f>
        <v>ICTVonline=20165151</v>
      </c>
    </row>
    <row r="1351" spans="1:14" x14ac:dyDescent="0.15">
      <c r="A1351" s="3">
        <v>1350</v>
      </c>
      <c r="B1351" s="1" t="s">
        <v>1027</v>
      </c>
      <c r="C1351" s="1" t="s">
        <v>1479</v>
      </c>
      <c r="E1351" s="1" t="s">
        <v>8869</v>
      </c>
      <c r="F1351" s="1" t="s">
        <v>8877</v>
      </c>
      <c r="G1351" s="3">
        <v>0</v>
      </c>
      <c r="H1351" s="20" t="s">
        <v>8878</v>
      </c>
      <c r="I1351" s="20" t="s">
        <v>8879</v>
      </c>
      <c r="J1351" s="20" t="s">
        <v>3149</v>
      </c>
      <c r="K1351" s="20" t="s">
        <v>10013</v>
      </c>
      <c r="L1351" s="3">
        <v>31</v>
      </c>
      <c r="M1351" s="3" t="s">
        <v>8873</v>
      </c>
      <c r="N1351" s="3" t="str">
        <f>HYPERLINK("http://ictvonline.org/taxonomyHistory.asp?taxnode_id=20165152","ICTVonline=20165152")</f>
        <v>ICTVonline=20165152</v>
      </c>
    </row>
    <row r="1352" spans="1:14" x14ac:dyDescent="0.15">
      <c r="A1352" s="3">
        <v>1351</v>
      </c>
      <c r="B1352" s="1" t="s">
        <v>1027</v>
      </c>
      <c r="C1352" s="1" t="s">
        <v>1479</v>
      </c>
      <c r="E1352" s="1" t="s">
        <v>8869</v>
      </c>
      <c r="F1352" s="1" t="s">
        <v>8880</v>
      </c>
      <c r="G1352" s="3">
        <v>0</v>
      </c>
      <c r="H1352" s="20" t="s">
        <v>8881</v>
      </c>
      <c r="I1352" s="20" t="s">
        <v>8882</v>
      </c>
      <c r="J1352" s="20" t="s">
        <v>3149</v>
      </c>
      <c r="K1352" s="20" t="s">
        <v>10013</v>
      </c>
      <c r="L1352" s="3">
        <v>31</v>
      </c>
      <c r="M1352" s="3" t="s">
        <v>8873</v>
      </c>
      <c r="N1352" s="3" t="str">
        <f>HYPERLINK("http://ictvonline.org/taxonomyHistory.asp?taxnode_id=20165153","ICTVonline=20165153")</f>
        <v>ICTVonline=20165153</v>
      </c>
    </row>
    <row r="1353" spans="1:14" x14ac:dyDescent="0.15">
      <c r="A1353" s="3">
        <v>1352</v>
      </c>
      <c r="B1353" s="1" t="s">
        <v>1027</v>
      </c>
      <c r="C1353" s="1" t="s">
        <v>1479</v>
      </c>
      <c r="E1353" s="1" t="s">
        <v>8869</v>
      </c>
      <c r="F1353" s="1" t="s">
        <v>8883</v>
      </c>
      <c r="G1353" s="3">
        <v>0</v>
      </c>
      <c r="H1353" s="20" t="s">
        <v>8884</v>
      </c>
      <c r="I1353" s="20" t="s">
        <v>8885</v>
      </c>
      <c r="J1353" s="20" t="s">
        <v>3149</v>
      </c>
      <c r="K1353" s="20" t="s">
        <v>10013</v>
      </c>
      <c r="L1353" s="3">
        <v>31</v>
      </c>
      <c r="M1353" s="3" t="s">
        <v>8873</v>
      </c>
      <c r="N1353" s="3" t="str">
        <f>HYPERLINK("http://ictvonline.org/taxonomyHistory.asp?taxnode_id=20165154","ICTVonline=20165154")</f>
        <v>ICTVonline=20165154</v>
      </c>
    </row>
    <row r="1354" spans="1:14" x14ac:dyDescent="0.15">
      <c r="A1354" s="3">
        <v>1353</v>
      </c>
      <c r="B1354" s="1" t="s">
        <v>1027</v>
      </c>
      <c r="C1354" s="1" t="s">
        <v>1479</v>
      </c>
      <c r="E1354" s="1" t="s">
        <v>8869</v>
      </c>
      <c r="F1354" s="1" t="s">
        <v>8886</v>
      </c>
      <c r="G1354" s="3">
        <v>0</v>
      </c>
      <c r="H1354" s="20" t="s">
        <v>8887</v>
      </c>
      <c r="I1354" s="20" t="s">
        <v>8888</v>
      </c>
      <c r="J1354" s="20" t="s">
        <v>3149</v>
      </c>
      <c r="K1354" s="20" t="s">
        <v>10013</v>
      </c>
      <c r="L1354" s="3">
        <v>31</v>
      </c>
      <c r="M1354" s="3" t="s">
        <v>8873</v>
      </c>
      <c r="N1354" s="3" t="str">
        <f>HYPERLINK("http://ictvonline.org/taxonomyHistory.asp?taxnode_id=20165155","ICTVonline=20165155")</f>
        <v>ICTVonline=20165155</v>
      </c>
    </row>
    <row r="1355" spans="1:14" x14ac:dyDescent="0.15">
      <c r="A1355" s="3">
        <v>1354</v>
      </c>
      <c r="B1355" s="1" t="s">
        <v>1027</v>
      </c>
      <c r="C1355" s="1" t="s">
        <v>1479</v>
      </c>
      <c r="E1355" s="1" t="s">
        <v>8869</v>
      </c>
      <c r="F1355" s="1" t="s">
        <v>8889</v>
      </c>
      <c r="G1355" s="3">
        <v>0</v>
      </c>
      <c r="H1355" s="20" t="s">
        <v>8890</v>
      </c>
      <c r="I1355" s="20" t="s">
        <v>8891</v>
      </c>
      <c r="J1355" s="20" t="s">
        <v>3149</v>
      </c>
      <c r="K1355" s="20" t="s">
        <v>10013</v>
      </c>
      <c r="L1355" s="3">
        <v>31</v>
      </c>
      <c r="M1355" s="3" t="s">
        <v>8873</v>
      </c>
      <c r="N1355" s="3" t="str">
        <f>HYPERLINK("http://ictvonline.org/taxonomyHistory.asp?taxnode_id=20165156","ICTVonline=20165156")</f>
        <v>ICTVonline=20165156</v>
      </c>
    </row>
    <row r="1356" spans="1:14" x14ac:dyDescent="0.15">
      <c r="A1356" s="3">
        <v>1355</v>
      </c>
      <c r="B1356" s="1" t="s">
        <v>1027</v>
      </c>
      <c r="C1356" s="1" t="s">
        <v>1479</v>
      </c>
      <c r="E1356" s="1" t="s">
        <v>8869</v>
      </c>
      <c r="F1356" s="1" t="s">
        <v>8892</v>
      </c>
      <c r="G1356" s="3">
        <v>1</v>
      </c>
      <c r="H1356" s="20" t="s">
        <v>8893</v>
      </c>
      <c r="I1356" s="20" t="s">
        <v>8894</v>
      </c>
      <c r="J1356" s="20" t="s">
        <v>3149</v>
      </c>
      <c r="K1356" s="20" t="s">
        <v>10013</v>
      </c>
      <c r="L1356" s="3">
        <v>31</v>
      </c>
      <c r="M1356" s="3" t="s">
        <v>8873</v>
      </c>
      <c r="N1356" s="3" t="str">
        <f>HYPERLINK("http://ictvonline.org/taxonomyHistory.asp?taxnode_id=20165157","ICTVonline=20165157")</f>
        <v>ICTVonline=20165157</v>
      </c>
    </row>
    <row r="1357" spans="1:14" x14ac:dyDescent="0.15">
      <c r="A1357" s="3">
        <v>1356</v>
      </c>
      <c r="B1357" s="1" t="s">
        <v>1027</v>
      </c>
      <c r="C1357" s="1" t="s">
        <v>1479</v>
      </c>
      <c r="E1357" s="1" t="s">
        <v>8869</v>
      </c>
      <c r="F1357" s="1" t="s">
        <v>8895</v>
      </c>
      <c r="G1357" s="3">
        <v>0</v>
      </c>
      <c r="H1357" s="20" t="s">
        <v>8896</v>
      </c>
      <c r="I1357" s="20" t="s">
        <v>8897</v>
      </c>
      <c r="J1357" s="20" t="s">
        <v>3149</v>
      </c>
      <c r="K1357" s="20" t="s">
        <v>10013</v>
      </c>
      <c r="L1357" s="3">
        <v>31</v>
      </c>
      <c r="M1357" s="3" t="s">
        <v>8873</v>
      </c>
      <c r="N1357" s="3" t="str">
        <f>HYPERLINK("http://ictvonline.org/taxonomyHistory.asp?taxnode_id=20165158","ICTVonline=20165158")</f>
        <v>ICTVonline=20165158</v>
      </c>
    </row>
    <row r="1358" spans="1:14" x14ac:dyDescent="0.15">
      <c r="A1358" s="3">
        <v>1357</v>
      </c>
      <c r="B1358" s="1" t="s">
        <v>1027</v>
      </c>
      <c r="C1358" s="1" t="s">
        <v>1479</v>
      </c>
      <c r="E1358" s="1" t="s">
        <v>8869</v>
      </c>
      <c r="F1358" s="1" t="s">
        <v>8898</v>
      </c>
      <c r="G1358" s="3">
        <v>0</v>
      </c>
      <c r="H1358" s="20" t="s">
        <v>8899</v>
      </c>
      <c r="I1358" s="20" t="s">
        <v>8900</v>
      </c>
      <c r="J1358" s="20" t="s">
        <v>3149</v>
      </c>
      <c r="K1358" s="20" t="s">
        <v>10013</v>
      </c>
      <c r="L1358" s="3">
        <v>31</v>
      </c>
      <c r="M1358" s="3" t="s">
        <v>8873</v>
      </c>
      <c r="N1358" s="3" t="str">
        <f>HYPERLINK("http://ictvonline.org/taxonomyHistory.asp?taxnode_id=20165159","ICTVonline=20165159")</f>
        <v>ICTVonline=20165159</v>
      </c>
    </row>
    <row r="1359" spans="1:14" x14ac:dyDescent="0.15">
      <c r="A1359" s="3">
        <v>1358</v>
      </c>
      <c r="B1359" s="1" t="s">
        <v>1027</v>
      </c>
      <c r="C1359" s="1" t="s">
        <v>1479</v>
      </c>
      <c r="E1359" s="1" t="s">
        <v>8869</v>
      </c>
      <c r="F1359" s="1" t="s">
        <v>8901</v>
      </c>
      <c r="G1359" s="3">
        <v>0</v>
      </c>
      <c r="H1359" s="20" t="s">
        <v>8902</v>
      </c>
      <c r="I1359" s="20" t="s">
        <v>8903</v>
      </c>
      <c r="J1359" s="20" t="s">
        <v>3149</v>
      </c>
      <c r="K1359" s="20" t="s">
        <v>10013</v>
      </c>
      <c r="L1359" s="3">
        <v>31</v>
      </c>
      <c r="M1359" s="3" t="s">
        <v>8873</v>
      </c>
      <c r="N1359" s="3" t="str">
        <f>HYPERLINK("http://ictvonline.org/taxonomyHistory.asp?taxnode_id=20165160","ICTVonline=20165160")</f>
        <v>ICTVonline=20165160</v>
      </c>
    </row>
    <row r="1360" spans="1:14" x14ac:dyDescent="0.15">
      <c r="A1360" s="3">
        <v>1359</v>
      </c>
      <c r="B1360" s="1" t="s">
        <v>1027</v>
      </c>
      <c r="C1360" s="1" t="s">
        <v>1479</v>
      </c>
      <c r="E1360" s="1" t="s">
        <v>8869</v>
      </c>
      <c r="F1360" s="1" t="s">
        <v>8904</v>
      </c>
      <c r="G1360" s="3">
        <v>0</v>
      </c>
      <c r="H1360" s="20" t="s">
        <v>8905</v>
      </c>
      <c r="I1360" s="20" t="s">
        <v>8906</v>
      </c>
      <c r="J1360" s="20" t="s">
        <v>3149</v>
      </c>
      <c r="K1360" s="20" t="s">
        <v>10013</v>
      </c>
      <c r="L1360" s="3">
        <v>31</v>
      </c>
      <c r="M1360" s="3" t="s">
        <v>8873</v>
      </c>
      <c r="N1360" s="3" t="str">
        <f>HYPERLINK("http://ictvonline.org/taxonomyHistory.asp?taxnode_id=20165161","ICTVonline=20165161")</f>
        <v>ICTVonline=20165161</v>
      </c>
    </row>
    <row r="1361" spans="1:14" x14ac:dyDescent="0.15">
      <c r="A1361" s="3">
        <v>1360</v>
      </c>
      <c r="B1361" s="1" t="s">
        <v>1027</v>
      </c>
      <c r="C1361" s="1" t="s">
        <v>1479</v>
      </c>
      <c r="E1361" s="1" t="s">
        <v>8869</v>
      </c>
      <c r="F1361" s="1" t="s">
        <v>8907</v>
      </c>
      <c r="G1361" s="3">
        <v>0</v>
      </c>
      <c r="H1361" s="20" t="s">
        <v>8908</v>
      </c>
      <c r="I1361" s="20" t="s">
        <v>8909</v>
      </c>
      <c r="J1361" s="20" t="s">
        <v>3149</v>
      </c>
      <c r="K1361" s="20" t="s">
        <v>10013</v>
      </c>
      <c r="L1361" s="3">
        <v>31</v>
      </c>
      <c r="M1361" s="3" t="s">
        <v>8873</v>
      </c>
      <c r="N1361" s="3" t="str">
        <f>HYPERLINK("http://ictvonline.org/taxonomyHistory.asp?taxnode_id=20165162","ICTVonline=20165162")</f>
        <v>ICTVonline=20165162</v>
      </c>
    </row>
    <row r="1362" spans="1:14" x14ac:dyDescent="0.15">
      <c r="A1362" s="3">
        <v>1361</v>
      </c>
      <c r="B1362" s="1" t="s">
        <v>1027</v>
      </c>
      <c r="C1362" s="1" t="s">
        <v>1479</v>
      </c>
      <c r="E1362" s="1" t="s">
        <v>8869</v>
      </c>
      <c r="F1362" s="1" t="s">
        <v>8910</v>
      </c>
      <c r="G1362" s="3">
        <v>0</v>
      </c>
      <c r="H1362" s="20" t="s">
        <v>8911</v>
      </c>
      <c r="I1362" s="20" t="s">
        <v>8912</v>
      </c>
      <c r="J1362" s="20" t="s">
        <v>3149</v>
      </c>
      <c r="K1362" s="20" t="s">
        <v>10013</v>
      </c>
      <c r="L1362" s="3">
        <v>31</v>
      </c>
      <c r="M1362" s="3" t="s">
        <v>8873</v>
      </c>
      <c r="N1362" s="3" t="str">
        <f>HYPERLINK("http://ictvonline.org/taxonomyHistory.asp?taxnode_id=20165163","ICTVonline=20165163")</f>
        <v>ICTVonline=20165163</v>
      </c>
    </row>
    <row r="1363" spans="1:14" x14ac:dyDescent="0.15">
      <c r="A1363" s="3">
        <v>1362</v>
      </c>
      <c r="B1363" s="1" t="s">
        <v>1027</v>
      </c>
      <c r="C1363" s="1" t="s">
        <v>1479</v>
      </c>
      <c r="E1363" s="1" t="s">
        <v>1418</v>
      </c>
      <c r="F1363" s="1" t="s">
        <v>4405</v>
      </c>
      <c r="G1363" s="3">
        <v>0</v>
      </c>
      <c r="H1363" s="20" t="s">
        <v>6722</v>
      </c>
      <c r="I1363" s="20" t="s">
        <v>4406</v>
      </c>
      <c r="J1363" s="20" t="s">
        <v>3149</v>
      </c>
      <c r="K1363" s="20" t="s">
        <v>10021</v>
      </c>
      <c r="L1363" s="3">
        <v>30</v>
      </c>
      <c r="M1363" s="3" t="s">
        <v>10099</v>
      </c>
      <c r="N1363" s="3" t="str">
        <f>HYPERLINK("http://ictvonline.org/taxonomyHistory.asp?taxnode_id=20161094","ICTVonline=20161094")</f>
        <v>ICTVonline=20161094</v>
      </c>
    </row>
    <row r="1364" spans="1:14" x14ac:dyDescent="0.15">
      <c r="A1364" s="3">
        <v>1363</v>
      </c>
      <c r="B1364" s="1" t="s">
        <v>1027</v>
      </c>
      <c r="C1364" s="1" t="s">
        <v>1479</v>
      </c>
      <c r="E1364" s="1" t="s">
        <v>1418</v>
      </c>
      <c r="F1364" s="1" t="s">
        <v>1419</v>
      </c>
      <c r="G1364" s="3">
        <v>0</v>
      </c>
      <c r="H1364" s="20" t="s">
        <v>7080</v>
      </c>
      <c r="I1364" s="20" t="s">
        <v>7081</v>
      </c>
      <c r="J1364" s="20" t="s">
        <v>3149</v>
      </c>
      <c r="K1364" s="20" t="s">
        <v>10013</v>
      </c>
      <c r="L1364" s="3">
        <v>18</v>
      </c>
      <c r="M1364" s="3" t="s">
        <v>10101</v>
      </c>
      <c r="N1364" s="3" t="str">
        <f>HYPERLINK("http://ictvonline.org/taxonomyHistory.asp?taxnode_id=20161095","ICTVonline=20161095")</f>
        <v>ICTVonline=20161095</v>
      </c>
    </row>
    <row r="1365" spans="1:14" x14ac:dyDescent="0.15">
      <c r="A1365" s="3">
        <v>1364</v>
      </c>
      <c r="B1365" s="1" t="s">
        <v>1027</v>
      </c>
      <c r="C1365" s="1" t="s">
        <v>1479</v>
      </c>
      <c r="E1365" s="1" t="s">
        <v>1418</v>
      </c>
      <c r="F1365" s="1" t="s">
        <v>2387</v>
      </c>
      <c r="G1365" s="3">
        <v>0</v>
      </c>
      <c r="H1365" s="20" t="s">
        <v>7082</v>
      </c>
      <c r="I1365" s="20" t="s">
        <v>7083</v>
      </c>
      <c r="J1365" s="20" t="s">
        <v>3149</v>
      </c>
      <c r="K1365" s="20" t="s">
        <v>10013</v>
      </c>
      <c r="L1365" s="3">
        <v>28</v>
      </c>
      <c r="M1365" s="3" t="s">
        <v>10102</v>
      </c>
      <c r="N1365" s="3" t="str">
        <f>HYPERLINK("http://ictvonline.org/taxonomyHistory.asp?taxnode_id=20161096","ICTVonline=20161096")</f>
        <v>ICTVonline=20161096</v>
      </c>
    </row>
    <row r="1366" spans="1:14" x14ac:dyDescent="0.15">
      <c r="A1366" s="3">
        <v>1365</v>
      </c>
      <c r="B1366" s="1" t="s">
        <v>1027</v>
      </c>
      <c r="C1366" s="1" t="s">
        <v>1479</v>
      </c>
      <c r="E1366" s="1" t="s">
        <v>1418</v>
      </c>
      <c r="F1366" s="1" t="s">
        <v>4407</v>
      </c>
      <c r="G1366" s="3">
        <v>0</v>
      </c>
      <c r="H1366" s="20" t="s">
        <v>6723</v>
      </c>
      <c r="I1366" s="20" t="s">
        <v>4408</v>
      </c>
      <c r="J1366" s="20" t="s">
        <v>3149</v>
      </c>
      <c r="K1366" s="20" t="s">
        <v>10021</v>
      </c>
      <c r="L1366" s="3">
        <v>30</v>
      </c>
      <c r="M1366" s="3" t="s">
        <v>10099</v>
      </c>
      <c r="N1366" s="3" t="str">
        <f>HYPERLINK("http://ictvonline.org/taxonomyHistory.asp?taxnode_id=20161097","ICTVonline=20161097")</f>
        <v>ICTVonline=20161097</v>
      </c>
    </row>
    <row r="1367" spans="1:14" x14ac:dyDescent="0.15">
      <c r="A1367" s="3">
        <v>1366</v>
      </c>
      <c r="B1367" s="1" t="s">
        <v>1027</v>
      </c>
      <c r="C1367" s="1" t="s">
        <v>1479</v>
      </c>
      <c r="E1367" s="1" t="s">
        <v>1418</v>
      </c>
      <c r="F1367" s="1" t="s">
        <v>4409</v>
      </c>
      <c r="G1367" s="3">
        <v>0</v>
      </c>
      <c r="H1367" s="20" t="s">
        <v>6724</v>
      </c>
      <c r="I1367" s="20" t="s">
        <v>6725</v>
      </c>
      <c r="J1367" s="20" t="s">
        <v>3149</v>
      </c>
      <c r="K1367" s="20" t="s">
        <v>10021</v>
      </c>
      <c r="L1367" s="3">
        <v>30</v>
      </c>
      <c r="M1367" s="3" t="s">
        <v>10099</v>
      </c>
      <c r="N1367" s="3" t="str">
        <f>HYPERLINK("http://ictvonline.org/taxonomyHistory.asp?taxnode_id=20161098","ICTVonline=20161098")</f>
        <v>ICTVonline=20161098</v>
      </c>
    </row>
    <row r="1368" spans="1:14" x14ac:dyDescent="0.15">
      <c r="A1368" s="3">
        <v>1367</v>
      </c>
      <c r="B1368" s="1" t="s">
        <v>1027</v>
      </c>
      <c r="C1368" s="1" t="s">
        <v>1479</v>
      </c>
      <c r="E1368" s="1" t="s">
        <v>1418</v>
      </c>
      <c r="F1368" s="1" t="s">
        <v>4410</v>
      </c>
      <c r="G1368" s="3">
        <v>0</v>
      </c>
      <c r="H1368" s="20" t="s">
        <v>6726</v>
      </c>
      <c r="I1368" s="20" t="s">
        <v>6727</v>
      </c>
      <c r="J1368" s="20" t="s">
        <v>3149</v>
      </c>
      <c r="K1368" s="20" t="s">
        <v>10021</v>
      </c>
      <c r="L1368" s="3">
        <v>30</v>
      </c>
      <c r="M1368" s="3" t="s">
        <v>10099</v>
      </c>
      <c r="N1368" s="3" t="str">
        <f>HYPERLINK("http://ictvonline.org/taxonomyHistory.asp?taxnode_id=20161099","ICTVonline=20161099")</f>
        <v>ICTVonline=20161099</v>
      </c>
    </row>
    <row r="1369" spans="1:14" x14ac:dyDescent="0.15">
      <c r="A1369" s="3">
        <v>1368</v>
      </c>
      <c r="B1369" s="1" t="s">
        <v>1027</v>
      </c>
      <c r="C1369" s="1" t="s">
        <v>1479</v>
      </c>
      <c r="E1369" s="1" t="s">
        <v>1418</v>
      </c>
      <c r="F1369" s="1" t="s">
        <v>2388</v>
      </c>
      <c r="G1369" s="3">
        <v>0</v>
      </c>
      <c r="H1369" s="20" t="s">
        <v>7084</v>
      </c>
      <c r="I1369" s="20" t="s">
        <v>7085</v>
      </c>
      <c r="J1369" s="20" t="s">
        <v>3149</v>
      </c>
      <c r="K1369" s="20" t="s">
        <v>10013</v>
      </c>
      <c r="L1369" s="3">
        <v>28</v>
      </c>
      <c r="M1369" s="3" t="s">
        <v>10103</v>
      </c>
      <c r="N1369" s="3" t="str">
        <f>HYPERLINK("http://ictvonline.org/taxonomyHistory.asp?taxnode_id=20161100","ICTVonline=20161100")</f>
        <v>ICTVonline=20161100</v>
      </c>
    </row>
    <row r="1370" spans="1:14" x14ac:dyDescent="0.15">
      <c r="A1370" s="3">
        <v>1369</v>
      </c>
      <c r="B1370" s="1" t="s">
        <v>1027</v>
      </c>
      <c r="C1370" s="1" t="s">
        <v>1479</v>
      </c>
      <c r="E1370" s="1" t="s">
        <v>1418</v>
      </c>
      <c r="F1370" s="1" t="s">
        <v>4411</v>
      </c>
      <c r="G1370" s="3">
        <v>0</v>
      </c>
      <c r="H1370" s="20" t="s">
        <v>6728</v>
      </c>
      <c r="I1370" s="20" t="s">
        <v>4412</v>
      </c>
      <c r="J1370" s="20" t="s">
        <v>3149</v>
      </c>
      <c r="K1370" s="20" t="s">
        <v>10021</v>
      </c>
      <c r="L1370" s="3">
        <v>30</v>
      </c>
      <c r="M1370" s="3" t="s">
        <v>10099</v>
      </c>
      <c r="N1370" s="3" t="str">
        <f>HYPERLINK("http://ictvonline.org/taxonomyHistory.asp?taxnode_id=20161101","ICTVonline=20161101")</f>
        <v>ICTVonline=20161101</v>
      </c>
    </row>
    <row r="1371" spans="1:14" x14ac:dyDescent="0.15">
      <c r="A1371" s="3">
        <v>1370</v>
      </c>
      <c r="B1371" s="1" t="s">
        <v>1027</v>
      </c>
      <c r="C1371" s="1" t="s">
        <v>1479</v>
      </c>
      <c r="E1371" s="1" t="s">
        <v>1418</v>
      </c>
      <c r="F1371" s="1" t="s">
        <v>4413</v>
      </c>
      <c r="G1371" s="3">
        <v>0</v>
      </c>
      <c r="H1371" s="20" t="s">
        <v>6729</v>
      </c>
      <c r="I1371" s="20" t="s">
        <v>4414</v>
      </c>
      <c r="J1371" s="20" t="s">
        <v>3149</v>
      </c>
      <c r="K1371" s="20" t="s">
        <v>10021</v>
      </c>
      <c r="L1371" s="3">
        <v>30</v>
      </c>
      <c r="M1371" s="3" t="s">
        <v>10099</v>
      </c>
      <c r="N1371" s="3" t="str">
        <f>HYPERLINK("http://ictvonline.org/taxonomyHistory.asp?taxnode_id=20161102","ICTVonline=20161102")</f>
        <v>ICTVonline=20161102</v>
      </c>
    </row>
    <row r="1372" spans="1:14" x14ac:dyDescent="0.15">
      <c r="A1372" s="3">
        <v>1371</v>
      </c>
      <c r="B1372" s="1" t="s">
        <v>1027</v>
      </c>
      <c r="C1372" s="1" t="s">
        <v>1479</v>
      </c>
      <c r="E1372" s="1" t="s">
        <v>1418</v>
      </c>
      <c r="F1372" s="1" t="s">
        <v>4415</v>
      </c>
      <c r="G1372" s="3">
        <v>0</v>
      </c>
      <c r="H1372" s="20" t="s">
        <v>6730</v>
      </c>
      <c r="I1372" s="20" t="s">
        <v>4416</v>
      </c>
      <c r="J1372" s="20" t="s">
        <v>3149</v>
      </c>
      <c r="K1372" s="20" t="s">
        <v>10021</v>
      </c>
      <c r="L1372" s="3">
        <v>30</v>
      </c>
      <c r="M1372" s="3" t="s">
        <v>10099</v>
      </c>
      <c r="N1372" s="3" t="str">
        <f>HYPERLINK("http://ictvonline.org/taxonomyHistory.asp?taxnode_id=20161103","ICTVonline=20161103")</f>
        <v>ICTVonline=20161103</v>
      </c>
    </row>
    <row r="1373" spans="1:14" x14ac:dyDescent="0.15">
      <c r="A1373" s="3">
        <v>1372</v>
      </c>
      <c r="B1373" s="1" t="s">
        <v>1027</v>
      </c>
      <c r="C1373" s="1" t="s">
        <v>1479</v>
      </c>
      <c r="E1373" s="1" t="s">
        <v>1418</v>
      </c>
      <c r="F1373" s="1" t="s">
        <v>4417</v>
      </c>
      <c r="G1373" s="3">
        <v>0</v>
      </c>
      <c r="H1373" s="20" t="s">
        <v>6731</v>
      </c>
      <c r="I1373" s="20" t="s">
        <v>4418</v>
      </c>
      <c r="J1373" s="20" t="s">
        <v>3149</v>
      </c>
      <c r="K1373" s="20" t="s">
        <v>10021</v>
      </c>
      <c r="L1373" s="3">
        <v>30</v>
      </c>
      <c r="M1373" s="3" t="s">
        <v>10099</v>
      </c>
      <c r="N1373" s="3" t="str">
        <f>HYPERLINK("http://ictvonline.org/taxonomyHistory.asp?taxnode_id=20161104","ICTVonline=20161104")</f>
        <v>ICTVonline=20161104</v>
      </c>
    </row>
    <row r="1374" spans="1:14" x14ac:dyDescent="0.15">
      <c r="A1374" s="3">
        <v>1373</v>
      </c>
      <c r="B1374" s="1" t="s">
        <v>1027</v>
      </c>
      <c r="C1374" s="1" t="s">
        <v>1479</v>
      </c>
      <c r="E1374" s="1" t="s">
        <v>1418</v>
      </c>
      <c r="F1374" s="1" t="s">
        <v>4419</v>
      </c>
      <c r="G1374" s="3">
        <v>1</v>
      </c>
      <c r="H1374" s="20" t="s">
        <v>6732</v>
      </c>
      <c r="I1374" s="20" t="s">
        <v>4420</v>
      </c>
      <c r="J1374" s="20" t="s">
        <v>3149</v>
      </c>
      <c r="K1374" s="20" t="s">
        <v>10021</v>
      </c>
      <c r="L1374" s="3">
        <v>30</v>
      </c>
      <c r="M1374" s="3" t="s">
        <v>10099</v>
      </c>
      <c r="N1374" s="3" t="str">
        <f>HYPERLINK("http://ictvonline.org/taxonomyHistory.asp?taxnode_id=20161105","ICTVonline=20161105")</f>
        <v>ICTVonline=20161105</v>
      </c>
    </row>
    <row r="1375" spans="1:14" x14ac:dyDescent="0.15">
      <c r="A1375" s="3">
        <v>1374</v>
      </c>
      <c r="B1375" s="1" t="s">
        <v>1027</v>
      </c>
      <c r="C1375" s="1" t="s">
        <v>1479</v>
      </c>
      <c r="E1375" s="1" t="s">
        <v>1418</v>
      </c>
      <c r="F1375" s="1" t="s">
        <v>4421</v>
      </c>
      <c r="G1375" s="3">
        <v>0</v>
      </c>
      <c r="H1375" s="20" t="s">
        <v>6733</v>
      </c>
      <c r="I1375" s="20" t="s">
        <v>4422</v>
      </c>
      <c r="J1375" s="20" t="s">
        <v>3149</v>
      </c>
      <c r="K1375" s="20" t="s">
        <v>10021</v>
      </c>
      <c r="L1375" s="3">
        <v>30</v>
      </c>
      <c r="M1375" s="3" t="s">
        <v>10099</v>
      </c>
      <c r="N1375" s="3" t="str">
        <f>HYPERLINK("http://ictvonline.org/taxonomyHistory.asp?taxnode_id=20161106","ICTVonline=20161106")</f>
        <v>ICTVonline=20161106</v>
      </c>
    </row>
    <row r="1376" spans="1:14" x14ac:dyDescent="0.15">
      <c r="A1376" s="3">
        <v>1375</v>
      </c>
      <c r="B1376" s="1" t="s">
        <v>1027</v>
      </c>
      <c r="C1376" s="1" t="s">
        <v>1479</v>
      </c>
      <c r="E1376" s="1" t="s">
        <v>1418</v>
      </c>
      <c r="F1376" s="1" t="s">
        <v>4423</v>
      </c>
      <c r="G1376" s="3">
        <v>0</v>
      </c>
      <c r="H1376" s="20" t="s">
        <v>6734</v>
      </c>
      <c r="I1376" s="20" t="s">
        <v>4424</v>
      </c>
      <c r="J1376" s="20" t="s">
        <v>3149</v>
      </c>
      <c r="K1376" s="20" t="s">
        <v>10021</v>
      </c>
      <c r="L1376" s="3">
        <v>30</v>
      </c>
      <c r="M1376" s="3" t="s">
        <v>10099</v>
      </c>
      <c r="N1376" s="3" t="str">
        <f>HYPERLINK("http://ictvonline.org/taxonomyHistory.asp?taxnode_id=20161107","ICTVonline=20161107")</f>
        <v>ICTVonline=20161107</v>
      </c>
    </row>
    <row r="1377" spans="1:14" x14ac:dyDescent="0.15">
      <c r="A1377" s="3">
        <v>1376</v>
      </c>
      <c r="B1377" s="1" t="s">
        <v>1027</v>
      </c>
      <c r="C1377" s="1" t="s">
        <v>1479</v>
      </c>
      <c r="E1377" s="1" t="s">
        <v>1152</v>
      </c>
      <c r="F1377" s="1" t="s">
        <v>4425</v>
      </c>
      <c r="G1377" s="3">
        <v>0</v>
      </c>
      <c r="H1377" s="20" t="s">
        <v>6735</v>
      </c>
      <c r="I1377" s="20" t="s">
        <v>4426</v>
      </c>
      <c r="J1377" s="20" t="s">
        <v>3149</v>
      </c>
      <c r="K1377" s="20" t="s">
        <v>10021</v>
      </c>
      <c r="L1377" s="3">
        <v>30</v>
      </c>
      <c r="M1377" s="3" t="s">
        <v>10099</v>
      </c>
      <c r="N1377" s="3" t="str">
        <f>HYPERLINK("http://ictvonline.org/taxonomyHistory.asp?taxnode_id=20161109","ICTVonline=20161109")</f>
        <v>ICTVonline=20161109</v>
      </c>
    </row>
    <row r="1378" spans="1:14" x14ac:dyDescent="0.15">
      <c r="A1378" s="3">
        <v>1377</v>
      </c>
      <c r="B1378" s="1" t="s">
        <v>1027</v>
      </c>
      <c r="C1378" s="1" t="s">
        <v>1479</v>
      </c>
      <c r="E1378" s="1" t="s">
        <v>1152</v>
      </c>
      <c r="F1378" s="1" t="s">
        <v>10513</v>
      </c>
      <c r="G1378" s="3">
        <v>0</v>
      </c>
      <c r="H1378" s="20" t="s">
        <v>6737</v>
      </c>
      <c r="I1378" s="20" t="s">
        <v>4428</v>
      </c>
      <c r="J1378" s="20" t="s">
        <v>3149</v>
      </c>
      <c r="K1378" s="20" t="s">
        <v>10021</v>
      </c>
      <c r="L1378" s="3">
        <v>31</v>
      </c>
      <c r="M1378" s="3" t="s">
        <v>10514</v>
      </c>
      <c r="N1378" s="3" t="str">
        <f>HYPERLINK("http://ictvonline.org/taxonomyHistory.asp?taxnode_id=20161111","ICTVonline=20161111")</f>
        <v>ICTVonline=20161111</v>
      </c>
    </row>
    <row r="1379" spans="1:14" x14ac:dyDescent="0.15">
      <c r="A1379" s="3">
        <v>1378</v>
      </c>
      <c r="B1379" s="1" t="s">
        <v>1027</v>
      </c>
      <c r="C1379" s="1" t="s">
        <v>1479</v>
      </c>
      <c r="E1379" s="1" t="s">
        <v>1152</v>
      </c>
      <c r="F1379" s="1" t="s">
        <v>10515</v>
      </c>
      <c r="G1379" s="3">
        <v>1</v>
      </c>
      <c r="H1379" s="20" t="s">
        <v>6736</v>
      </c>
      <c r="I1379" s="20" t="s">
        <v>4427</v>
      </c>
      <c r="J1379" s="20" t="s">
        <v>3149</v>
      </c>
      <c r="K1379" s="20" t="s">
        <v>10021</v>
      </c>
      <c r="L1379" s="3">
        <v>31</v>
      </c>
      <c r="M1379" s="3" t="s">
        <v>10514</v>
      </c>
      <c r="N1379" s="3" t="str">
        <f>HYPERLINK("http://ictvonline.org/taxonomyHistory.asp?taxnode_id=20161110","ICTVonline=20161110")</f>
        <v>ICTVonline=20161110</v>
      </c>
    </row>
    <row r="1380" spans="1:14" x14ac:dyDescent="0.15">
      <c r="A1380" s="3">
        <v>1379</v>
      </c>
      <c r="B1380" s="1" t="s">
        <v>1027</v>
      </c>
      <c r="C1380" s="1" t="s">
        <v>1479</v>
      </c>
      <c r="E1380" s="1" t="s">
        <v>1152</v>
      </c>
      <c r="F1380" s="1" t="s">
        <v>4429</v>
      </c>
      <c r="G1380" s="3">
        <v>0</v>
      </c>
      <c r="H1380" s="20" t="s">
        <v>6738</v>
      </c>
      <c r="I1380" s="20" t="s">
        <v>4430</v>
      </c>
      <c r="J1380" s="20" t="s">
        <v>3149</v>
      </c>
      <c r="K1380" s="20" t="s">
        <v>10021</v>
      </c>
      <c r="L1380" s="3">
        <v>30</v>
      </c>
      <c r="M1380" s="3" t="s">
        <v>10099</v>
      </c>
      <c r="N1380" s="3" t="str">
        <f>HYPERLINK("http://ictvonline.org/taxonomyHistory.asp?taxnode_id=20161112","ICTVonline=20161112")</f>
        <v>ICTVonline=20161112</v>
      </c>
    </row>
    <row r="1381" spans="1:14" x14ac:dyDescent="0.15">
      <c r="A1381" s="3">
        <v>1380</v>
      </c>
      <c r="B1381" s="1" t="s">
        <v>1027</v>
      </c>
      <c r="C1381" s="1" t="s">
        <v>1479</v>
      </c>
      <c r="E1381" s="1" t="s">
        <v>1478</v>
      </c>
      <c r="F1381" s="1" t="s">
        <v>4431</v>
      </c>
      <c r="G1381" s="3">
        <v>0</v>
      </c>
      <c r="H1381" s="20" t="s">
        <v>6739</v>
      </c>
      <c r="I1381" s="20" t="s">
        <v>4432</v>
      </c>
      <c r="J1381" s="20" t="s">
        <v>3149</v>
      </c>
      <c r="K1381" s="20" t="s">
        <v>10021</v>
      </c>
      <c r="L1381" s="3">
        <v>30</v>
      </c>
      <c r="M1381" s="3" t="s">
        <v>10099</v>
      </c>
      <c r="N1381" s="3" t="str">
        <f>HYPERLINK("http://ictvonline.org/taxonomyHistory.asp?taxnode_id=20161114","ICTVonline=20161114")</f>
        <v>ICTVonline=20161114</v>
      </c>
    </row>
    <row r="1382" spans="1:14" x14ac:dyDescent="0.15">
      <c r="A1382" s="3">
        <v>1381</v>
      </c>
      <c r="B1382" s="1" t="s">
        <v>1027</v>
      </c>
      <c r="C1382" s="1" t="s">
        <v>1479</v>
      </c>
      <c r="E1382" s="1" t="s">
        <v>1478</v>
      </c>
      <c r="F1382" s="1" t="s">
        <v>4433</v>
      </c>
      <c r="G1382" s="3">
        <v>0</v>
      </c>
      <c r="H1382" s="20" t="s">
        <v>6740</v>
      </c>
      <c r="I1382" s="20" t="s">
        <v>4434</v>
      </c>
      <c r="J1382" s="20" t="s">
        <v>3149</v>
      </c>
      <c r="K1382" s="20" t="s">
        <v>10021</v>
      </c>
      <c r="L1382" s="3">
        <v>30</v>
      </c>
      <c r="M1382" s="3" t="s">
        <v>10099</v>
      </c>
      <c r="N1382" s="3" t="str">
        <f>HYPERLINK("http://ictvonline.org/taxonomyHistory.asp?taxnode_id=20161115","ICTVonline=20161115")</f>
        <v>ICTVonline=20161115</v>
      </c>
    </row>
    <row r="1383" spans="1:14" x14ac:dyDescent="0.15">
      <c r="A1383" s="3">
        <v>1382</v>
      </c>
      <c r="B1383" s="1" t="s">
        <v>1027</v>
      </c>
      <c r="C1383" s="1" t="s">
        <v>1479</v>
      </c>
      <c r="E1383" s="1" t="s">
        <v>1478</v>
      </c>
      <c r="F1383" s="1" t="s">
        <v>4435</v>
      </c>
      <c r="G1383" s="3">
        <v>0</v>
      </c>
      <c r="H1383" s="20" t="s">
        <v>4436</v>
      </c>
      <c r="I1383" s="20" t="s">
        <v>4437</v>
      </c>
      <c r="J1383" s="20" t="s">
        <v>3149</v>
      </c>
      <c r="K1383" s="20" t="s">
        <v>10021</v>
      </c>
      <c r="L1383" s="3">
        <v>30</v>
      </c>
      <c r="M1383" s="3" t="s">
        <v>10099</v>
      </c>
      <c r="N1383" s="3" t="str">
        <f>HYPERLINK("http://ictvonline.org/taxonomyHistory.asp?taxnode_id=20161116","ICTVonline=20161116")</f>
        <v>ICTVonline=20161116</v>
      </c>
    </row>
    <row r="1384" spans="1:14" x14ac:dyDescent="0.15">
      <c r="A1384" s="3">
        <v>1383</v>
      </c>
      <c r="B1384" s="1" t="s">
        <v>1027</v>
      </c>
      <c r="C1384" s="1" t="s">
        <v>1479</v>
      </c>
      <c r="E1384" s="1" t="s">
        <v>1478</v>
      </c>
      <c r="F1384" s="1" t="s">
        <v>4438</v>
      </c>
      <c r="G1384" s="3">
        <v>0</v>
      </c>
      <c r="H1384" s="20" t="s">
        <v>4439</v>
      </c>
      <c r="I1384" s="20" t="s">
        <v>4440</v>
      </c>
      <c r="J1384" s="20" t="s">
        <v>3149</v>
      </c>
      <c r="K1384" s="20" t="s">
        <v>10021</v>
      </c>
      <c r="L1384" s="3">
        <v>30</v>
      </c>
      <c r="M1384" s="3" t="s">
        <v>10099</v>
      </c>
      <c r="N1384" s="3" t="str">
        <f>HYPERLINK("http://ictvonline.org/taxonomyHistory.asp?taxnode_id=20161117","ICTVonline=20161117")</f>
        <v>ICTVonline=20161117</v>
      </c>
    </row>
    <row r="1385" spans="1:14" x14ac:dyDescent="0.15">
      <c r="A1385" s="3">
        <v>1384</v>
      </c>
      <c r="B1385" s="1" t="s">
        <v>1027</v>
      </c>
      <c r="C1385" s="1" t="s">
        <v>1479</v>
      </c>
      <c r="E1385" s="1" t="s">
        <v>1478</v>
      </c>
      <c r="F1385" s="1" t="s">
        <v>4441</v>
      </c>
      <c r="G1385" s="3">
        <v>0</v>
      </c>
      <c r="H1385" s="20" t="s">
        <v>4442</v>
      </c>
      <c r="I1385" s="20" t="s">
        <v>4443</v>
      </c>
      <c r="J1385" s="20" t="s">
        <v>3149</v>
      </c>
      <c r="K1385" s="20" t="s">
        <v>10021</v>
      </c>
      <c r="L1385" s="3">
        <v>30</v>
      </c>
      <c r="M1385" s="3" t="s">
        <v>10099</v>
      </c>
      <c r="N1385" s="3" t="str">
        <f>HYPERLINK("http://ictvonline.org/taxonomyHistory.asp?taxnode_id=20161118","ICTVonline=20161118")</f>
        <v>ICTVonline=20161118</v>
      </c>
    </row>
    <row r="1386" spans="1:14" x14ac:dyDescent="0.15">
      <c r="A1386" s="3">
        <v>1385</v>
      </c>
      <c r="B1386" s="1" t="s">
        <v>1027</v>
      </c>
      <c r="C1386" s="1" t="s">
        <v>1479</v>
      </c>
      <c r="E1386" s="1" t="s">
        <v>1478</v>
      </c>
      <c r="F1386" s="1" t="s">
        <v>4444</v>
      </c>
      <c r="G1386" s="3">
        <v>1</v>
      </c>
      <c r="H1386" s="20" t="s">
        <v>4445</v>
      </c>
      <c r="I1386" s="20" t="s">
        <v>4446</v>
      </c>
      <c r="J1386" s="20" t="s">
        <v>3149</v>
      </c>
      <c r="K1386" s="20" t="s">
        <v>10021</v>
      </c>
      <c r="L1386" s="3">
        <v>30</v>
      </c>
      <c r="M1386" s="3" t="s">
        <v>10099</v>
      </c>
      <c r="N1386" s="3" t="str">
        <f>HYPERLINK("http://ictvonline.org/taxonomyHistory.asp?taxnode_id=20161119","ICTVonline=20161119")</f>
        <v>ICTVonline=20161119</v>
      </c>
    </row>
    <row r="1387" spans="1:14" x14ac:dyDescent="0.15">
      <c r="A1387" s="3">
        <v>1386</v>
      </c>
      <c r="B1387" s="1" t="s">
        <v>1027</v>
      </c>
      <c r="C1387" s="1" t="s">
        <v>1479</v>
      </c>
      <c r="E1387" s="1" t="s">
        <v>1478</v>
      </c>
      <c r="F1387" s="1" t="s">
        <v>4447</v>
      </c>
      <c r="G1387" s="3">
        <v>0</v>
      </c>
      <c r="H1387" s="20" t="s">
        <v>6741</v>
      </c>
      <c r="I1387" s="20" t="s">
        <v>4448</v>
      </c>
      <c r="J1387" s="20" t="s">
        <v>3149</v>
      </c>
      <c r="K1387" s="20" t="s">
        <v>10021</v>
      </c>
      <c r="L1387" s="3">
        <v>30</v>
      </c>
      <c r="M1387" s="3" t="s">
        <v>10099</v>
      </c>
      <c r="N1387" s="3" t="str">
        <f>HYPERLINK("http://ictvonline.org/taxonomyHistory.asp?taxnode_id=20161120","ICTVonline=20161120")</f>
        <v>ICTVonline=20161120</v>
      </c>
    </row>
    <row r="1388" spans="1:14" x14ac:dyDescent="0.15">
      <c r="A1388" s="3">
        <v>1387</v>
      </c>
      <c r="B1388" s="1" t="s">
        <v>1027</v>
      </c>
      <c r="C1388" s="1" t="s">
        <v>1479</v>
      </c>
      <c r="E1388" s="1" t="s">
        <v>1478</v>
      </c>
      <c r="F1388" s="1" t="s">
        <v>4449</v>
      </c>
      <c r="G1388" s="3">
        <v>0</v>
      </c>
      <c r="H1388" s="20" t="s">
        <v>4450</v>
      </c>
      <c r="I1388" s="20" t="s">
        <v>4451</v>
      </c>
      <c r="J1388" s="20" t="s">
        <v>3149</v>
      </c>
      <c r="K1388" s="20" t="s">
        <v>10021</v>
      </c>
      <c r="L1388" s="3">
        <v>30</v>
      </c>
      <c r="M1388" s="3" t="s">
        <v>10099</v>
      </c>
      <c r="N1388" s="3" t="str">
        <f>HYPERLINK("http://ictvonline.org/taxonomyHistory.asp?taxnode_id=20161121","ICTVonline=20161121")</f>
        <v>ICTVonline=20161121</v>
      </c>
    </row>
    <row r="1389" spans="1:14" x14ac:dyDescent="0.15">
      <c r="A1389" s="3">
        <v>1388</v>
      </c>
      <c r="B1389" s="1" t="s">
        <v>1027</v>
      </c>
      <c r="C1389" s="1" t="s">
        <v>1479</v>
      </c>
      <c r="E1389" s="1" t="s">
        <v>1478</v>
      </c>
      <c r="F1389" s="1" t="s">
        <v>4452</v>
      </c>
      <c r="G1389" s="3">
        <v>0</v>
      </c>
      <c r="I1389" s="20" t="s">
        <v>4453</v>
      </c>
      <c r="J1389" s="20" t="s">
        <v>3149</v>
      </c>
      <c r="K1389" s="20" t="s">
        <v>10021</v>
      </c>
      <c r="L1389" s="3">
        <v>30</v>
      </c>
      <c r="M1389" s="3" t="s">
        <v>10099</v>
      </c>
      <c r="N1389" s="3" t="str">
        <f>HYPERLINK("http://ictvonline.org/taxonomyHistory.asp?taxnode_id=20161122","ICTVonline=20161122")</f>
        <v>ICTVonline=20161122</v>
      </c>
    </row>
    <row r="1390" spans="1:14" x14ac:dyDescent="0.15">
      <c r="A1390" s="3">
        <v>1389</v>
      </c>
      <c r="B1390" s="1" t="s">
        <v>1027</v>
      </c>
      <c r="C1390" s="1" t="s">
        <v>1479</v>
      </c>
      <c r="E1390" s="1" t="s">
        <v>1478</v>
      </c>
      <c r="F1390" s="1" t="s">
        <v>4454</v>
      </c>
      <c r="G1390" s="3">
        <v>0</v>
      </c>
      <c r="H1390" s="20" t="s">
        <v>4455</v>
      </c>
      <c r="I1390" s="20" t="s">
        <v>4456</v>
      </c>
      <c r="J1390" s="20" t="s">
        <v>3149</v>
      </c>
      <c r="K1390" s="20" t="s">
        <v>10021</v>
      </c>
      <c r="L1390" s="3">
        <v>30</v>
      </c>
      <c r="M1390" s="3" t="s">
        <v>10099</v>
      </c>
      <c r="N1390" s="3" t="str">
        <f>HYPERLINK("http://ictvonline.org/taxonomyHistory.asp?taxnode_id=20161123","ICTVonline=20161123")</f>
        <v>ICTVonline=20161123</v>
      </c>
    </row>
    <row r="1391" spans="1:14" x14ac:dyDescent="0.15">
      <c r="A1391" s="3">
        <v>1390</v>
      </c>
      <c r="B1391" s="1" t="s">
        <v>1027</v>
      </c>
      <c r="C1391" s="1" t="s">
        <v>1479</v>
      </c>
      <c r="E1391" s="1" t="s">
        <v>2241</v>
      </c>
      <c r="F1391" s="1" t="s">
        <v>4457</v>
      </c>
      <c r="G1391" s="3">
        <v>0</v>
      </c>
      <c r="H1391" s="20" t="s">
        <v>6742</v>
      </c>
      <c r="I1391" s="20" t="s">
        <v>4458</v>
      </c>
      <c r="J1391" s="20" t="s">
        <v>3149</v>
      </c>
      <c r="K1391" s="20" t="s">
        <v>10021</v>
      </c>
      <c r="L1391" s="3">
        <v>30</v>
      </c>
      <c r="M1391" s="3" t="s">
        <v>10099</v>
      </c>
      <c r="N1391" s="3" t="str">
        <f>HYPERLINK("http://ictvonline.org/taxonomyHistory.asp?taxnode_id=20161125","ICTVonline=20161125")</f>
        <v>ICTVonline=20161125</v>
      </c>
    </row>
    <row r="1392" spans="1:14" x14ac:dyDescent="0.15">
      <c r="A1392" s="3">
        <v>1391</v>
      </c>
      <c r="B1392" s="1" t="s">
        <v>1027</v>
      </c>
      <c r="C1392" s="1" t="s">
        <v>1479</v>
      </c>
      <c r="E1392" s="1" t="s">
        <v>2241</v>
      </c>
      <c r="F1392" s="1" t="s">
        <v>4459</v>
      </c>
      <c r="G1392" s="3">
        <v>1</v>
      </c>
      <c r="H1392" s="20" t="s">
        <v>6743</v>
      </c>
      <c r="I1392" s="20" t="s">
        <v>4460</v>
      </c>
      <c r="J1392" s="20" t="s">
        <v>3149</v>
      </c>
      <c r="K1392" s="20" t="s">
        <v>10021</v>
      </c>
      <c r="L1392" s="3">
        <v>30</v>
      </c>
      <c r="M1392" s="3" t="s">
        <v>10099</v>
      </c>
      <c r="N1392" s="3" t="str">
        <f>HYPERLINK("http://ictvonline.org/taxonomyHistory.asp?taxnode_id=20161126","ICTVonline=20161126")</f>
        <v>ICTVonline=20161126</v>
      </c>
    </row>
    <row r="1393" spans="1:14" x14ac:dyDescent="0.15">
      <c r="A1393" s="3">
        <v>1392</v>
      </c>
      <c r="B1393" s="1" t="s">
        <v>1027</v>
      </c>
      <c r="C1393" s="1" t="s">
        <v>1479</v>
      </c>
      <c r="E1393" s="1" t="s">
        <v>2241</v>
      </c>
      <c r="F1393" s="1" t="s">
        <v>4461</v>
      </c>
      <c r="G1393" s="3">
        <v>0</v>
      </c>
      <c r="H1393" s="20" t="s">
        <v>6744</v>
      </c>
      <c r="I1393" s="20" t="s">
        <v>4462</v>
      </c>
      <c r="J1393" s="20" t="s">
        <v>3149</v>
      </c>
      <c r="K1393" s="20" t="s">
        <v>10021</v>
      </c>
      <c r="L1393" s="3">
        <v>30</v>
      </c>
      <c r="M1393" s="3" t="s">
        <v>10099</v>
      </c>
      <c r="N1393" s="3" t="str">
        <f>HYPERLINK("http://ictvonline.org/taxonomyHistory.asp?taxnode_id=20161127","ICTVonline=20161127")</f>
        <v>ICTVonline=20161127</v>
      </c>
    </row>
    <row r="1394" spans="1:14" x14ac:dyDescent="0.15">
      <c r="A1394" s="3">
        <v>1393</v>
      </c>
      <c r="B1394" s="1" t="s">
        <v>1027</v>
      </c>
      <c r="C1394" s="1" t="s">
        <v>1479</v>
      </c>
      <c r="E1394" s="1" t="s">
        <v>2242</v>
      </c>
      <c r="F1394" s="1" t="s">
        <v>2243</v>
      </c>
      <c r="G1394" s="3">
        <v>0</v>
      </c>
      <c r="J1394" s="20" t="s">
        <v>3149</v>
      </c>
      <c r="K1394" s="20" t="s">
        <v>10013</v>
      </c>
      <c r="L1394" s="3">
        <v>27</v>
      </c>
      <c r="M1394" s="3" t="s">
        <v>10104</v>
      </c>
      <c r="N1394" s="3" t="str">
        <f>HYPERLINK("http://ictvonline.org/taxonomyHistory.asp?taxnode_id=20161129","ICTVonline=20161129")</f>
        <v>ICTVonline=20161129</v>
      </c>
    </row>
    <row r="1395" spans="1:14" x14ac:dyDescent="0.15">
      <c r="A1395" s="3">
        <v>1394</v>
      </c>
      <c r="B1395" s="1" t="s">
        <v>1027</v>
      </c>
      <c r="C1395" s="1" t="s">
        <v>1479</v>
      </c>
      <c r="E1395" s="1" t="s">
        <v>2242</v>
      </c>
      <c r="F1395" s="1" t="s">
        <v>2244</v>
      </c>
      <c r="G1395" s="3">
        <v>0</v>
      </c>
      <c r="J1395" s="20" t="s">
        <v>3149</v>
      </c>
      <c r="K1395" s="20" t="s">
        <v>10013</v>
      </c>
      <c r="L1395" s="3">
        <v>27</v>
      </c>
      <c r="M1395" s="3" t="s">
        <v>10104</v>
      </c>
      <c r="N1395" s="3" t="str">
        <f>HYPERLINK("http://ictvonline.org/taxonomyHistory.asp?taxnode_id=20161130","ICTVonline=20161130")</f>
        <v>ICTVonline=20161130</v>
      </c>
    </row>
    <row r="1396" spans="1:14" x14ac:dyDescent="0.15">
      <c r="A1396" s="3">
        <v>1395</v>
      </c>
      <c r="B1396" s="1" t="s">
        <v>1027</v>
      </c>
      <c r="C1396" s="1" t="s">
        <v>1479</v>
      </c>
      <c r="E1396" s="1" t="s">
        <v>2242</v>
      </c>
      <c r="F1396" s="1" t="s">
        <v>2245</v>
      </c>
      <c r="G1396" s="3">
        <v>0</v>
      </c>
      <c r="J1396" s="20" t="s">
        <v>3149</v>
      </c>
      <c r="K1396" s="20" t="s">
        <v>10013</v>
      </c>
      <c r="L1396" s="3">
        <v>27</v>
      </c>
      <c r="M1396" s="3" t="s">
        <v>10104</v>
      </c>
      <c r="N1396" s="3" t="str">
        <f>HYPERLINK("http://ictvonline.org/taxonomyHistory.asp?taxnode_id=20161131","ICTVonline=20161131")</f>
        <v>ICTVonline=20161131</v>
      </c>
    </row>
    <row r="1397" spans="1:14" x14ac:dyDescent="0.15">
      <c r="A1397" s="3">
        <v>1396</v>
      </c>
      <c r="B1397" s="1" t="s">
        <v>1027</v>
      </c>
      <c r="C1397" s="1" t="s">
        <v>1479</v>
      </c>
      <c r="E1397" s="1" t="s">
        <v>2242</v>
      </c>
      <c r="F1397" s="1" t="s">
        <v>2246</v>
      </c>
      <c r="G1397" s="3">
        <v>1</v>
      </c>
      <c r="H1397" s="20" t="s">
        <v>7086</v>
      </c>
      <c r="J1397" s="20" t="s">
        <v>3149</v>
      </c>
      <c r="K1397" s="20" t="s">
        <v>10105</v>
      </c>
      <c r="L1397" s="3">
        <v>27</v>
      </c>
      <c r="M1397" s="3" t="s">
        <v>10104</v>
      </c>
      <c r="N1397" s="3" t="str">
        <f>HYPERLINK("http://ictvonline.org/taxonomyHistory.asp?taxnode_id=20161132","ICTVonline=20161132")</f>
        <v>ICTVonline=20161132</v>
      </c>
    </row>
    <row r="1398" spans="1:14" x14ac:dyDescent="0.15">
      <c r="A1398" s="3">
        <v>1397</v>
      </c>
      <c r="B1398" s="1" t="s">
        <v>1027</v>
      </c>
      <c r="C1398" s="1" t="s">
        <v>1479</v>
      </c>
      <c r="E1398" s="1" t="s">
        <v>2242</v>
      </c>
      <c r="F1398" s="1" t="s">
        <v>2247</v>
      </c>
      <c r="G1398" s="3">
        <v>0</v>
      </c>
      <c r="H1398" s="20" t="s">
        <v>7087</v>
      </c>
      <c r="J1398" s="20" t="s">
        <v>3149</v>
      </c>
      <c r="K1398" s="20" t="s">
        <v>10013</v>
      </c>
      <c r="L1398" s="3">
        <v>27</v>
      </c>
      <c r="M1398" s="3" t="s">
        <v>10104</v>
      </c>
      <c r="N1398" s="3" t="str">
        <f>HYPERLINK("http://ictvonline.org/taxonomyHistory.asp?taxnode_id=20161133","ICTVonline=20161133")</f>
        <v>ICTVonline=20161133</v>
      </c>
    </row>
    <row r="1399" spans="1:14" x14ac:dyDescent="0.15">
      <c r="A1399" s="3">
        <v>1398</v>
      </c>
      <c r="B1399" s="1" t="s">
        <v>1027</v>
      </c>
      <c r="C1399" s="1" t="s">
        <v>1479</v>
      </c>
      <c r="E1399" s="1" t="s">
        <v>2242</v>
      </c>
      <c r="F1399" s="1" t="s">
        <v>2248</v>
      </c>
      <c r="G1399" s="3">
        <v>0</v>
      </c>
      <c r="J1399" s="20" t="s">
        <v>3149</v>
      </c>
      <c r="K1399" s="20" t="s">
        <v>10013</v>
      </c>
      <c r="L1399" s="3">
        <v>27</v>
      </c>
      <c r="M1399" s="3" t="s">
        <v>10104</v>
      </c>
      <c r="N1399" s="3" t="str">
        <f>HYPERLINK("http://ictvonline.org/taxonomyHistory.asp?taxnode_id=20161134","ICTVonline=20161134")</f>
        <v>ICTVonline=20161134</v>
      </c>
    </row>
    <row r="1400" spans="1:14" x14ac:dyDescent="0.15">
      <c r="A1400" s="3">
        <v>1399</v>
      </c>
      <c r="B1400" s="1" t="s">
        <v>1027</v>
      </c>
      <c r="C1400" s="1" t="s">
        <v>1479</v>
      </c>
      <c r="E1400" s="1" t="s">
        <v>2242</v>
      </c>
      <c r="F1400" s="1" t="s">
        <v>2249</v>
      </c>
      <c r="G1400" s="3">
        <v>0</v>
      </c>
      <c r="J1400" s="20" t="s">
        <v>3149</v>
      </c>
      <c r="K1400" s="20" t="s">
        <v>10013</v>
      </c>
      <c r="L1400" s="3">
        <v>27</v>
      </c>
      <c r="M1400" s="3" t="s">
        <v>10104</v>
      </c>
      <c r="N1400" s="3" t="str">
        <f>HYPERLINK("http://ictvonline.org/taxonomyHistory.asp?taxnode_id=20161135","ICTVonline=20161135")</f>
        <v>ICTVonline=20161135</v>
      </c>
    </row>
    <row r="1401" spans="1:14" x14ac:dyDescent="0.15">
      <c r="A1401" s="3">
        <v>1400</v>
      </c>
      <c r="B1401" s="1" t="s">
        <v>1027</v>
      </c>
      <c r="C1401" s="1" t="s">
        <v>1479</v>
      </c>
      <c r="E1401" s="1" t="s">
        <v>2389</v>
      </c>
      <c r="F1401" s="1" t="s">
        <v>4463</v>
      </c>
      <c r="G1401" s="3">
        <v>1</v>
      </c>
      <c r="H1401" s="20" t="s">
        <v>6745</v>
      </c>
      <c r="I1401" s="20" t="s">
        <v>4464</v>
      </c>
      <c r="J1401" s="20" t="s">
        <v>3149</v>
      </c>
      <c r="K1401" s="20" t="s">
        <v>10021</v>
      </c>
      <c r="L1401" s="3">
        <v>30</v>
      </c>
      <c r="M1401" s="3" t="s">
        <v>10099</v>
      </c>
      <c r="N1401" s="3" t="str">
        <f>HYPERLINK("http://ictvonline.org/taxonomyHistory.asp?taxnode_id=20161137","ICTVonline=20161137")</f>
        <v>ICTVonline=20161137</v>
      </c>
    </row>
    <row r="1402" spans="1:14" x14ac:dyDescent="0.15">
      <c r="A1402" s="3">
        <v>1401</v>
      </c>
      <c r="B1402" s="1" t="s">
        <v>1027</v>
      </c>
      <c r="C1402" s="1" t="s">
        <v>1479</v>
      </c>
      <c r="E1402" s="1" t="s">
        <v>2389</v>
      </c>
      <c r="F1402" s="1" t="s">
        <v>4465</v>
      </c>
      <c r="G1402" s="3">
        <v>0</v>
      </c>
      <c r="H1402" s="20" t="s">
        <v>6746</v>
      </c>
      <c r="I1402" s="20" t="s">
        <v>4466</v>
      </c>
      <c r="J1402" s="20" t="s">
        <v>3149</v>
      </c>
      <c r="K1402" s="20" t="s">
        <v>10021</v>
      </c>
      <c r="L1402" s="3">
        <v>30</v>
      </c>
      <c r="M1402" s="3" t="s">
        <v>10099</v>
      </c>
      <c r="N1402" s="3" t="str">
        <f>HYPERLINK("http://ictvonline.org/taxonomyHistory.asp?taxnode_id=20161138","ICTVonline=20161138")</f>
        <v>ICTVonline=20161138</v>
      </c>
    </row>
    <row r="1403" spans="1:14" x14ac:dyDescent="0.15">
      <c r="A1403" s="3">
        <v>1402</v>
      </c>
      <c r="B1403" s="1" t="s">
        <v>1027</v>
      </c>
      <c r="C1403" s="1" t="s">
        <v>1479</v>
      </c>
      <c r="E1403" s="1" t="s">
        <v>8913</v>
      </c>
      <c r="F1403" s="1" t="s">
        <v>8914</v>
      </c>
      <c r="G1403" s="3">
        <v>0</v>
      </c>
      <c r="H1403" s="20" t="s">
        <v>8915</v>
      </c>
      <c r="I1403" s="20" t="s">
        <v>8916</v>
      </c>
      <c r="J1403" s="20" t="s">
        <v>3149</v>
      </c>
      <c r="K1403" s="20" t="s">
        <v>10013</v>
      </c>
      <c r="L1403" s="3">
        <v>31</v>
      </c>
      <c r="M1403" s="3" t="s">
        <v>8917</v>
      </c>
      <c r="N1403" s="3" t="str">
        <f>HYPERLINK("http://ictvonline.org/taxonomyHistory.asp?taxnode_id=20165164","ICTVonline=20165164")</f>
        <v>ICTVonline=20165164</v>
      </c>
    </row>
    <row r="1404" spans="1:14" x14ac:dyDescent="0.15">
      <c r="A1404" s="3">
        <v>1403</v>
      </c>
      <c r="B1404" s="1" t="s">
        <v>1027</v>
      </c>
      <c r="C1404" s="1" t="s">
        <v>1479</v>
      </c>
      <c r="E1404" s="1" t="s">
        <v>8913</v>
      </c>
      <c r="F1404" s="1" t="s">
        <v>8918</v>
      </c>
      <c r="G1404" s="3">
        <v>0</v>
      </c>
      <c r="H1404" s="20" t="s">
        <v>8919</v>
      </c>
      <c r="I1404" s="20" t="s">
        <v>8920</v>
      </c>
      <c r="J1404" s="20" t="s">
        <v>3149</v>
      </c>
      <c r="K1404" s="20" t="s">
        <v>10013</v>
      </c>
      <c r="L1404" s="3">
        <v>31</v>
      </c>
      <c r="M1404" s="3" t="s">
        <v>8917</v>
      </c>
      <c r="N1404" s="3" t="str">
        <f>HYPERLINK("http://ictvonline.org/taxonomyHistory.asp?taxnode_id=20165165","ICTVonline=20165165")</f>
        <v>ICTVonline=20165165</v>
      </c>
    </row>
    <row r="1405" spans="1:14" x14ac:dyDescent="0.15">
      <c r="A1405" s="3">
        <v>1404</v>
      </c>
      <c r="B1405" s="1" t="s">
        <v>1027</v>
      </c>
      <c r="C1405" s="1" t="s">
        <v>1479</v>
      </c>
      <c r="E1405" s="1" t="s">
        <v>8913</v>
      </c>
      <c r="F1405" s="1" t="s">
        <v>8921</v>
      </c>
      <c r="G1405" s="3">
        <v>1</v>
      </c>
      <c r="H1405" s="20" t="s">
        <v>8922</v>
      </c>
      <c r="I1405" s="20" t="s">
        <v>8923</v>
      </c>
      <c r="J1405" s="20" t="s">
        <v>3149</v>
      </c>
      <c r="K1405" s="20" t="s">
        <v>10013</v>
      </c>
      <c r="L1405" s="3">
        <v>31</v>
      </c>
      <c r="M1405" s="3" t="s">
        <v>8917</v>
      </c>
      <c r="N1405" s="3" t="str">
        <f>HYPERLINK("http://ictvonline.org/taxonomyHistory.asp?taxnode_id=20165166","ICTVonline=20165166")</f>
        <v>ICTVonline=20165166</v>
      </c>
    </row>
    <row r="1406" spans="1:14" x14ac:dyDescent="0.15">
      <c r="A1406" s="3">
        <v>1405</v>
      </c>
      <c r="B1406" s="1" t="s">
        <v>1027</v>
      </c>
      <c r="C1406" s="1" t="s">
        <v>1479</v>
      </c>
      <c r="E1406" s="1" t="s">
        <v>8913</v>
      </c>
      <c r="F1406" s="1" t="s">
        <v>8924</v>
      </c>
      <c r="G1406" s="3">
        <v>0</v>
      </c>
      <c r="H1406" s="20" t="s">
        <v>8925</v>
      </c>
      <c r="I1406" s="20" t="s">
        <v>8926</v>
      </c>
      <c r="J1406" s="20" t="s">
        <v>3149</v>
      </c>
      <c r="K1406" s="20" t="s">
        <v>10013</v>
      </c>
      <c r="L1406" s="3">
        <v>31</v>
      </c>
      <c r="M1406" s="3" t="s">
        <v>8917</v>
      </c>
      <c r="N1406" s="3" t="str">
        <f>HYPERLINK("http://ictvonline.org/taxonomyHistory.asp?taxnode_id=20165167","ICTVonline=20165167")</f>
        <v>ICTVonline=20165167</v>
      </c>
    </row>
    <row r="1407" spans="1:14" x14ac:dyDescent="0.15">
      <c r="A1407" s="3">
        <v>1406</v>
      </c>
      <c r="B1407" s="1" t="s">
        <v>1027</v>
      </c>
      <c r="C1407" s="1" t="s">
        <v>1479</v>
      </c>
      <c r="E1407" s="1" t="s">
        <v>8913</v>
      </c>
      <c r="F1407" s="1" t="s">
        <v>8927</v>
      </c>
      <c r="G1407" s="3">
        <v>0</v>
      </c>
      <c r="H1407" s="20" t="s">
        <v>8928</v>
      </c>
      <c r="I1407" s="20" t="s">
        <v>8929</v>
      </c>
      <c r="J1407" s="20" t="s">
        <v>3149</v>
      </c>
      <c r="K1407" s="20" t="s">
        <v>10013</v>
      </c>
      <c r="L1407" s="3">
        <v>31</v>
      </c>
      <c r="M1407" s="3" t="s">
        <v>8917</v>
      </c>
      <c r="N1407" s="3" t="str">
        <f>HYPERLINK("http://ictvonline.org/taxonomyHistory.asp?taxnode_id=20165168","ICTVonline=20165168")</f>
        <v>ICTVonline=20165168</v>
      </c>
    </row>
    <row r="1408" spans="1:14" x14ac:dyDescent="0.15">
      <c r="A1408" s="3">
        <v>1407</v>
      </c>
      <c r="B1408" s="1" t="s">
        <v>1027</v>
      </c>
      <c r="C1408" s="1" t="s">
        <v>1479</v>
      </c>
      <c r="E1408" s="1" t="s">
        <v>2250</v>
      </c>
      <c r="F1408" s="1" t="s">
        <v>8930</v>
      </c>
      <c r="G1408" s="3">
        <v>0</v>
      </c>
      <c r="H1408" s="20" t="s">
        <v>8931</v>
      </c>
      <c r="I1408" s="20" t="s">
        <v>8932</v>
      </c>
      <c r="J1408" s="20" t="s">
        <v>3149</v>
      </c>
      <c r="K1408" s="20" t="s">
        <v>10013</v>
      </c>
      <c r="L1408" s="3">
        <v>31</v>
      </c>
      <c r="M1408" s="3" t="s">
        <v>8933</v>
      </c>
      <c r="N1408" s="3" t="str">
        <f>HYPERLINK("http://ictvonline.org/taxonomyHistory.asp?taxnode_id=20165169","ICTVonline=20165169")</f>
        <v>ICTVonline=20165169</v>
      </c>
    </row>
    <row r="1409" spans="1:14" x14ac:dyDescent="0.15">
      <c r="A1409" s="3">
        <v>1408</v>
      </c>
      <c r="B1409" s="1" t="s">
        <v>1027</v>
      </c>
      <c r="C1409" s="1" t="s">
        <v>1479</v>
      </c>
      <c r="E1409" s="1" t="s">
        <v>2250</v>
      </c>
      <c r="F1409" s="1" t="s">
        <v>4467</v>
      </c>
      <c r="G1409" s="3">
        <v>0</v>
      </c>
      <c r="H1409" s="20" t="s">
        <v>6747</v>
      </c>
      <c r="I1409" s="20" t="s">
        <v>4468</v>
      </c>
      <c r="J1409" s="20" t="s">
        <v>3149</v>
      </c>
      <c r="K1409" s="20" t="s">
        <v>10021</v>
      </c>
      <c r="L1409" s="3">
        <v>30</v>
      </c>
      <c r="M1409" s="3" t="s">
        <v>10099</v>
      </c>
      <c r="N1409" s="3" t="str">
        <f>HYPERLINK("http://ictvonline.org/taxonomyHistory.asp?taxnode_id=20161140","ICTVonline=20161140")</f>
        <v>ICTVonline=20161140</v>
      </c>
    </row>
    <row r="1410" spans="1:14" x14ac:dyDescent="0.15">
      <c r="A1410" s="3">
        <v>1409</v>
      </c>
      <c r="B1410" s="1" t="s">
        <v>1027</v>
      </c>
      <c r="C1410" s="1" t="s">
        <v>1479</v>
      </c>
      <c r="E1410" s="1" t="s">
        <v>2250</v>
      </c>
      <c r="F1410" s="1" t="s">
        <v>8934</v>
      </c>
      <c r="G1410" s="3">
        <v>0</v>
      </c>
      <c r="H1410" s="20" t="s">
        <v>8935</v>
      </c>
      <c r="I1410" s="20" t="s">
        <v>8936</v>
      </c>
      <c r="J1410" s="20" t="s">
        <v>3149</v>
      </c>
      <c r="K1410" s="20" t="s">
        <v>10013</v>
      </c>
      <c r="L1410" s="3">
        <v>31</v>
      </c>
      <c r="M1410" s="3" t="s">
        <v>8933</v>
      </c>
      <c r="N1410" s="3" t="str">
        <f>HYPERLINK("http://ictvonline.org/taxonomyHistory.asp?taxnode_id=20165170","ICTVonline=20165170")</f>
        <v>ICTVonline=20165170</v>
      </c>
    </row>
    <row r="1411" spans="1:14" x14ac:dyDescent="0.15">
      <c r="A1411" s="3">
        <v>1410</v>
      </c>
      <c r="B1411" s="1" t="s">
        <v>1027</v>
      </c>
      <c r="C1411" s="1" t="s">
        <v>1479</v>
      </c>
      <c r="E1411" s="1" t="s">
        <v>2250</v>
      </c>
      <c r="F1411" s="1" t="s">
        <v>8937</v>
      </c>
      <c r="G1411" s="3">
        <v>0</v>
      </c>
      <c r="H1411" s="20" t="s">
        <v>8938</v>
      </c>
      <c r="I1411" s="20" t="s">
        <v>8939</v>
      </c>
      <c r="J1411" s="20" t="s">
        <v>3149</v>
      </c>
      <c r="K1411" s="20" t="s">
        <v>10013</v>
      </c>
      <c r="L1411" s="3">
        <v>31</v>
      </c>
      <c r="M1411" s="3" t="s">
        <v>8933</v>
      </c>
      <c r="N1411" s="3" t="str">
        <f>HYPERLINK("http://ictvonline.org/taxonomyHistory.asp?taxnode_id=20165171","ICTVonline=20165171")</f>
        <v>ICTVonline=20165171</v>
      </c>
    </row>
    <row r="1412" spans="1:14" x14ac:dyDescent="0.15">
      <c r="A1412" s="3">
        <v>1411</v>
      </c>
      <c r="B1412" s="1" t="s">
        <v>1027</v>
      </c>
      <c r="C1412" s="1" t="s">
        <v>1479</v>
      </c>
      <c r="E1412" s="1" t="s">
        <v>2250</v>
      </c>
      <c r="F1412" s="1" t="s">
        <v>8940</v>
      </c>
      <c r="G1412" s="3">
        <v>0</v>
      </c>
      <c r="H1412" s="20" t="s">
        <v>8941</v>
      </c>
      <c r="I1412" s="20" t="s">
        <v>8942</v>
      </c>
      <c r="J1412" s="20" t="s">
        <v>3149</v>
      </c>
      <c r="K1412" s="20" t="s">
        <v>10013</v>
      </c>
      <c r="L1412" s="3">
        <v>31</v>
      </c>
      <c r="M1412" s="3" t="s">
        <v>8933</v>
      </c>
      <c r="N1412" s="3" t="str">
        <f>HYPERLINK("http://ictvonline.org/taxonomyHistory.asp?taxnode_id=20165172","ICTVonline=20165172")</f>
        <v>ICTVonline=20165172</v>
      </c>
    </row>
    <row r="1413" spans="1:14" x14ac:dyDescent="0.15">
      <c r="A1413" s="3">
        <v>1412</v>
      </c>
      <c r="B1413" s="1" t="s">
        <v>1027</v>
      </c>
      <c r="C1413" s="1" t="s">
        <v>1479</v>
      </c>
      <c r="E1413" s="1" t="s">
        <v>2250</v>
      </c>
      <c r="F1413" s="1" t="s">
        <v>4469</v>
      </c>
      <c r="G1413" s="3">
        <v>1</v>
      </c>
      <c r="H1413" s="20" t="s">
        <v>6748</v>
      </c>
      <c r="I1413" s="20" t="s">
        <v>4470</v>
      </c>
      <c r="J1413" s="20" t="s">
        <v>3149</v>
      </c>
      <c r="K1413" s="20" t="s">
        <v>10021</v>
      </c>
      <c r="L1413" s="3">
        <v>30</v>
      </c>
      <c r="M1413" s="3" t="s">
        <v>10099</v>
      </c>
      <c r="N1413" s="3" t="str">
        <f>HYPERLINK("http://ictvonline.org/taxonomyHistory.asp?taxnode_id=20161141","ICTVonline=20161141")</f>
        <v>ICTVonline=20161141</v>
      </c>
    </row>
    <row r="1414" spans="1:14" x14ac:dyDescent="0.15">
      <c r="A1414" s="3">
        <v>1413</v>
      </c>
      <c r="B1414" s="1" t="s">
        <v>1027</v>
      </c>
      <c r="C1414" s="1" t="s">
        <v>1479</v>
      </c>
      <c r="E1414" s="1" t="s">
        <v>2390</v>
      </c>
      <c r="F1414" s="1" t="s">
        <v>4471</v>
      </c>
      <c r="G1414" s="3">
        <v>1</v>
      </c>
      <c r="H1414" s="20" t="s">
        <v>6749</v>
      </c>
      <c r="I1414" s="20" t="s">
        <v>4472</v>
      </c>
      <c r="J1414" s="20" t="s">
        <v>3149</v>
      </c>
      <c r="K1414" s="20" t="s">
        <v>10021</v>
      </c>
      <c r="L1414" s="3">
        <v>30</v>
      </c>
      <c r="M1414" s="3" t="s">
        <v>10099</v>
      </c>
      <c r="N1414" s="3" t="str">
        <f>HYPERLINK("http://ictvonline.org/taxonomyHistory.asp?taxnode_id=20161143","ICTVonline=20161143")</f>
        <v>ICTVonline=20161143</v>
      </c>
    </row>
    <row r="1415" spans="1:14" x14ac:dyDescent="0.15">
      <c r="A1415" s="3">
        <v>1414</v>
      </c>
      <c r="B1415" s="1" t="s">
        <v>1027</v>
      </c>
      <c r="C1415" s="1" t="s">
        <v>1479</v>
      </c>
      <c r="E1415" s="1" t="s">
        <v>2390</v>
      </c>
      <c r="F1415" s="1" t="s">
        <v>8943</v>
      </c>
      <c r="G1415" s="3">
        <v>0</v>
      </c>
      <c r="H1415" s="20" t="s">
        <v>8944</v>
      </c>
      <c r="I1415" s="20" t="s">
        <v>8945</v>
      </c>
      <c r="J1415" s="20" t="s">
        <v>3149</v>
      </c>
      <c r="K1415" s="20" t="s">
        <v>10013</v>
      </c>
      <c r="L1415" s="3">
        <v>31</v>
      </c>
      <c r="M1415" s="3" t="s">
        <v>8946</v>
      </c>
      <c r="N1415" s="3" t="str">
        <f>HYPERLINK("http://ictvonline.org/taxonomyHistory.asp?taxnode_id=20165173","ICTVonline=20165173")</f>
        <v>ICTVonline=20165173</v>
      </c>
    </row>
    <row r="1416" spans="1:14" x14ac:dyDescent="0.15">
      <c r="A1416" s="3">
        <v>1415</v>
      </c>
      <c r="B1416" s="1" t="s">
        <v>1027</v>
      </c>
      <c r="C1416" s="1" t="s">
        <v>1479</v>
      </c>
      <c r="E1416" s="1" t="s">
        <v>2390</v>
      </c>
      <c r="F1416" s="1" t="s">
        <v>4473</v>
      </c>
      <c r="G1416" s="3">
        <v>0</v>
      </c>
      <c r="H1416" s="20" t="s">
        <v>6750</v>
      </c>
      <c r="I1416" s="20" t="s">
        <v>4474</v>
      </c>
      <c r="J1416" s="20" t="s">
        <v>3149</v>
      </c>
      <c r="K1416" s="20" t="s">
        <v>10021</v>
      </c>
      <c r="L1416" s="3">
        <v>30</v>
      </c>
      <c r="M1416" s="3" t="s">
        <v>10099</v>
      </c>
      <c r="N1416" s="3" t="str">
        <f>HYPERLINK("http://ictvonline.org/taxonomyHistory.asp?taxnode_id=20161144","ICTVonline=20161144")</f>
        <v>ICTVonline=20161144</v>
      </c>
    </row>
    <row r="1417" spans="1:14" x14ac:dyDescent="0.15">
      <c r="A1417" s="3">
        <v>1416</v>
      </c>
      <c r="B1417" s="1" t="s">
        <v>1027</v>
      </c>
      <c r="C1417" s="1" t="s">
        <v>1479</v>
      </c>
      <c r="E1417" s="1" t="s">
        <v>926</v>
      </c>
      <c r="F1417" s="1" t="s">
        <v>1386</v>
      </c>
      <c r="G1417" s="3">
        <v>0</v>
      </c>
      <c r="H1417" s="20" t="s">
        <v>7089</v>
      </c>
      <c r="I1417" s="20" t="s">
        <v>7090</v>
      </c>
      <c r="J1417" s="20" t="s">
        <v>3149</v>
      </c>
      <c r="K1417" s="20" t="s">
        <v>10013</v>
      </c>
      <c r="L1417" s="3">
        <v>26</v>
      </c>
      <c r="M1417" s="3" t="s">
        <v>10106</v>
      </c>
      <c r="N1417" s="3" t="str">
        <f>HYPERLINK("http://ictvonline.org/taxonomyHistory.asp?taxnode_id=20161147","ICTVonline=20161147")</f>
        <v>ICTVonline=20161147</v>
      </c>
    </row>
    <row r="1418" spans="1:14" x14ac:dyDescent="0.15">
      <c r="A1418" s="3">
        <v>1417</v>
      </c>
      <c r="B1418" s="1" t="s">
        <v>1027</v>
      </c>
      <c r="C1418" s="1" t="s">
        <v>1479</v>
      </c>
      <c r="E1418" s="1" t="s">
        <v>1569</v>
      </c>
      <c r="F1418" s="1" t="s">
        <v>4475</v>
      </c>
      <c r="G1418" s="3">
        <v>1</v>
      </c>
      <c r="H1418" s="20" t="s">
        <v>6751</v>
      </c>
      <c r="I1418" s="20" t="s">
        <v>4476</v>
      </c>
      <c r="J1418" s="20" t="s">
        <v>3149</v>
      </c>
      <c r="K1418" s="20" t="s">
        <v>10014</v>
      </c>
      <c r="L1418" s="3">
        <v>30</v>
      </c>
      <c r="M1418" s="3" t="s">
        <v>10099</v>
      </c>
      <c r="N1418" s="3" t="str">
        <f>HYPERLINK("http://ictvonline.org/taxonomyHistory.asp?taxnode_id=20161151","ICTVonline=20161151")</f>
        <v>ICTVonline=20161151</v>
      </c>
    </row>
    <row r="1419" spans="1:14" x14ac:dyDescent="0.15">
      <c r="A1419" s="3">
        <v>1418</v>
      </c>
      <c r="B1419" s="1" t="s">
        <v>1027</v>
      </c>
      <c r="C1419" s="1" t="s">
        <v>1479</v>
      </c>
      <c r="E1419" s="1" t="s">
        <v>1481</v>
      </c>
      <c r="F1419" s="1" t="s">
        <v>4477</v>
      </c>
      <c r="G1419" s="3">
        <v>0</v>
      </c>
      <c r="H1419" s="20" t="s">
        <v>6752</v>
      </c>
      <c r="I1419" s="20" t="s">
        <v>4478</v>
      </c>
      <c r="J1419" s="20" t="s">
        <v>3149</v>
      </c>
      <c r="K1419" s="20" t="s">
        <v>10021</v>
      </c>
      <c r="L1419" s="3">
        <v>30</v>
      </c>
      <c r="M1419" s="3" t="s">
        <v>10099</v>
      </c>
      <c r="N1419" s="3" t="str">
        <f>HYPERLINK("http://ictvonline.org/taxonomyHistory.asp?taxnode_id=20161153","ICTVonline=20161153")</f>
        <v>ICTVonline=20161153</v>
      </c>
    </row>
    <row r="1420" spans="1:14" x14ac:dyDescent="0.15">
      <c r="A1420" s="3">
        <v>1419</v>
      </c>
      <c r="B1420" s="1" t="s">
        <v>1027</v>
      </c>
      <c r="C1420" s="1" t="s">
        <v>1479</v>
      </c>
      <c r="E1420" s="1" t="s">
        <v>1481</v>
      </c>
      <c r="F1420" s="1" t="s">
        <v>8947</v>
      </c>
      <c r="G1420" s="3">
        <v>0</v>
      </c>
      <c r="H1420" s="20" t="s">
        <v>8948</v>
      </c>
      <c r="I1420" s="20" t="s">
        <v>8949</v>
      </c>
      <c r="J1420" s="20" t="s">
        <v>3149</v>
      </c>
      <c r="K1420" s="20" t="s">
        <v>10013</v>
      </c>
      <c r="L1420" s="3">
        <v>31</v>
      </c>
      <c r="M1420" s="3" t="s">
        <v>8950</v>
      </c>
      <c r="N1420" s="3" t="str">
        <f>HYPERLINK("http://ictvonline.org/taxonomyHistory.asp?taxnode_id=20165174","ICTVonline=20165174")</f>
        <v>ICTVonline=20165174</v>
      </c>
    </row>
    <row r="1421" spans="1:14" x14ac:dyDescent="0.15">
      <c r="A1421" s="3">
        <v>1420</v>
      </c>
      <c r="B1421" s="1" t="s">
        <v>1027</v>
      </c>
      <c r="C1421" s="1" t="s">
        <v>1479</v>
      </c>
      <c r="E1421" s="1" t="s">
        <v>1481</v>
      </c>
      <c r="F1421" s="1" t="s">
        <v>4479</v>
      </c>
      <c r="G1421" s="3">
        <v>0</v>
      </c>
      <c r="H1421" s="20" t="s">
        <v>6753</v>
      </c>
      <c r="I1421" s="20" t="s">
        <v>4480</v>
      </c>
      <c r="J1421" s="20" t="s">
        <v>3149</v>
      </c>
      <c r="K1421" s="20" t="s">
        <v>10021</v>
      </c>
      <c r="L1421" s="3">
        <v>30</v>
      </c>
      <c r="M1421" s="3" t="s">
        <v>10099</v>
      </c>
      <c r="N1421" s="3" t="str">
        <f>HYPERLINK("http://ictvonline.org/taxonomyHistory.asp?taxnode_id=20161154","ICTVonline=20161154")</f>
        <v>ICTVonline=20161154</v>
      </c>
    </row>
    <row r="1422" spans="1:14" x14ac:dyDescent="0.15">
      <c r="A1422" s="3">
        <v>1421</v>
      </c>
      <c r="B1422" s="1" t="s">
        <v>1027</v>
      </c>
      <c r="C1422" s="1" t="s">
        <v>1479</v>
      </c>
      <c r="E1422" s="1" t="s">
        <v>1481</v>
      </c>
      <c r="F1422" s="1" t="s">
        <v>4481</v>
      </c>
      <c r="G1422" s="3">
        <v>0</v>
      </c>
      <c r="H1422" s="20" t="s">
        <v>6754</v>
      </c>
      <c r="I1422" s="20" t="s">
        <v>4482</v>
      </c>
      <c r="J1422" s="20" t="s">
        <v>3149</v>
      </c>
      <c r="K1422" s="20" t="s">
        <v>10021</v>
      </c>
      <c r="L1422" s="3">
        <v>30</v>
      </c>
      <c r="M1422" s="3" t="s">
        <v>10099</v>
      </c>
      <c r="N1422" s="3" t="str">
        <f>HYPERLINK("http://ictvonline.org/taxonomyHistory.asp?taxnode_id=20161155","ICTVonline=20161155")</f>
        <v>ICTVonline=20161155</v>
      </c>
    </row>
    <row r="1423" spans="1:14" x14ac:dyDescent="0.15">
      <c r="A1423" s="3">
        <v>1422</v>
      </c>
      <c r="B1423" s="1" t="s">
        <v>1027</v>
      </c>
      <c r="C1423" s="1" t="s">
        <v>1479</v>
      </c>
      <c r="E1423" s="1" t="s">
        <v>1481</v>
      </c>
      <c r="F1423" s="1" t="s">
        <v>4483</v>
      </c>
      <c r="G1423" s="3">
        <v>0</v>
      </c>
      <c r="H1423" s="20" t="s">
        <v>6755</v>
      </c>
      <c r="I1423" s="20" t="s">
        <v>4484</v>
      </c>
      <c r="J1423" s="20" t="s">
        <v>3149</v>
      </c>
      <c r="K1423" s="20" t="s">
        <v>10021</v>
      </c>
      <c r="L1423" s="3">
        <v>30</v>
      </c>
      <c r="M1423" s="3" t="s">
        <v>10099</v>
      </c>
      <c r="N1423" s="3" t="str">
        <f>HYPERLINK("http://ictvonline.org/taxonomyHistory.asp?taxnode_id=20161156","ICTVonline=20161156")</f>
        <v>ICTVonline=20161156</v>
      </c>
    </row>
    <row r="1424" spans="1:14" x14ac:dyDescent="0.15">
      <c r="A1424" s="3">
        <v>1423</v>
      </c>
      <c r="B1424" s="1" t="s">
        <v>1027</v>
      </c>
      <c r="C1424" s="1" t="s">
        <v>1479</v>
      </c>
      <c r="E1424" s="1" t="s">
        <v>1481</v>
      </c>
      <c r="F1424" s="1" t="s">
        <v>4485</v>
      </c>
      <c r="G1424" s="3">
        <v>1</v>
      </c>
      <c r="H1424" s="20" t="s">
        <v>6756</v>
      </c>
      <c r="I1424" s="20" t="s">
        <v>4486</v>
      </c>
      <c r="J1424" s="20" t="s">
        <v>3149</v>
      </c>
      <c r="K1424" s="20" t="s">
        <v>10021</v>
      </c>
      <c r="L1424" s="3">
        <v>30</v>
      </c>
      <c r="M1424" s="3" t="s">
        <v>10099</v>
      </c>
      <c r="N1424" s="3" t="str">
        <f>HYPERLINK("http://ictvonline.org/taxonomyHistory.asp?taxnode_id=20161157","ICTVonline=20161157")</f>
        <v>ICTVonline=20161157</v>
      </c>
    </row>
    <row r="1425" spans="1:14" x14ac:dyDescent="0.15">
      <c r="A1425" s="3">
        <v>1424</v>
      </c>
      <c r="B1425" s="1" t="s">
        <v>1027</v>
      </c>
      <c r="C1425" s="1" t="s">
        <v>1479</v>
      </c>
      <c r="E1425" s="1" t="s">
        <v>1481</v>
      </c>
      <c r="F1425" s="1" t="s">
        <v>4487</v>
      </c>
      <c r="G1425" s="3">
        <v>0</v>
      </c>
      <c r="H1425" s="20" t="s">
        <v>6757</v>
      </c>
      <c r="I1425" s="20" t="s">
        <v>4488</v>
      </c>
      <c r="J1425" s="20" t="s">
        <v>3149</v>
      </c>
      <c r="K1425" s="20" t="s">
        <v>10021</v>
      </c>
      <c r="L1425" s="3">
        <v>30</v>
      </c>
      <c r="M1425" s="3" t="s">
        <v>10099</v>
      </c>
      <c r="N1425" s="3" t="str">
        <f>HYPERLINK("http://ictvonline.org/taxonomyHistory.asp?taxnode_id=20161158","ICTVonline=20161158")</f>
        <v>ICTVonline=20161158</v>
      </c>
    </row>
    <row r="1426" spans="1:14" x14ac:dyDescent="0.15">
      <c r="A1426" s="3">
        <v>1425</v>
      </c>
      <c r="B1426" s="1" t="s">
        <v>1027</v>
      </c>
      <c r="C1426" s="1" t="s">
        <v>1479</v>
      </c>
      <c r="E1426" s="1" t="s">
        <v>1481</v>
      </c>
      <c r="F1426" s="1" t="s">
        <v>8951</v>
      </c>
      <c r="G1426" s="3">
        <v>0</v>
      </c>
      <c r="H1426" s="20" t="s">
        <v>8952</v>
      </c>
      <c r="I1426" s="20" t="s">
        <v>8953</v>
      </c>
      <c r="J1426" s="20" t="s">
        <v>3149</v>
      </c>
      <c r="K1426" s="20" t="s">
        <v>10013</v>
      </c>
      <c r="L1426" s="3">
        <v>31</v>
      </c>
      <c r="M1426" s="3" t="s">
        <v>8950</v>
      </c>
      <c r="N1426" s="3" t="str">
        <f>HYPERLINK("http://ictvonline.org/taxonomyHistory.asp?taxnode_id=20165175","ICTVonline=20165175")</f>
        <v>ICTVonline=20165175</v>
      </c>
    </row>
    <row r="1427" spans="1:14" x14ac:dyDescent="0.15">
      <c r="A1427" s="3">
        <v>1426</v>
      </c>
      <c r="B1427" s="1" t="s">
        <v>1027</v>
      </c>
      <c r="C1427" s="1" t="s">
        <v>1479</v>
      </c>
      <c r="E1427" s="1" t="s">
        <v>1481</v>
      </c>
      <c r="F1427" s="1" t="s">
        <v>8954</v>
      </c>
      <c r="G1427" s="3">
        <v>0</v>
      </c>
      <c r="H1427" s="20" t="s">
        <v>8955</v>
      </c>
      <c r="I1427" s="20" t="s">
        <v>8956</v>
      </c>
      <c r="J1427" s="20" t="s">
        <v>3149</v>
      </c>
      <c r="K1427" s="20" t="s">
        <v>10013</v>
      </c>
      <c r="L1427" s="3">
        <v>31</v>
      </c>
      <c r="M1427" s="3" t="s">
        <v>8950</v>
      </c>
      <c r="N1427" s="3" t="str">
        <f>HYPERLINK("http://ictvonline.org/taxonomyHistory.asp?taxnode_id=20165176","ICTVonline=20165176")</f>
        <v>ICTVonline=20165176</v>
      </c>
    </row>
    <row r="1428" spans="1:14" x14ac:dyDescent="0.15">
      <c r="A1428" s="3">
        <v>1427</v>
      </c>
      <c r="B1428" s="1" t="s">
        <v>1027</v>
      </c>
      <c r="C1428" s="1" t="s">
        <v>1479</v>
      </c>
      <c r="E1428" s="1" t="s">
        <v>1481</v>
      </c>
      <c r="F1428" s="1" t="s">
        <v>4489</v>
      </c>
      <c r="G1428" s="3">
        <v>0</v>
      </c>
      <c r="H1428" s="20" t="s">
        <v>6758</v>
      </c>
      <c r="I1428" s="20" t="s">
        <v>4490</v>
      </c>
      <c r="J1428" s="20" t="s">
        <v>3149</v>
      </c>
      <c r="K1428" s="20" t="s">
        <v>10021</v>
      </c>
      <c r="L1428" s="3">
        <v>30</v>
      </c>
      <c r="M1428" s="3" t="s">
        <v>10099</v>
      </c>
      <c r="N1428" s="3" t="str">
        <f>HYPERLINK("http://ictvonline.org/taxonomyHistory.asp?taxnode_id=20161159","ICTVonline=20161159")</f>
        <v>ICTVonline=20161159</v>
      </c>
    </row>
    <row r="1429" spans="1:14" x14ac:dyDescent="0.15">
      <c r="A1429" s="3">
        <v>1428</v>
      </c>
      <c r="B1429" s="1" t="s">
        <v>1027</v>
      </c>
      <c r="C1429" s="1" t="s">
        <v>1479</v>
      </c>
      <c r="E1429" s="1" t="s">
        <v>1481</v>
      </c>
      <c r="F1429" s="1" t="s">
        <v>8957</v>
      </c>
      <c r="G1429" s="3">
        <v>0</v>
      </c>
      <c r="H1429" s="20" t="s">
        <v>8958</v>
      </c>
      <c r="I1429" s="20" t="s">
        <v>8959</v>
      </c>
      <c r="J1429" s="20" t="s">
        <v>3149</v>
      </c>
      <c r="K1429" s="20" t="s">
        <v>10013</v>
      </c>
      <c r="L1429" s="3">
        <v>31</v>
      </c>
      <c r="M1429" s="3" t="s">
        <v>8950</v>
      </c>
      <c r="N1429" s="3" t="str">
        <f>HYPERLINK("http://ictvonline.org/taxonomyHistory.asp?taxnode_id=20165177","ICTVonline=20165177")</f>
        <v>ICTVonline=20165177</v>
      </c>
    </row>
    <row r="1430" spans="1:14" x14ac:dyDescent="0.15">
      <c r="A1430" s="3">
        <v>1429</v>
      </c>
      <c r="B1430" s="1" t="s">
        <v>1027</v>
      </c>
      <c r="C1430" s="1" t="s">
        <v>1479</v>
      </c>
      <c r="E1430" s="1" t="s">
        <v>1481</v>
      </c>
      <c r="F1430" s="1" t="s">
        <v>4491</v>
      </c>
      <c r="G1430" s="3">
        <v>0</v>
      </c>
      <c r="H1430" s="20" t="s">
        <v>6759</v>
      </c>
      <c r="I1430" s="20" t="s">
        <v>4492</v>
      </c>
      <c r="J1430" s="20" t="s">
        <v>3149</v>
      </c>
      <c r="K1430" s="20" t="s">
        <v>10021</v>
      </c>
      <c r="L1430" s="3">
        <v>30</v>
      </c>
      <c r="M1430" s="3" t="s">
        <v>10099</v>
      </c>
      <c r="N1430" s="3" t="str">
        <f>HYPERLINK("http://ictvonline.org/taxonomyHistory.asp?taxnode_id=20161160","ICTVonline=20161160")</f>
        <v>ICTVonline=20161160</v>
      </c>
    </row>
    <row r="1431" spans="1:14" x14ac:dyDescent="0.15">
      <c r="A1431" s="3">
        <v>1430</v>
      </c>
      <c r="B1431" s="1" t="s">
        <v>1027</v>
      </c>
      <c r="C1431" s="1" t="s">
        <v>1479</v>
      </c>
      <c r="E1431" s="1" t="s">
        <v>1481</v>
      </c>
      <c r="F1431" s="1" t="s">
        <v>8960</v>
      </c>
      <c r="G1431" s="3">
        <v>0</v>
      </c>
      <c r="H1431" s="20" t="s">
        <v>8961</v>
      </c>
      <c r="I1431" s="20" t="s">
        <v>8962</v>
      </c>
      <c r="J1431" s="20" t="s">
        <v>3149</v>
      </c>
      <c r="K1431" s="20" t="s">
        <v>10013</v>
      </c>
      <c r="L1431" s="3">
        <v>31</v>
      </c>
      <c r="M1431" s="3" t="s">
        <v>8950</v>
      </c>
      <c r="N1431" s="3" t="str">
        <f>HYPERLINK("http://ictvonline.org/taxonomyHistory.asp?taxnode_id=20165178","ICTVonline=20165178")</f>
        <v>ICTVonline=20165178</v>
      </c>
    </row>
    <row r="1432" spans="1:14" x14ac:dyDescent="0.15">
      <c r="A1432" s="3">
        <v>1431</v>
      </c>
      <c r="B1432" s="1" t="s">
        <v>1027</v>
      </c>
      <c r="C1432" s="1" t="s">
        <v>1479</v>
      </c>
      <c r="E1432" s="1" t="s">
        <v>1481</v>
      </c>
      <c r="F1432" s="1" t="s">
        <v>4493</v>
      </c>
      <c r="G1432" s="3">
        <v>0</v>
      </c>
      <c r="I1432" s="20" t="s">
        <v>4494</v>
      </c>
      <c r="J1432" s="20" t="s">
        <v>3149</v>
      </c>
      <c r="K1432" s="20" t="s">
        <v>10021</v>
      </c>
      <c r="L1432" s="3">
        <v>30</v>
      </c>
      <c r="M1432" s="3" t="s">
        <v>10099</v>
      </c>
      <c r="N1432" s="3" t="str">
        <f>HYPERLINK("http://ictvonline.org/taxonomyHistory.asp?taxnode_id=20161161","ICTVonline=20161161")</f>
        <v>ICTVonline=20161161</v>
      </c>
    </row>
    <row r="1433" spans="1:14" x14ac:dyDescent="0.15">
      <c r="A1433" s="3">
        <v>1432</v>
      </c>
      <c r="B1433" s="1" t="s">
        <v>1027</v>
      </c>
      <c r="C1433" s="1" t="s">
        <v>1479</v>
      </c>
      <c r="E1433" s="1" t="s">
        <v>1481</v>
      </c>
      <c r="F1433" s="1" t="s">
        <v>8963</v>
      </c>
      <c r="G1433" s="3">
        <v>0</v>
      </c>
      <c r="H1433" s="20" t="s">
        <v>8964</v>
      </c>
      <c r="I1433" s="20" t="s">
        <v>8965</v>
      </c>
      <c r="J1433" s="20" t="s">
        <v>3149</v>
      </c>
      <c r="K1433" s="20" t="s">
        <v>10013</v>
      </c>
      <c r="L1433" s="3">
        <v>31</v>
      </c>
      <c r="M1433" s="3" t="s">
        <v>8950</v>
      </c>
      <c r="N1433" s="3" t="str">
        <f>HYPERLINK("http://ictvonline.org/taxonomyHistory.asp?taxnode_id=20165179","ICTVonline=20165179")</f>
        <v>ICTVonline=20165179</v>
      </c>
    </row>
    <row r="1434" spans="1:14" x14ac:dyDescent="0.15">
      <c r="A1434" s="3">
        <v>1433</v>
      </c>
      <c r="B1434" s="1" t="s">
        <v>1027</v>
      </c>
      <c r="C1434" s="1" t="s">
        <v>1479</v>
      </c>
      <c r="E1434" s="1" t="s">
        <v>1481</v>
      </c>
      <c r="F1434" s="1" t="s">
        <v>8966</v>
      </c>
      <c r="G1434" s="3">
        <v>0</v>
      </c>
      <c r="H1434" s="20" t="s">
        <v>8967</v>
      </c>
      <c r="I1434" s="20" t="s">
        <v>8968</v>
      </c>
      <c r="J1434" s="20" t="s">
        <v>3149</v>
      </c>
      <c r="K1434" s="20" t="s">
        <v>10013</v>
      </c>
      <c r="L1434" s="3">
        <v>31</v>
      </c>
      <c r="M1434" s="3" t="s">
        <v>8950</v>
      </c>
      <c r="N1434" s="3" t="str">
        <f>HYPERLINK("http://ictvonline.org/taxonomyHistory.asp?taxnode_id=20165180","ICTVonline=20165180")</f>
        <v>ICTVonline=20165180</v>
      </c>
    </row>
    <row r="1435" spans="1:14" x14ac:dyDescent="0.15">
      <c r="A1435" s="3">
        <v>1434</v>
      </c>
      <c r="B1435" s="1" t="s">
        <v>1027</v>
      </c>
      <c r="C1435" s="1" t="s">
        <v>4495</v>
      </c>
      <c r="E1435" s="1" t="s">
        <v>4496</v>
      </c>
      <c r="F1435" s="1" t="s">
        <v>4497</v>
      </c>
      <c r="G1435" s="3">
        <v>1</v>
      </c>
      <c r="H1435" s="20" t="s">
        <v>7368</v>
      </c>
      <c r="I1435" s="20" t="s">
        <v>4498</v>
      </c>
      <c r="J1435" s="20" t="s">
        <v>3149</v>
      </c>
      <c r="K1435" s="20" t="s">
        <v>10013</v>
      </c>
      <c r="L1435" s="3">
        <v>30</v>
      </c>
      <c r="M1435" s="3" t="s">
        <v>10107</v>
      </c>
      <c r="N1435" s="3" t="str">
        <f>HYPERLINK("http://ictvonline.org/taxonomyHistory.asp?taxnode_id=20161165","ICTVonline=20161165")</f>
        <v>ICTVonline=20161165</v>
      </c>
    </row>
    <row r="1436" spans="1:14" x14ac:dyDescent="0.15">
      <c r="A1436" s="3">
        <v>1435</v>
      </c>
      <c r="B1436" s="1" t="s">
        <v>1027</v>
      </c>
      <c r="C1436" s="1" t="s">
        <v>926</v>
      </c>
      <c r="E1436" s="1" t="s">
        <v>4499</v>
      </c>
      <c r="F1436" s="1" t="s">
        <v>4500</v>
      </c>
      <c r="G1436" s="3">
        <v>1</v>
      </c>
      <c r="H1436" s="20" t="s">
        <v>7369</v>
      </c>
      <c r="I1436" s="20" t="s">
        <v>7291</v>
      </c>
      <c r="J1436" s="20" t="s">
        <v>3149</v>
      </c>
      <c r="K1436" s="20" t="s">
        <v>10013</v>
      </c>
      <c r="L1436" s="3">
        <v>30</v>
      </c>
      <c r="M1436" s="3" t="s">
        <v>10108</v>
      </c>
      <c r="N1436" s="3" t="str">
        <f>HYPERLINK("http://ictvonline.org/taxonomyHistory.asp?taxnode_id=20161169","ICTVonline=20161169")</f>
        <v>ICTVonline=20161169</v>
      </c>
    </row>
    <row r="1437" spans="1:14" x14ac:dyDescent="0.15">
      <c r="A1437" s="3">
        <v>1436</v>
      </c>
      <c r="B1437" s="1" t="s">
        <v>1027</v>
      </c>
      <c r="C1437" s="1" t="s">
        <v>926</v>
      </c>
      <c r="E1437" s="1" t="s">
        <v>4501</v>
      </c>
      <c r="F1437" s="1" t="s">
        <v>4502</v>
      </c>
      <c r="G1437" s="3">
        <v>1</v>
      </c>
      <c r="H1437" s="20" t="s">
        <v>7370</v>
      </c>
      <c r="I1437" s="20" t="s">
        <v>7292</v>
      </c>
      <c r="J1437" s="20" t="s">
        <v>3149</v>
      </c>
      <c r="K1437" s="20" t="s">
        <v>10013</v>
      </c>
      <c r="L1437" s="3">
        <v>30</v>
      </c>
      <c r="M1437" s="3" t="s">
        <v>10108</v>
      </c>
      <c r="N1437" s="3" t="str">
        <f>HYPERLINK("http://ictvonline.org/taxonomyHistory.asp?taxnode_id=20161171","ICTVonline=20161171")</f>
        <v>ICTVonline=20161171</v>
      </c>
    </row>
    <row r="1438" spans="1:14" x14ac:dyDescent="0.15">
      <c r="A1438" s="3">
        <v>1437</v>
      </c>
      <c r="B1438" s="1" t="s">
        <v>1027</v>
      </c>
      <c r="C1438" s="1" t="s">
        <v>926</v>
      </c>
      <c r="E1438" s="1" t="s">
        <v>4503</v>
      </c>
      <c r="F1438" s="1" t="s">
        <v>4504</v>
      </c>
      <c r="G1438" s="3">
        <v>1</v>
      </c>
      <c r="H1438" s="20" t="s">
        <v>7371</v>
      </c>
      <c r="I1438" s="20" t="s">
        <v>7293</v>
      </c>
      <c r="J1438" s="20" t="s">
        <v>3149</v>
      </c>
      <c r="K1438" s="20" t="s">
        <v>10013</v>
      </c>
      <c r="L1438" s="3">
        <v>30</v>
      </c>
      <c r="M1438" s="3" t="s">
        <v>10108</v>
      </c>
      <c r="N1438" s="3" t="str">
        <f>HYPERLINK("http://ictvonline.org/taxonomyHistory.asp?taxnode_id=20161173","ICTVonline=20161173")</f>
        <v>ICTVonline=20161173</v>
      </c>
    </row>
    <row r="1439" spans="1:14" x14ac:dyDescent="0.15">
      <c r="A1439" s="3">
        <v>1438</v>
      </c>
      <c r="B1439" s="1" t="s">
        <v>1027</v>
      </c>
      <c r="C1439" s="1" t="s">
        <v>926</v>
      </c>
      <c r="E1439" s="1" t="s">
        <v>4505</v>
      </c>
      <c r="F1439" s="1" t="s">
        <v>4506</v>
      </c>
      <c r="G1439" s="3">
        <v>1</v>
      </c>
      <c r="H1439" s="20" t="s">
        <v>7372</v>
      </c>
      <c r="I1439" s="20" t="s">
        <v>7294</v>
      </c>
      <c r="J1439" s="20" t="s">
        <v>3149</v>
      </c>
      <c r="K1439" s="20" t="s">
        <v>10013</v>
      </c>
      <c r="L1439" s="3">
        <v>30</v>
      </c>
      <c r="M1439" s="3" t="s">
        <v>10108</v>
      </c>
      <c r="N1439" s="3" t="str">
        <f>HYPERLINK("http://ictvonline.org/taxonomyHistory.asp?taxnode_id=20161175","ICTVonline=20161175")</f>
        <v>ICTVonline=20161175</v>
      </c>
    </row>
    <row r="1440" spans="1:14" x14ac:dyDescent="0.15">
      <c r="A1440" s="3">
        <v>1439</v>
      </c>
      <c r="B1440" s="1" t="s">
        <v>1027</v>
      </c>
      <c r="C1440" s="1" t="s">
        <v>926</v>
      </c>
      <c r="E1440" s="1" t="s">
        <v>4507</v>
      </c>
      <c r="F1440" s="1" t="s">
        <v>4508</v>
      </c>
      <c r="G1440" s="3">
        <v>1</v>
      </c>
      <c r="H1440" s="20" t="s">
        <v>7373</v>
      </c>
      <c r="I1440" s="20" t="s">
        <v>7295</v>
      </c>
      <c r="J1440" s="20" t="s">
        <v>3149</v>
      </c>
      <c r="K1440" s="20" t="s">
        <v>10013</v>
      </c>
      <c r="L1440" s="3">
        <v>30</v>
      </c>
      <c r="M1440" s="3" t="s">
        <v>10108</v>
      </c>
      <c r="N1440" s="3" t="str">
        <f>HYPERLINK("http://ictvonline.org/taxonomyHistory.asp?taxnode_id=20161177","ICTVonline=20161177")</f>
        <v>ICTVonline=20161177</v>
      </c>
    </row>
    <row r="1441" spans="1:14" x14ac:dyDescent="0.15">
      <c r="A1441" s="3">
        <v>1440</v>
      </c>
      <c r="B1441" s="1" t="s">
        <v>1482</v>
      </c>
      <c r="C1441" s="1" t="s">
        <v>1483</v>
      </c>
      <c r="E1441" s="1" t="s">
        <v>10563</v>
      </c>
      <c r="F1441" s="1" t="s">
        <v>4519</v>
      </c>
      <c r="G1441" s="3">
        <v>1</v>
      </c>
      <c r="H1441" s="20" t="s">
        <v>6769</v>
      </c>
      <c r="I1441" s="20" t="s">
        <v>4519</v>
      </c>
      <c r="J1441" s="20" t="s">
        <v>3160</v>
      </c>
      <c r="K1441" s="20" t="s">
        <v>10016</v>
      </c>
      <c r="L1441" s="3">
        <v>31</v>
      </c>
      <c r="M1441" s="3" t="s">
        <v>7495</v>
      </c>
      <c r="N1441" s="3" t="str">
        <f>HYPERLINK("http://ictvonline.org/taxonomyHistory.asp?taxnode_id=20161196","ICTVonline=20161196")</f>
        <v>ICTVonline=20161196</v>
      </c>
    </row>
    <row r="1442" spans="1:14" x14ac:dyDescent="0.15">
      <c r="A1442" s="3">
        <v>1441</v>
      </c>
      <c r="B1442" s="1" t="s">
        <v>1482</v>
      </c>
      <c r="C1442" s="1" t="s">
        <v>1483</v>
      </c>
      <c r="E1442" s="1" t="s">
        <v>10564</v>
      </c>
      <c r="F1442" s="1" t="s">
        <v>1484</v>
      </c>
      <c r="G1442" s="3">
        <v>1</v>
      </c>
      <c r="H1442" s="20" t="s">
        <v>7496</v>
      </c>
      <c r="J1442" s="20" t="s">
        <v>3160</v>
      </c>
      <c r="K1442" s="20" t="s">
        <v>10016</v>
      </c>
      <c r="L1442" s="3">
        <v>31</v>
      </c>
      <c r="M1442" s="3" t="s">
        <v>7495</v>
      </c>
      <c r="N1442" s="3" t="str">
        <f>HYPERLINK("http://ictvonline.org/taxonomyHistory.asp?taxnode_id=20161183","ICTVonline=20161183")</f>
        <v>ICTVonline=20161183</v>
      </c>
    </row>
    <row r="1443" spans="1:14" x14ac:dyDescent="0.15">
      <c r="A1443" s="3">
        <v>1442</v>
      </c>
      <c r="B1443" s="1" t="s">
        <v>1482</v>
      </c>
      <c r="C1443" s="1" t="s">
        <v>1483</v>
      </c>
      <c r="E1443" s="1" t="s">
        <v>10565</v>
      </c>
      <c r="F1443" s="1" t="s">
        <v>7497</v>
      </c>
      <c r="G1443" s="3">
        <v>1</v>
      </c>
      <c r="H1443" s="20" t="s">
        <v>6761</v>
      </c>
      <c r="I1443" s="20" t="s">
        <v>4509</v>
      </c>
      <c r="J1443" s="20" t="s">
        <v>3160</v>
      </c>
      <c r="K1443" s="20" t="s">
        <v>10014</v>
      </c>
      <c r="L1443" s="3">
        <v>31</v>
      </c>
      <c r="M1443" s="3" t="s">
        <v>7495</v>
      </c>
      <c r="N1443" s="3" t="str">
        <f>HYPERLINK("http://ictvonline.org/taxonomyHistory.asp?taxnode_id=20161184","ICTVonline=20161184")</f>
        <v>ICTVonline=20161184</v>
      </c>
    </row>
    <row r="1444" spans="1:14" x14ac:dyDescent="0.15">
      <c r="A1444" s="3">
        <v>1443</v>
      </c>
      <c r="B1444" s="1" t="s">
        <v>1482</v>
      </c>
      <c r="C1444" s="1" t="s">
        <v>1483</v>
      </c>
      <c r="E1444" s="1" t="s">
        <v>10566</v>
      </c>
      <c r="F1444" s="1" t="s">
        <v>1485</v>
      </c>
      <c r="G1444" s="3">
        <v>1</v>
      </c>
      <c r="H1444" s="20" t="s">
        <v>7498</v>
      </c>
      <c r="I1444" s="20" t="s">
        <v>7499</v>
      </c>
      <c r="J1444" s="20" t="s">
        <v>3160</v>
      </c>
      <c r="K1444" s="20" t="s">
        <v>10016</v>
      </c>
      <c r="L1444" s="3">
        <v>31</v>
      </c>
      <c r="M1444" s="3" t="s">
        <v>7495</v>
      </c>
      <c r="N1444" s="3" t="str">
        <f>HYPERLINK("http://ictvonline.org/taxonomyHistory.asp?taxnode_id=20161188","ICTVonline=20161188")</f>
        <v>ICTVonline=20161188</v>
      </c>
    </row>
    <row r="1445" spans="1:14" x14ac:dyDescent="0.15">
      <c r="A1445" s="3">
        <v>1444</v>
      </c>
      <c r="B1445" s="1" t="s">
        <v>1482</v>
      </c>
      <c r="C1445" s="1" t="s">
        <v>1483</v>
      </c>
      <c r="E1445" s="1" t="s">
        <v>10566</v>
      </c>
      <c r="F1445" s="1" t="s">
        <v>4515</v>
      </c>
      <c r="G1445" s="3">
        <v>0</v>
      </c>
      <c r="H1445" s="20" t="s">
        <v>7500</v>
      </c>
      <c r="J1445" s="20" t="s">
        <v>3160</v>
      </c>
      <c r="K1445" s="20" t="s">
        <v>10016</v>
      </c>
      <c r="L1445" s="3">
        <v>31</v>
      </c>
      <c r="M1445" s="3" t="s">
        <v>7495</v>
      </c>
      <c r="N1445" s="3" t="str">
        <f>HYPERLINK("http://ictvonline.org/taxonomyHistory.asp?taxnode_id=20161191","ICTVonline=20161191")</f>
        <v>ICTVonline=20161191</v>
      </c>
    </row>
    <row r="1446" spans="1:14" x14ac:dyDescent="0.15">
      <c r="A1446" s="3">
        <v>1445</v>
      </c>
      <c r="B1446" s="1" t="s">
        <v>1482</v>
      </c>
      <c r="C1446" s="1" t="s">
        <v>1483</v>
      </c>
      <c r="E1446" s="1" t="s">
        <v>10566</v>
      </c>
      <c r="F1446" s="1" t="s">
        <v>4516</v>
      </c>
      <c r="G1446" s="3">
        <v>0</v>
      </c>
      <c r="H1446" s="20" t="s">
        <v>6767</v>
      </c>
      <c r="I1446" s="20" t="s">
        <v>4517</v>
      </c>
      <c r="J1446" s="20" t="s">
        <v>3160</v>
      </c>
      <c r="K1446" s="20" t="s">
        <v>10016</v>
      </c>
      <c r="L1446" s="3">
        <v>31</v>
      </c>
      <c r="M1446" s="3" t="s">
        <v>7495</v>
      </c>
      <c r="N1446" s="3" t="str">
        <f>HYPERLINK("http://ictvonline.org/taxonomyHistory.asp?taxnode_id=20161192","ICTVonline=20161192")</f>
        <v>ICTVonline=20161192</v>
      </c>
    </row>
    <row r="1447" spans="1:14" x14ac:dyDescent="0.15">
      <c r="A1447" s="3">
        <v>1446</v>
      </c>
      <c r="B1447" s="1" t="s">
        <v>1482</v>
      </c>
      <c r="C1447" s="1" t="s">
        <v>1483</v>
      </c>
      <c r="E1447" s="1" t="s">
        <v>10566</v>
      </c>
      <c r="F1447" s="1" t="s">
        <v>8969</v>
      </c>
      <c r="G1447" s="3">
        <v>0</v>
      </c>
      <c r="H1447" s="20" t="s">
        <v>8970</v>
      </c>
      <c r="J1447" s="20" t="s">
        <v>3160</v>
      </c>
      <c r="K1447" s="20" t="s">
        <v>10013</v>
      </c>
      <c r="L1447" s="3">
        <v>31</v>
      </c>
      <c r="M1447" s="3" t="s">
        <v>7495</v>
      </c>
      <c r="N1447" s="3" t="str">
        <f>HYPERLINK("http://ictvonline.org/taxonomyHistory.asp?taxnode_id=20165181","ICTVonline=20165181")</f>
        <v>ICTVonline=20165181</v>
      </c>
    </row>
    <row r="1448" spans="1:14" x14ac:dyDescent="0.15">
      <c r="A1448" s="3">
        <v>1447</v>
      </c>
      <c r="B1448" s="1" t="s">
        <v>1482</v>
      </c>
      <c r="C1448" s="1" t="s">
        <v>1483</v>
      </c>
      <c r="E1448" s="1" t="s">
        <v>10567</v>
      </c>
      <c r="F1448" s="1" t="s">
        <v>6434</v>
      </c>
      <c r="G1448" s="3">
        <v>0</v>
      </c>
      <c r="H1448" s="20" t="s">
        <v>6760</v>
      </c>
      <c r="I1448" s="20" t="s">
        <v>6434</v>
      </c>
      <c r="J1448" s="20" t="s">
        <v>3160</v>
      </c>
      <c r="K1448" s="20" t="s">
        <v>10014</v>
      </c>
      <c r="L1448" s="3">
        <v>31</v>
      </c>
      <c r="M1448" s="3" t="s">
        <v>7495</v>
      </c>
      <c r="N1448" s="3" t="str">
        <f>HYPERLINK("http://ictvonline.org/taxonomyHistory.asp?taxnode_id=20161182","ICTVonline=20161182")</f>
        <v>ICTVonline=20161182</v>
      </c>
    </row>
    <row r="1449" spans="1:14" x14ac:dyDescent="0.15">
      <c r="A1449" s="3">
        <v>1448</v>
      </c>
      <c r="B1449" s="1" t="s">
        <v>1482</v>
      </c>
      <c r="C1449" s="1" t="s">
        <v>1483</v>
      </c>
      <c r="E1449" s="1" t="s">
        <v>10567</v>
      </c>
      <c r="F1449" s="1" t="s">
        <v>8971</v>
      </c>
      <c r="G1449" s="3">
        <v>0</v>
      </c>
      <c r="H1449" s="20" t="s">
        <v>8972</v>
      </c>
      <c r="I1449" s="20" t="s">
        <v>8971</v>
      </c>
      <c r="J1449" s="20" t="s">
        <v>3160</v>
      </c>
      <c r="K1449" s="20" t="s">
        <v>10013</v>
      </c>
      <c r="L1449" s="3">
        <v>31</v>
      </c>
      <c r="M1449" s="3" t="s">
        <v>7495</v>
      </c>
      <c r="N1449" s="3" t="str">
        <f>HYPERLINK("http://ictvonline.org/taxonomyHistory.asp?taxnode_id=20165182","ICTVonline=20165182")</f>
        <v>ICTVonline=20165182</v>
      </c>
    </row>
    <row r="1450" spans="1:14" x14ac:dyDescent="0.15">
      <c r="A1450" s="3">
        <v>1449</v>
      </c>
      <c r="B1450" s="1" t="s">
        <v>1482</v>
      </c>
      <c r="C1450" s="1" t="s">
        <v>1483</v>
      </c>
      <c r="E1450" s="1" t="s">
        <v>10567</v>
      </c>
      <c r="F1450" s="1" t="s">
        <v>8973</v>
      </c>
      <c r="G1450" s="3">
        <v>0</v>
      </c>
      <c r="H1450" s="20" t="s">
        <v>8974</v>
      </c>
      <c r="I1450" s="20" t="s">
        <v>8975</v>
      </c>
      <c r="J1450" s="20" t="s">
        <v>3160</v>
      </c>
      <c r="K1450" s="20" t="s">
        <v>10013</v>
      </c>
      <c r="L1450" s="3">
        <v>31</v>
      </c>
      <c r="M1450" s="3" t="s">
        <v>7495</v>
      </c>
      <c r="N1450" s="3" t="str">
        <f>HYPERLINK("http://ictvonline.org/taxonomyHistory.asp?taxnode_id=20165183","ICTVonline=20165183")</f>
        <v>ICTVonline=20165183</v>
      </c>
    </row>
    <row r="1451" spans="1:14" x14ac:dyDescent="0.15">
      <c r="A1451" s="3">
        <v>1450</v>
      </c>
      <c r="B1451" s="1" t="s">
        <v>1482</v>
      </c>
      <c r="C1451" s="1" t="s">
        <v>1483</v>
      </c>
      <c r="E1451" s="1" t="s">
        <v>10567</v>
      </c>
      <c r="F1451" s="1" t="s">
        <v>4510</v>
      </c>
      <c r="G1451" s="3">
        <v>0</v>
      </c>
      <c r="H1451" s="20" t="s">
        <v>6762</v>
      </c>
      <c r="I1451" s="20" t="s">
        <v>4510</v>
      </c>
      <c r="J1451" s="20" t="s">
        <v>3160</v>
      </c>
      <c r="K1451" s="20" t="s">
        <v>10016</v>
      </c>
      <c r="L1451" s="3">
        <v>31</v>
      </c>
      <c r="M1451" s="3" t="s">
        <v>7495</v>
      </c>
      <c r="N1451" s="3" t="str">
        <f>HYPERLINK("http://ictvonline.org/taxonomyHistory.asp?taxnode_id=20161185","ICTVonline=20161185")</f>
        <v>ICTVonline=20161185</v>
      </c>
    </row>
    <row r="1452" spans="1:14" x14ac:dyDescent="0.15">
      <c r="A1452" s="3">
        <v>1451</v>
      </c>
      <c r="B1452" s="1" t="s">
        <v>1482</v>
      </c>
      <c r="C1452" s="1" t="s">
        <v>1483</v>
      </c>
      <c r="E1452" s="1" t="s">
        <v>10567</v>
      </c>
      <c r="F1452" s="1" t="s">
        <v>4511</v>
      </c>
      <c r="G1452" s="3">
        <v>0</v>
      </c>
      <c r="H1452" s="20" t="s">
        <v>6763</v>
      </c>
      <c r="I1452" s="20" t="s">
        <v>4511</v>
      </c>
      <c r="J1452" s="20" t="s">
        <v>3160</v>
      </c>
      <c r="K1452" s="20" t="s">
        <v>10016</v>
      </c>
      <c r="L1452" s="3">
        <v>31</v>
      </c>
      <c r="M1452" s="3" t="s">
        <v>7495</v>
      </c>
      <c r="N1452" s="3" t="str">
        <f>HYPERLINK("http://ictvonline.org/taxonomyHistory.asp?taxnode_id=20161186","ICTVonline=20161186")</f>
        <v>ICTVonline=20161186</v>
      </c>
    </row>
    <row r="1453" spans="1:14" x14ac:dyDescent="0.15">
      <c r="A1453" s="3">
        <v>1452</v>
      </c>
      <c r="B1453" s="1" t="s">
        <v>1482</v>
      </c>
      <c r="C1453" s="1" t="s">
        <v>1483</v>
      </c>
      <c r="E1453" s="1" t="s">
        <v>10567</v>
      </c>
      <c r="F1453" s="1" t="s">
        <v>4512</v>
      </c>
      <c r="G1453" s="3">
        <v>0</v>
      </c>
      <c r="H1453" s="20" t="s">
        <v>6764</v>
      </c>
      <c r="I1453" s="20" t="s">
        <v>4512</v>
      </c>
      <c r="J1453" s="20" t="s">
        <v>3160</v>
      </c>
      <c r="K1453" s="20" t="s">
        <v>10016</v>
      </c>
      <c r="L1453" s="3">
        <v>31</v>
      </c>
      <c r="M1453" s="3" t="s">
        <v>7495</v>
      </c>
      <c r="N1453" s="3" t="str">
        <f>HYPERLINK("http://ictvonline.org/taxonomyHistory.asp?taxnode_id=20161187","ICTVonline=20161187")</f>
        <v>ICTVonline=20161187</v>
      </c>
    </row>
    <row r="1454" spans="1:14" x14ac:dyDescent="0.15">
      <c r="A1454" s="3">
        <v>1453</v>
      </c>
      <c r="B1454" s="1" t="s">
        <v>1482</v>
      </c>
      <c r="C1454" s="1" t="s">
        <v>1483</v>
      </c>
      <c r="E1454" s="1" t="s">
        <v>10567</v>
      </c>
      <c r="F1454" s="1" t="s">
        <v>4513</v>
      </c>
      <c r="G1454" s="3">
        <v>0</v>
      </c>
      <c r="H1454" s="20" t="s">
        <v>6765</v>
      </c>
      <c r="I1454" s="20" t="s">
        <v>4513</v>
      </c>
      <c r="J1454" s="20" t="s">
        <v>3160</v>
      </c>
      <c r="K1454" s="20" t="s">
        <v>10016</v>
      </c>
      <c r="L1454" s="3">
        <v>31</v>
      </c>
      <c r="M1454" s="3" t="s">
        <v>7495</v>
      </c>
      <c r="N1454" s="3" t="str">
        <f>HYPERLINK("http://ictvonline.org/taxonomyHistory.asp?taxnode_id=20161189","ICTVonline=20161189")</f>
        <v>ICTVonline=20161189</v>
      </c>
    </row>
    <row r="1455" spans="1:14" x14ac:dyDescent="0.15">
      <c r="A1455" s="3">
        <v>1454</v>
      </c>
      <c r="B1455" s="1" t="s">
        <v>1482</v>
      </c>
      <c r="C1455" s="1" t="s">
        <v>1483</v>
      </c>
      <c r="E1455" s="1" t="s">
        <v>10567</v>
      </c>
      <c r="F1455" s="1" t="s">
        <v>4514</v>
      </c>
      <c r="G1455" s="3">
        <v>0</v>
      </c>
      <c r="H1455" s="20" t="s">
        <v>6766</v>
      </c>
      <c r="I1455" s="20" t="s">
        <v>4514</v>
      </c>
      <c r="J1455" s="20" t="s">
        <v>3160</v>
      </c>
      <c r="K1455" s="20" t="s">
        <v>10016</v>
      </c>
      <c r="L1455" s="3">
        <v>31</v>
      </c>
      <c r="M1455" s="3" t="s">
        <v>7495</v>
      </c>
      <c r="N1455" s="3" t="str">
        <f>HYPERLINK("http://ictvonline.org/taxonomyHistory.asp?taxnode_id=20161190","ICTVonline=20161190")</f>
        <v>ICTVonline=20161190</v>
      </c>
    </row>
    <row r="1456" spans="1:14" x14ac:dyDescent="0.15">
      <c r="A1456" s="3">
        <v>1455</v>
      </c>
      <c r="B1456" s="1" t="s">
        <v>1482</v>
      </c>
      <c r="C1456" s="1" t="s">
        <v>1483</v>
      </c>
      <c r="E1456" s="1" t="s">
        <v>10567</v>
      </c>
      <c r="F1456" s="1" t="s">
        <v>4518</v>
      </c>
      <c r="G1456" s="3">
        <v>0</v>
      </c>
      <c r="H1456" s="20" t="s">
        <v>6768</v>
      </c>
      <c r="I1456" s="20" t="s">
        <v>4518</v>
      </c>
      <c r="J1456" s="20" t="s">
        <v>3160</v>
      </c>
      <c r="K1456" s="20" t="s">
        <v>10016</v>
      </c>
      <c r="L1456" s="3">
        <v>31</v>
      </c>
      <c r="M1456" s="3" t="s">
        <v>7495</v>
      </c>
      <c r="N1456" s="3" t="str">
        <f>HYPERLINK("http://ictvonline.org/taxonomyHistory.asp?taxnode_id=20161193","ICTVonline=20161193")</f>
        <v>ICTVonline=20161193</v>
      </c>
    </row>
    <row r="1457" spans="1:14" x14ac:dyDescent="0.15">
      <c r="A1457" s="3">
        <v>1456</v>
      </c>
      <c r="B1457" s="1" t="s">
        <v>1482</v>
      </c>
      <c r="C1457" s="1" t="s">
        <v>1483</v>
      </c>
      <c r="E1457" s="1" t="s">
        <v>10567</v>
      </c>
      <c r="F1457" s="1" t="s">
        <v>1421</v>
      </c>
      <c r="G1457" s="3">
        <v>1</v>
      </c>
      <c r="H1457" s="20" t="s">
        <v>7501</v>
      </c>
      <c r="J1457" s="20" t="s">
        <v>3160</v>
      </c>
      <c r="K1457" s="20" t="s">
        <v>10016</v>
      </c>
      <c r="L1457" s="3">
        <v>31</v>
      </c>
      <c r="M1457" s="3" t="s">
        <v>7495</v>
      </c>
      <c r="N1457" s="3" t="str">
        <f>HYPERLINK("http://ictvonline.org/taxonomyHistory.asp?taxnode_id=20161194","ICTVonline=20161194")</f>
        <v>ICTVonline=20161194</v>
      </c>
    </row>
    <row r="1458" spans="1:14" x14ac:dyDescent="0.15">
      <c r="A1458" s="3">
        <v>1457</v>
      </c>
      <c r="B1458" s="1" t="s">
        <v>1482</v>
      </c>
      <c r="C1458" s="1" t="s">
        <v>1422</v>
      </c>
      <c r="D1458" s="1" t="s">
        <v>1912</v>
      </c>
      <c r="E1458" s="1" t="s">
        <v>1913</v>
      </c>
      <c r="F1458" s="1" t="s">
        <v>1914</v>
      </c>
      <c r="G1458" s="3">
        <v>1</v>
      </c>
      <c r="J1458" s="20" t="s">
        <v>3160</v>
      </c>
      <c r="K1458" s="20" t="s">
        <v>10109</v>
      </c>
      <c r="L1458" s="3">
        <v>25</v>
      </c>
      <c r="M1458" s="3" t="s">
        <v>10110</v>
      </c>
      <c r="N1458" s="3" t="str">
        <f>HYPERLINK("http://ictvonline.org/taxonomyHistory.asp?taxnode_id=20161200","ICTVonline=20161200")</f>
        <v>ICTVonline=20161200</v>
      </c>
    </row>
    <row r="1459" spans="1:14" x14ac:dyDescent="0.15">
      <c r="A1459" s="3">
        <v>1458</v>
      </c>
      <c r="B1459" s="1" t="s">
        <v>1482</v>
      </c>
      <c r="C1459" s="1" t="s">
        <v>1422</v>
      </c>
      <c r="D1459" s="1" t="s">
        <v>1912</v>
      </c>
      <c r="E1459" s="1" t="s">
        <v>1913</v>
      </c>
      <c r="F1459" s="1" t="s">
        <v>4520</v>
      </c>
      <c r="G1459" s="3">
        <v>0</v>
      </c>
      <c r="H1459" s="20" t="s">
        <v>6770</v>
      </c>
      <c r="I1459" s="20" t="s">
        <v>4521</v>
      </c>
      <c r="J1459" s="20" t="s">
        <v>3160</v>
      </c>
      <c r="K1459" s="20" t="s">
        <v>10013</v>
      </c>
      <c r="L1459" s="3">
        <v>30</v>
      </c>
      <c r="M1459" s="3" t="s">
        <v>10111</v>
      </c>
      <c r="N1459" s="3" t="str">
        <f>HYPERLINK("http://ictvonline.org/taxonomyHistory.asp?taxnode_id=20161201","ICTVonline=20161201")</f>
        <v>ICTVonline=20161201</v>
      </c>
    </row>
    <row r="1460" spans="1:14" x14ac:dyDescent="0.15">
      <c r="A1460" s="3">
        <v>1459</v>
      </c>
      <c r="B1460" s="1" t="s">
        <v>1482</v>
      </c>
      <c r="C1460" s="1" t="s">
        <v>1422</v>
      </c>
      <c r="D1460" s="1" t="s">
        <v>1912</v>
      </c>
      <c r="E1460" s="1" t="s">
        <v>1913</v>
      </c>
      <c r="F1460" s="1" t="s">
        <v>4522</v>
      </c>
      <c r="G1460" s="3">
        <v>0</v>
      </c>
      <c r="H1460" s="20" t="s">
        <v>6771</v>
      </c>
      <c r="I1460" s="20" t="s">
        <v>4523</v>
      </c>
      <c r="J1460" s="20" t="s">
        <v>3160</v>
      </c>
      <c r="K1460" s="20" t="s">
        <v>10013</v>
      </c>
      <c r="L1460" s="3">
        <v>30</v>
      </c>
      <c r="M1460" s="3" t="s">
        <v>10111</v>
      </c>
      <c r="N1460" s="3" t="str">
        <f>HYPERLINK("http://ictvonline.org/taxonomyHistory.asp?taxnode_id=20161202","ICTVonline=20161202")</f>
        <v>ICTVonline=20161202</v>
      </c>
    </row>
    <row r="1461" spans="1:14" x14ac:dyDescent="0.15">
      <c r="A1461" s="3">
        <v>1460</v>
      </c>
      <c r="B1461" s="1" t="s">
        <v>1482</v>
      </c>
      <c r="C1461" s="1" t="s">
        <v>1422</v>
      </c>
      <c r="D1461" s="1" t="s">
        <v>1912</v>
      </c>
      <c r="E1461" s="1" t="s">
        <v>1913</v>
      </c>
      <c r="F1461" s="1" t="s">
        <v>1423</v>
      </c>
      <c r="G1461" s="3">
        <v>0</v>
      </c>
      <c r="J1461" s="20" t="s">
        <v>3160</v>
      </c>
      <c r="K1461" s="20" t="s">
        <v>10016</v>
      </c>
      <c r="L1461" s="3">
        <v>25</v>
      </c>
      <c r="M1461" s="3" t="s">
        <v>10110</v>
      </c>
      <c r="N1461" s="3" t="str">
        <f>HYPERLINK("http://ictvonline.org/taxonomyHistory.asp?taxnode_id=20161203","ICTVonline=20161203")</f>
        <v>ICTVonline=20161203</v>
      </c>
    </row>
    <row r="1462" spans="1:14" x14ac:dyDescent="0.15">
      <c r="A1462" s="3">
        <v>1461</v>
      </c>
      <c r="B1462" s="1" t="s">
        <v>1482</v>
      </c>
      <c r="C1462" s="1" t="s">
        <v>1422</v>
      </c>
      <c r="D1462" s="1" t="s">
        <v>1912</v>
      </c>
      <c r="E1462" s="1" t="s">
        <v>1913</v>
      </c>
      <c r="F1462" s="1" t="s">
        <v>1091</v>
      </c>
      <c r="G1462" s="3">
        <v>0</v>
      </c>
      <c r="J1462" s="20" t="s">
        <v>3160</v>
      </c>
      <c r="K1462" s="20" t="s">
        <v>10016</v>
      </c>
      <c r="L1462" s="3">
        <v>25</v>
      </c>
      <c r="M1462" s="3" t="s">
        <v>10110</v>
      </c>
      <c r="N1462" s="3" t="str">
        <f>HYPERLINK("http://ictvonline.org/taxonomyHistory.asp?taxnode_id=20161204","ICTVonline=20161204")</f>
        <v>ICTVonline=20161204</v>
      </c>
    </row>
    <row r="1463" spans="1:14" x14ac:dyDescent="0.15">
      <c r="A1463" s="3">
        <v>1462</v>
      </c>
      <c r="B1463" s="1" t="s">
        <v>1482</v>
      </c>
      <c r="C1463" s="1" t="s">
        <v>1422</v>
      </c>
      <c r="D1463" s="1" t="s">
        <v>1912</v>
      </c>
      <c r="E1463" s="1" t="s">
        <v>1913</v>
      </c>
      <c r="F1463" s="1" t="s">
        <v>578</v>
      </c>
      <c r="G1463" s="3">
        <v>0</v>
      </c>
      <c r="J1463" s="20" t="s">
        <v>3160</v>
      </c>
      <c r="K1463" s="20" t="s">
        <v>10013</v>
      </c>
      <c r="L1463" s="3">
        <v>25</v>
      </c>
      <c r="M1463" s="3" t="s">
        <v>10110</v>
      </c>
      <c r="N1463" s="3" t="str">
        <f>HYPERLINK("http://ictvonline.org/taxonomyHistory.asp?taxnode_id=20161205","ICTVonline=20161205")</f>
        <v>ICTVonline=20161205</v>
      </c>
    </row>
    <row r="1464" spans="1:14" x14ac:dyDescent="0.15">
      <c r="A1464" s="3">
        <v>1463</v>
      </c>
      <c r="B1464" s="1" t="s">
        <v>1482</v>
      </c>
      <c r="C1464" s="1" t="s">
        <v>1422</v>
      </c>
      <c r="D1464" s="1" t="s">
        <v>1912</v>
      </c>
      <c r="E1464" s="1" t="s">
        <v>1913</v>
      </c>
      <c r="F1464" s="1" t="s">
        <v>579</v>
      </c>
      <c r="G1464" s="3">
        <v>0</v>
      </c>
      <c r="J1464" s="20" t="s">
        <v>3160</v>
      </c>
      <c r="K1464" s="20" t="s">
        <v>10013</v>
      </c>
      <c r="L1464" s="3">
        <v>25</v>
      </c>
      <c r="M1464" s="3" t="s">
        <v>10110</v>
      </c>
      <c r="N1464" s="3" t="str">
        <f>HYPERLINK("http://ictvonline.org/taxonomyHistory.asp?taxnode_id=20161206","ICTVonline=20161206")</f>
        <v>ICTVonline=20161206</v>
      </c>
    </row>
    <row r="1465" spans="1:14" x14ac:dyDescent="0.15">
      <c r="A1465" s="3">
        <v>1464</v>
      </c>
      <c r="B1465" s="1" t="s">
        <v>1482</v>
      </c>
      <c r="C1465" s="1" t="s">
        <v>1422</v>
      </c>
      <c r="D1465" s="1" t="s">
        <v>1912</v>
      </c>
      <c r="E1465" s="1" t="s">
        <v>1913</v>
      </c>
      <c r="F1465" s="1" t="s">
        <v>4524</v>
      </c>
      <c r="G1465" s="3">
        <v>0</v>
      </c>
      <c r="H1465" s="20" t="s">
        <v>6772</v>
      </c>
      <c r="I1465" s="20" t="s">
        <v>4525</v>
      </c>
      <c r="J1465" s="20" t="s">
        <v>3160</v>
      </c>
      <c r="K1465" s="20" t="s">
        <v>10013</v>
      </c>
      <c r="L1465" s="3">
        <v>30</v>
      </c>
      <c r="M1465" s="3" t="s">
        <v>10111</v>
      </c>
      <c r="N1465" s="3" t="str">
        <f>HYPERLINK("http://ictvonline.org/taxonomyHistory.asp?taxnode_id=20161207","ICTVonline=20161207")</f>
        <v>ICTVonline=20161207</v>
      </c>
    </row>
    <row r="1466" spans="1:14" x14ac:dyDescent="0.15">
      <c r="A1466" s="3">
        <v>1465</v>
      </c>
      <c r="B1466" s="1" t="s">
        <v>1482</v>
      </c>
      <c r="C1466" s="1" t="s">
        <v>1422</v>
      </c>
      <c r="D1466" s="1" t="s">
        <v>1912</v>
      </c>
      <c r="E1466" s="1" t="s">
        <v>1913</v>
      </c>
      <c r="F1466" s="1" t="s">
        <v>1092</v>
      </c>
      <c r="G1466" s="3">
        <v>0</v>
      </c>
      <c r="J1466" s="20" t="s">
        <v>3160</v>
      </c>
      <c r="K1466" s="20" t="s">
        <v>10016</v>
      </c>
      <c r="L1466" s="3">
        <v>25</v>
      </c>
      <c r="M1466" s="3" t="s">
        <v>10110</v>
      </c>
      <c r="N1466" s="3" t="str">
        <f>HYPERLINK("http://ictvonline.org/taxonomyHistory.asp?taxnode_id=20161208","ICTVonline=20161208")</f>
        <v>ICTVonline=20161208</v>
      </c>
    </row>
    <row r="1467" spans="1:14" x14ac:dyDescent="0.15">
      <c r="A1467" s="3">
        <v>1466</v>
      </c>
      <c r="B1467" s="1" t="s">
        <v>1482</v>
      </c>
      <c r="C1467" s="1" t="s">
        <v>1422</v>
      </c>
      <c r="D1467" s="1" t="s">
        <v>1912</v>
      </c>
      <c r="E1467" s="1" t="s">
        <v>1913</v>
      </c>
      <c r="F1467" s="1" t="s">
        <v>580</v>
      </c>
      <c r="G1467" s="3">
        <v>0</v>
      </c>
      <c r="J1467" s="20" t="s">
        <v>3160</v>
      </c>
      <c r="K1467" s="20" t="s">
        <v>10013</v>
      </c>
      <c r="L1467" s="3">
        <v>25</v>
      </c>
      <c r="M1467" s="3" t="s">
        <v>10110</v>
      </c>
      <c r="N1467" s="3" t="str">
        <f>HYPERLINK("http://ictvonline.org/taxonomyHistory.asp?taxnode_id=20161209","ICTVonline=20161209")</f>
        <v>ICTVonline=20161209</v>
      </c>
    </row>
    <row r="1468" spans="1:14" x14ac:dyDescent="0.15">
      <c r="A1468" s="3">
        <v>1467</v>
      </c>
      <c r="B1468" s="1" t="s">
        <v>1482</v>
      </c>
      <c r="C1468" s="1" t="s">
        <v>1422</v>
      </c>
      <c r="D1468" s="1" t="s">
        <v>1912</v>
      </c>
      <c r="E1468" s="1" t="s">
        <v>1913</v>
      </c>
      <c r="F1468" s="1" t="s">
        <v>581</v>
      </c>
      <c r="G1468" s="3">
        <v>0</v>
      </c>
      <c r="J1468" s="20" t="s">
        <v>3160</v>
      </c>
      <c r="K1468" s="20" t="s">
        <v>10013</v>
      </c>
      <c r="L1468" s="3">
        <v>25</v>
      </c>
      <c r="M1468" s="3" t="s">
        <v>10110</v>
      </c>
      <c r="N1468" s="3" t="str">
        <f>HYPERLINK("http://ictvonline.org/taxonomyHistory.asp?taxnode_id=20161210","ICTVonline=20161210")</f>
        <v>ICTVonline=20161210</v>
      </c>
    </row>
    <row r="1469" spans="1:14" x14ac:dyDescent="0.15">
      <c r="A1469" s="3">
        <v>1468</v>
      </c>
      <c r="B1469" s="1" t="s">
        <v>1482</v>
      </c>
      <c r="C1469" s="1" t="s">
        <v>1422</v>
      </c>
      <c r="D1469" s="1" t="s">
        <v>1912</v>
      </c>
      <c r="E1469" s="1" t="s">
        <v>472</v>
      </c>
      <c r="F1469" s="1" t="s">
        <v>474</v>
      </c>
      <c r="G1469" s="3">
        <v>0</v>
      </c>
      <c r="J1469" s="20" t="s">
        <v>3160</v>
      </c>
      <c r="K1469" s="20" t="s">
        <v>10016</v>
      </c>
      <c r="L1469" s="3">
        <v>25</v>
      </c>
      <c r="M1469" s="3" t="s">
        <v>10110</v>
      </c>
      <c r="N1469" s="3" t="str">
        <f>HYPERLINK("http://ictvonline.org/taxonomyHistory.asp?taxnode_id=20161212","ICTVonline=20161212")</f>
        <v>ICTVonline=20161212</v>
      </c>
    </row>
    <row r="1470" spans="1:14" x14ac:dyDescent="0.15">
      <c r="A1470" s="3">
        <v>1469</v>
      </c>
      <c r="B1470" s="1" t="s">
        <v>1482</v>
      </c>
      <c r="C1470" s="1" t="s">
        <v>1422</v>
      </c>
      <c r="D1470" s="1" t="s">
        <v>1912</v>
      </c>
      <c r="E1470" s="1" t="s">
        <v>472</v>
      </c>
      <c r="F1470" s="1" t="s">
        <v>4526</v>
      </c>
      <c r="G1470" s="3">
        <v>0</v>
      </c>
      <c r="H1470" s="20" t="s">
        <v>6773</v>
      </c>
      <c r="I1470" s="20" t="s">
        <v>4527</v>
      </c>
      <c r="J1470" s="20" t="s">
        <v>3160</v>
      </c>
      <c r="K1470" s="20" t="s">
        <v>10013</v>
      </c>
      <c r="L1470" s="3">
        <v>30</v>
      </c>
      <c r="M1470" s="3" t="s">
        <v>10111</v>
      </c>
      <c r="N1470" s="3" t="str">
        <f>HYPERLINK("http://ictvonline.org/taxonomyHistory.asp?taxnode_id=20161213","ICTVonline=20161213")</f>
        <v>ICTVonline=20161213</v>
      </c>
    </row>
    <row r="1471" spans="1:14" x14ac:dyDescent="0.15">
      <c r="A1471" s="3">
        <v>1470</v>
      </c>
      <c r="B1471" s="1" t="s">
        <v>1482</v>
      </c>
      <c r="C1471" s="1" t="s">
        <v>1422</v>
      </c>
      <c r="D1471" s="1" t="s">
        <v>1912</v>
      </c>
      <c r="E1471" s="1" t="s">
        <v>472</v>
      </c>
      <c r="F1471" s="1" t="s">
        <v>1436</v>
      </c>
      <c r="G1471" s="3">
        <v>0</v>
      </c>
      <c r="J1471" s="20" t="s">
        <v>3160</v>
      </c>
      <c r="K1471" s="20" t="s">
        <v>10016</v>
      </c>
      <c r="L1471" s="3">
        <v>25</v>
      </c>
      <c r="M1471" s="3" t="s">
        <v>10110</v>
      </c>
      <c r="N1471" s="3" t="str">
        <f>HYPERLINK("http://ictvonline.org/taxonomyHistory.asp?taxnode_id=20161214","ICTVonline=20161214")</f>
        <v>ICTVonline=20161214</v>
      </c>
    </row>
    <row r="1472" spans="1:14" x14ac:dyDescent="0.15">
      <c r="A1472" s="3">
        <v>1471</v>
      </c>
      <c r="B1472" s="1" t="s">
        <v>1482</v>
      </c>
      <c r="C1472" s="1" t="s">
        <v>1422</v>
      </c>
      <c r="D1472" s="1" t="s">
        <v>1912</v>
      </c>
      <c r="E1472" s="1" t="s">
        <v>472</v>
      </c>
      <c r="F1472" s="1" t="s">
        <v>4528</v>
      </c>
      <c r="G1472" s="3">
        <v>0</v>
      </c>
      <c r="H1472" s="20" t="s">
        <v>6774</v>
      </c>
      <c r="I1472" s="20" t="s">
        <v>4529</v>
      </c>
      <c r="J1472" s="20" t="s">
        <v>3160</v>
      </c>
      <c r="K1472" s="20" t="s">
        <v>10013</v>
      </c>
      <c r="L1472" s="3">
        <v>30</v>
      </c>
      <c r="M1472" s="3" t="s">
        <v>10111</v>
      </c>
      <c r="N1472" s="3" t="str">
        <f>HYPERLINK("http://ictvonline.org/taxonomyHistory.asp?taxnode_id=20161215","ICTVonline=20161215")</f>
        <v>ICTVonline=20161215</v>
      </c>
    </row>
    <row r="1473" spans="1:14" x14ac:dyDescent="0.15">
      <c r="A1473" s="3">
        <v>1472</v>
      </c>
      <c r="B1473" s="1" t="s">
        <v>1482</v>
      </c>
      <c r="C1473" s="1" t="s">
        <v>1422</v>
      </c>
      <c r="D1473" s="1" t="s">
        <v>1912</v>
      </c>
      <c r="E1473" s="1" t="s">
        <v>472</v>
      </c>
      <c r="F1473" s="1" t="s">
        <v>473</v>
      </c>
      <c r="G1473" s="3">
        <v>1</v>
      </c>
      <c r="J1473" s="20" t="s">
        <v>3160</v>
      </c>
      <c r="K1473" s="20" t="s">
        <v>10109</v>
      </c>
      <c r="L1473" s="3">
        <v>25</v>
      </c>
      <c r="M1473" s="3" t="s">
        <v>10110</v>
      </c>
      <c r="N1473" s="3" t="str">
        <f>HYPERLINK("http://ictvonline.org/taxonomyHistory.asp?taxnode_id=20161216","ICTVonline=20161216")</f>
        <v>ICTVonline=20161216</v>
      </c>
    </row>
    <row r="1474" spans="1:14" x14ac:dyDescent="0.15">
      <c r="A1474" s="3">
        <v>1473</v>
      </c>
      <c r="B1474" s="1" t="s">
        <v>1482</v>
      </c>
      <c r="C1474" s="1" t="s">
        <v>1422</v>
      </c>
      <c r="D1474" s="1" t="s">
        <v>1912</v>
      </c>
      <c r="E1474" s="1" t="s">
        <v>472</v>
      </c>
      <c r="F1474" s="1" t="s">
        <v>582</v>
      </c>
      <c r="G1474" s="3">
        <v>0</v>
      </c>
      <c r="J1474" s="20" t="s">
        <v>3160</v>
      </c>
      <c r="K1474" s="20" t="s">
        <v>10013</v>
      </c>
      <c r="L1474" s="3">
        <v>25</v>
      </c>
      <c r="M1474" s="3" t="s">
        <v>10110</v>
      </c>
      <c r="N1474" s="3" t="str">
        <f>HYPERLINK("http://ictvonline.org/taxonomyHistory.asp?taxnode_id=20161217","ICTVonline=20161217")</f>
        <v>ICTVonline=20161217</v>
      </c>
    </row>
    <row r="1475" spans="1:14" x14ac:dyDescent="0.15">
      <c r="A1475" s="3">
        <v>1474</v>
      </c>
      <c r="B1475" s="1" t="s">
        <v>1482</v>
      </c>
      <c r="C1475" s="1" t="s">
        <v>1422</v>
      </c>
      <c r="D1475" s="1" t="s">
        <v>1912</v>
      </c>
      <c r="E1475" s="1" t="s">
        <v>472</v>
      </c>
      <c r="F1475" s="1" t="s">
        <v>583</v>
      </c>
      <c r="G1475" s="3">
        <v>0</v>
      </c>
      <c r="J1475" s="20" t="s">
        <v>3160</v>
      </c>
      <c r="K1475" s="20" t="s">
        <v>10013</v>
      </c>
      <c r="L1475" s="3">
        <v>25</v>
      </c>
      <c r="M1475" s="3" t="s">
        <v>10110</v>
      </c>
      <c r="N1475" s="3" t="str">
        <f>HYPERLINK("http://ictvonline.org/taxonomyHistory.asp?taxnode_id=20161218","ICTVonline=20161218")</f>
        <v>ICTVonline=20161218</v>
      </c>
    </row>
    <row r="1476" spans="1:14" x14ac:dyDescent="0.15">
      <c r="A1476" s="3">
        <v>1475</v>
      </c>
      <c r="B1476" s="1" t="s">
        <v>1482</v>
      </c>
      <c r="C1476" s="1" t="s">
        <v>1422</v>
      </c>
      <c r="D1476" s="1" t="s">
        <v>1912</v>
      </c>
      <c r="E1476" s="1" t="s">
        <v>472</v>
      </c>
      <c r="F1476" s="1" t="s">
        <v>1405</v>
      </c>
      <c r="G1476" s="3">
        <v>0</v>
      </c>
      <c r="J1476" s="20" t="s">
        <v>3160</v>
      </c>
      <c r="K1476" s="20" t="s">
        <v>10014</v>
      </c>
      <c r="L1476" s="3">
        <v>25</v>
      </c>
      <c r="M1476" s="3" t="s">
        <v>10110</v>
      </c>
      <c r="N1476" s="3" t="str">
        <f>HYPERLINK("http://ictvonline.org/taxonomyHistory.asp?taxnode_id=20161219","ICTVonline=20161219")</f>
        <v>ICTVonline=20161219</v>
      </c>
    </row>
    <row r="1477" spans="1:14" x14ac:dyDescent="0.15">
      <c r="A1477" s="3">
        <v>1476</v>
      </c>
      <c r="B1477" s="1" t="s">
        <v>1482</v>
      </c>
      <c r="C1477" s="1" t="s">
        <v>1422</v>
      </c>
      <c r="D1477" s="1" t="s">
        <v>1912</v>
      </c>
      <c r="E1477" s="1" t="s">
        <v>472</v>
      </c>
      <c r="F1477" s="1" t="s">
        <v>584</v>
      </c>
      <c r="G1477" s="3">
        <v>0</v>
      </c>
      <c r="J1477" s="20" t="s">
        <v>3160</v>
      </c>
      <c r="K1477" s="20" t="s">
        <v>10013</v>
      </c>
      <c r="L1477" s="3">
        <v>25</v>
      </c>
      <c r="M1477" s="3" t="s">
        <v>10110</v>
      </c>
      <c r="N1477" s="3" t="str">
        <f>HYPERLINK("http://ictvonline.org/taxonomyHistory.asp?taxnode_id=20161220","ICTVonline=20161220")</f>
        <v>ICTVonline=20161220</v>
      </c>
    </row>
    <row r="1478" spans="1:14" x14ac:dyDescent="0.15">
      <c r="A1478" s="3">
        <v>1477</v>
      </c>
      <c r="B1478" s="1" t="s">
        <v>1482</v>
      </c>
      <c r="C1478" s="1" t="s">
        <v>1422</v>
      </c>
      <c r="D1478" s="1" t="s">
        <v>1912</v>
      </c>
      <c r="E1478" s="1" t="s">
        <v>0</v>
      </c>
      <c r="F1478" s="1" t="s">
        <v>1</v>
      </c>
      <c r="G1478" s="3">
        <v>1</v>
      </c>
      <c r="J1478" s="20" t="s">
        <v>3160</v>
      </c>
      <c r="K1478" s="20" t="s">
        <v>10072</v>
      </c>
      <c r="L1478" s="3">
        <v>26</v>
      </c>
      <c r="M1478" s="3" t="s">
        <v>10112</v>
      </c>
      <c r="N1478" s="3" t="str">
        <f>HYPERLINK("http://ictvonline.org/taxonomyHistory.asp?taxnode_id=20161222","ICTVonline=20161222")</f>
        <v>ICTVonline=20161222</v>
      </c>
    </row>
    <row r="1479" spans="1:14" x14ac:dyDescent="0.15">
      <c r="A1479" s="3">
        <v>1478</v>
      </c>
      <c r="B1479" s="1" t="s">
        <v>1482</v>
      </c>
      <c r="C1479" s="1" t="s">
        <v>1422</v>
      </c>
      <c r="D1479" s="1" t="s">
        <v>1912</v>
      </c>
      <c r="E1479" s="1" t="s">
        <v>0</v>
      </c>
      <c r="F1479" s="1" t="s">
        <v>4530</v>
      </c>
      <c r="G1479" s="3">
        <v>0</v>
      </c>
      <c r="H1479" s="20" t="s">
        <v>6775</v>
      </c>
      <c r="I1479" s="20" t="s">
        <v>4530</v>
      </c>
      <c r="J1479" s="20" t="s">
        <v>3160</v>
      </c>
      <c r="K1479" s="20" t="s">
        <v>10013</v>
      </c>
      <c r="L1479" s="3">
        <v>30</v>
      </c>
      <c r="M1479" s="3" t="s">
        <v>10111</v>
      </c>
      <c r="N1479" s="3" t="str">
        <f>HYPERLINK("http://ictvonline.org/taxonomyHistory.asp?taxnode_id=20161223","ICTVonline=20161223")</f>
        <v>ICTVonline=20161223</v>
      </c>
    </row>
    <row r="1480" spans="1:14" x14ac:dyDescent="0.15">
      <c r="A1480" s="3">
        <v>1479</v>
      </c>
      <c r="B1480" s="1" t="s">
        <v>1482</v>
      </c>
      <c r="C1480" s="1" t="s">
        <v>1422</v>
      </c>
      <c r="D1480" s="1" t="s">
        <v>1912</v>
      </c>
      <c r="E1480" s="1" t="s">
        <v>0</v>
      </c>
      <c r="F1480" s="1" t="s">
        <v>4531</v>
      </c>
      <c r="G1480" s="3">
        <v>0</v>
      </c>
      <c r="H1480" s="20" t="s">
        <v>6776</v>
      </c>
      <c r="I1480" s="20" t="s">
        <v>4532</v>
      </c>
      <c r="J1480" s="20" t="s">
        <v>3160</v>
      </c>
      <c r="K1480" s="20" t="s">
        <v>10013</v>
      </c>
      <c r="L1480" s="3">
        <v>30</v>
      </c>
      <c r="M1480" s="3" t="s">
        <v>10111</v>
      </c>
      <c r="N1480" s="3" t="str">
        <f>HYPERLINK("http://ictvonline.org/taxonomyHistory.asp?taxnode_id=20161224","ICTVonline=20161224")</f>
        <v>ICTVonline=20161224</v>
      </c>
    </row>
    <row r="1481" spans="1:14" x14ac:dyDescent="0.15">
      <c r="A1481" s="3">
        <v>1480</v>
      </c>
      <c r="B1481" s="1" t="s">
        <v>1482</v>
      </c>
      <c r="C1481" s="1" t="s">
        <v>1422</v>
      </c>
      <c r="D1481" s="1" t="s">
        <v>1912</v>
      </c>
      <c r="E1481" s="1" t="s">
        <v>0</v>
      </c>
      <c r="F1481" s="1" t="s">
        <v>573</v>
      </c>
      <c r="G1481" s="3">
        <v>0</v>
      </c>
      <c r="J1481" s="20" t="s">
        <v>3160</v>
      </c>
      <c r="K1481" s="20" t="s">
        <v>10013</v>
      </c>
      <c r="L1481" s="3">
        <v>26</v>
      </c>
      <c r="M1481" s="3" t="s">
        <v>10112</v>
      </c>
      <c r="N1481" s="3" t="str">
        <f>HYPERLINK("http://ictvonline.org/taxonomyHistory.asp?taxnode_id=20161225","ICTVonline=20161225")</f>
        <v>ICTVonline=20161225</v>
      </c>
    </row>
    <row r="1482" spans="1:14" x14ac:dyDescent="0.15">
      <c r="A1482" s="3">
        <v>1481</v>
      </c>
      <c r="B1482" s="1" t="s">
        <v>1482</v>
      </c>
      <c r="C1482" s="1" t="s">
        <v>1422</v>
      </c>
      <c r="D1482" s="1" t="s">
        <v>1912</v>
      </c>
      <c r="E1482" s="1" t="s">
        <v>0</v>
      </c>
      <c r="F1482" s="1" t="s">
        <v>4533</v>
      </c>
      <c r="G1482" s="3">
        <v>0</v>
      </c>
      <c r="H1482" s="20" t="s">
        <v>6777</v>
      </c>
      <c r="I1482" s="20" t="s">
        <v>4533</v>
      </c>
      <c r="J1482" s="20" t="s">
        <v>3160</v>
      </c>
      <c r="K1482" s="20" t="s">
        <v>10013</v>
      </c>
      <c r="L1482" s="3">
        <v>30</v>
      </c>
      <c r="M1482" s="3" t="s">
        <v>10111</v>
      </c>
      <c r="N1482" s="3" t="str">
        <f>HYPERLINK("http://ictvonline.org/taxonomyHistory.asp?taxnode_id=20161226","ICTVonline=20161226")</f>
        <v>ICTVonline=20161226</v>
      </c>
    </row>
    <row r="1483" spans="1:14" x14ac:dyDescent="0.15">
      <c r="A1483" s="3">
        <v>1482</v>
      </c>
      <c r="B1483" s="1" t="s">
        <v>1482</v>
      </c>
      <c r="C1483" s="1" t="s">
        <v>1422</v>
      </c>
      <c r="D1483" s="1" t="s">
        <v>1912</v>
      </c>
      <c r="E1483" s="1" t="s">
        <v>0</v>
      </c>
      <c r="F1483" s="1" t="s">
        <v>2</v>
      </c>
      <c r="G1483" s="3">
        <v>0</v>
      </c>
      <c r="J1483" s="20" t="s">
        <v>3160</v>
      </c>
      <c r="K1483" s="20" t="s">
        <v>10013</v>
      </c>
      <c r="L1483" s="3">
        <v>26</v>
      </c>
      <c r="M1483" s="3" t="s">
        <v>10112</v>
      </c>
      <c r="N1483" s="3" t="str">
        <f>HYPERLINK("http://ictvonline.org/taxonomyHistory.asp?taxnode_id=20161227","ICTVonline=20161227")</f>
        <v>ICTVonline=20161227</v>
      </c>
    </row>
    <row r="1484" spans="1:14" x14ac:dyDescent="0.15">
      <c r="A1484" s="3">
        <v>1483</v>
      </c>
      <c r="B1484" s="1" t="s">
        <v>1482</v>
      </c>
      <c r="C1484" s="1" t="s">
        <v>1422</v>
      </c>
      <c r="D1484" s="1" t="s">
        <v>1912</v>
      </c>
      <c r="E1484" s="1" t="s">
        <v>0</v>
      </c>
      <c r="F1484" s="1" t="s">
        <v>4534</v>
      </c>
      <c r="G1484" s="3">
        <v>0</v>
      </c>
      <c r="H1484" s="20" t="s">
        <v>6778</v>
      </c>
      <c r="I1484" s="20" t="s">
        <v>4534</v>
      </c>
      <c r="J1484" s="20" t="s">
        <v>3160</v>
      </c>
      <c r="K1484" s="20" t="s">
        <v>10013</v>
      </c>
      <c r="L1484" s="3">
        <v>30</v>
      </c>
      <c r="M1484" s="3" t="s">
        <v>10111</v>
      </c>
      <c r="N1484" s="3" t="str">
        <f>HYPERLINK("http://ictvonline.org/taxonomyHistory.asp?taxnode_id=20161228","ICTVonline=20161228")</f>
        <v>ICTVonline=20161228</v>
      </c>
    </row>
    <row r="1485" spans="1:14" x14ac:dyDescent="0.15">
      <c r="A1485" s="3">
        <v>1484</v>
      </c>
      <c r="B1485" s="1" t="s">
        <v>1482</v>
      </c>
      <c r="C1485" s="1" t="s">
        <v>1422</v>
      </c>
      <c r="D1485" s="1" t="s">
        <v>1912</v>
      </c>
      <c r="E1485" s="1" t="s">
        <v>0</v>
      </c>
      <c r="F1485" s="1" t="s">
        <v>4535</v>
      </c>
      <c r="G1485" s="3">
        <v>0</v>
      </c>
      <c r="H1485" s="20" t="s">
        <v>6779</v>
      </c>
      <c r="I1485" s="20" t="s">
        <v>4535</v>
      </c>
      <c r="J1485" s="20" t="s">
        <v>3160</v>
      </c>
      <c r="K1485" s="20" t="s">
        <v>10013</v>
      </c>
      <c r="L1485" s="3">
        <v>30</v>
      </c>
      <c r="M1485" s="3" t="s">
        <v>10111</v>
      </c>
      <c r="N1485" s="3" t="str">
        <f>HYPERLINK("http://ictvonline.org/taxonomyHistory.asp?taxnode_id=20161229","ICTVonline=20161229")</f>
        <v>ICTVonline=20161229</v>
      </c>
    </row>
    <row r="1486" spans="1:14" x14ac:dyDescent="0.15">
      <c r="A1486" s="3">
        <v>1485</v>
      </c>
      <c r="B1486" s="1" t="s">
        <v>1482</v>
      </c>
      <c r="C1486" s="1" t="s">
        <v>1422</v>
      </c>
      <c r="D1486" s="1" t="s">
        <v>1912</v>
      </c>
      <c r="E1486" s="1" t="s">
        <v>439</v>
      </c>
      <c r="F1486" s="1" t="s">
        <v>440</v>
      </c>
      <c r="G1486" s="3">
        <v>1</v>
      </c>
      <c r="J1486" s="20" t="s">
        <v>3160</v>
      </c>
      <c r="K1486" s="20" t="s">
        <v>10109</v>
      </c>
      <c r="L1486" s="3">
        <v>25</v>
      </c>
      <c r="M1486" s="3" t="s">
        <v>10110</v>
      </c>
      <c r="N1486" s="3" t="str">
        <f>HYPERLINK("http://ictvonline.org/taxonomyHistory.asp?taxnode_id=20161231","ICTVonline=20161231")</f>
        <v>ICTVonline=20161231</v>
      </c>
    </row>
    <row r="1487" spans="1:14" x14ac:dyDescent="0.15">
      <c r="A1487" s="3">
        <v>1486</v>
      </c>
      <c r="B1487" s="1" t="s">
        <v>1482</v>
      </c>
      <c r="C1487" s="1" t="s">
        <v>1422</v>
      </c>
      <c r="D1487" s="1" t="s">
        <v>1912</v>
      </c>
      <c r="E1487" s="1" t="s">
        <v>439</v>
      </c>
      <c r="F1487" s="1" t="s">
        <v>441</v>
      </c>
      <c r="G1487" s="3">
        <v>0</v>
      </c>
      <c r="J1487" s="20" t="s">
        <v>3160</v>
      </c>
      <c r="K1487" s="20" t="s">
        <v>10013</v>
      </c>
      <c r="L1487" s="3">
        <v>25</v>
      </c>
      <c r="M1487" s="3" t="s">
        <v>10110</v>
      </c>
      <c r="N1487" s="3" t="str">
        <f>HYPERLINK("http://ictvonline.org/taxonomyHistory.asp?taxnode_id=20161232","ICTVonline=20161232")</f>
        <v>ICTVonline=20161232</v>
      </c>
    </row>
    <row r="1488" spans="1:14" x14ac:dyDescent="0.15">
      <c r="A1488" s="3">
        <v>1487</v>
      </c>
      <c r="B1488" s="1" t="s">
        <v>1482</v>
      </c>
      <c r="C1488" s="1" t="s">
        <v>1422</v>
      </c>
      <c r="D1488" s="1" t="s">
        <v>442</v>
      </c>
      <c r="E1488" s="1" t="s">
        <v>312</v>
      </c>
      <c r="F1488" s="1" t="s">
        <v>4536</v>
      </c>
      <c r="G1488" s="3">
        <v>0</v>
      </c>
      <c r="H1488" s="20" t="s">
        <v>6780</v>
      </c>
      <c r="I1488" s="20" t="s">
        <v>4537</v>
      </c>
      <c r="J1488" s="20" t="s">
        <v>3160</v>
      </c>
      <c r="K1488" s="20" t="s">
        <v>10013</v>
      </c>
      <c r="L1488" s="3">
        <v>30</v>
      </c>
      <c r="M1488" s="3" t="s">
        <v>10111</v>
      </c>
      <c r="N1488" s="3" t="str">
        <f>HYPERLINK("http://ictvonline.org/taxonomyHistory.asp?taxnode_id=20161235","ICTVonline=20161235")</f>
        <v>ICTVonline=20161235</v>
      </c>
    </row>
    <row r="1489" spans="1:14" x14ac:dyDescent="0.15">
      <c r="A1489" s="3">
        <v>1488</v>
      </c>
      <c r="B1489" s="1" t="s">
        <v>1482</v>
      </c>
      <c r="C1489" s="1" t="s">
        <v>1422</v>
      </c>
      <c r="D1489" s="1" t="s">
        <v>442</v>
      </c>
      <c r="E1489" s="1" t="s">
        <v>312</v>
      </c>
      <c r="F1489" s="1" t="s">
        <v>313</v>
      </c>
      <c r="G1489" s="3">
        <v>1</v>
      </c>
      <c r="J1489" s="20" t="s">
        <v>3160</v>
      </c>
      <c r="K1489" s="20" t="s">
        <v>10072</v>
      </c>
      <c r="L1489" s="3">
        <v>25</v>
      </c>
      <c r="M1489" s="3" t="s">
        <v>10110</v>
      </c>
      <c r="N1489" s="3" t="str">
        <f>HYPERLINK("http://ictvonline.org/taxonomyHistory.asp?taxnode_id=20161236","ICTVonline=20161236")</f>
        <v>ICTVonline=20161236</v>
      </c>
    </row>
    <row r="1490" spans="1:14" x14ac:dyDescent="0.15">
      <c r="A1490" s="3">
        <v>1489</v>
      </c>
      <c r="B1490" s="1" t="s">
        <v>1482</v>
      </c>
      <c r="C1490" s="1" t="s">
        <v>1422</v>
      </c>
      <c r="D1490" s="1" t="s">
        <v>442</v>
      </c>
      <c r="E1490" s="1" t="s">
        <v>1093</v>
      </c>
      <c r="F1490" s="1" t="s">
        <v>1094</v>
      </c>
      <c r="G1490" s="3">
        <v>0</v>
      </c>
      <c r="J1490" s="20" t="s">
        <v>3160</v>
      </c>
      <c r="K1490" s="20" t="s">
        <v>10016</v>
      </c>
      <c r="L1490" s="3">
        <v>25</v>
      </c>
      <c r="M1490" s="3" t="s">
        <v>10110</v>
      </c>
      <c r="N1490" s="3" t="str">
        <f>HYPERLINK("http://ictvonline.org/taxonomyHistory.asp?taxnode_id=20161238","ICTVonline=20161238")</f>
        <v>ICTVonline=20161238</v>
      </c>
    </row>
    <row r="1491" spans="1:14" x14ac:dyDescent="0.15">
      <c r="A1491" s="3">
        <v>1490</v>
      </c>
      <c r="B1491" s="1" t="s">
        <v>1482</v>
      </c>
      <c r="C1491" s="1" t="s">
        <v>1422</v>
      </c>
      <c r="D1491" s="1" t="s">
        <v>442</v>
      </c>
      <c r="E1491" s="1" t="s">
        <v>1093</v>
      </c>
      <c r="F1491" s="1" t="s">
        <v>696</v>
      </c>
      <c r="G1491" s="3">
        <v>1</v>
      </c>
      <c r="J1491" s="20" t="s">
        <v>3160</v>
      </c>
      <c r="K1491" s="20" t="s">
        <v>10016</v>
      </c>
      <c r="L1491" s="3">
        <v>25</v>
      </c>
      <c r="M1491" s="3" t="s">
        <v>10110</v>
      </c>
      <c r="N1491" s="3" t="str">
        <f>HYPERLINK("http://ictvonline.org/taxonomyHistory.asp?taxnode_id=20161239","ICTVonline=20161239")</f>
        <v>ICTVonline=20161239</v>
      </c>
    </row>
    <row r="1492" spans="1:14" x14ac:dyDescent="0.15">
      <c r="A1492" s="3">
        <v>1491</v>
      </c>
      <c r="B1492" s="1" t="s">
        <v>1482</v>
      </c>
      <c r="C1492" s="1" t="s">
        <v>1422</v>
      </c>
      <c r="D1492" s="1" t="s">
        <v>442</v>
      </c>
      <c r="E1492" s="1" t="s">
        <v>1093</v>
      </c>
      <c r="F1492" s="1" t="s">
        <v>1095</v>
      </c>
      <c r="G1492" s="3">
        <v>0</v>
      </c>
      <c r="J1492" s="20" t="s">
        <v>3160</v>
      </c>
      <c r="K1492" s="20" t="s">
        <v>10016</v>
      </c>
      <c r="L1492" s="3">
        <v>25</v>
      </c>
      <c r="M1492" s="3" t="s">
        <v>10110</v>
      </c>
      <c r="N1492" s="3" t="str">
        <f>HYPERLINK("http://ictvonline.org/taxonomyHistory.asp?taxnode_id=20161240","ICTVonline=20161240")</f>
        <v>ICTVonline=20161240</v>
      </c>
    </row>
    <row r="1493" spans="1:14" x14ac:dyDescent="0.15">
      <c r="A1493" s="3">
        <v>1492</v>
      </c>
      <c r="B1493" s="1" t="s">
        <v>1482</v>
      </c>
      <c r="C1493" s="1" t="s">
        <v>1422</v>
      </c>
      <c r="D1493" s="1" t="s">
        <v>442</v>
      </c>
      <c r="E1493" s="1" t="s">
        <v>1093</v>
      </c>
      <c r="F1493" s="1" t="s">
        <v>1096</v>
      </c>
      <c r="G1493" s="3">
        <v>0</v>
      </c>
      <c r="J1493" s="20" t="s">
        <v>3160</v>
      </c>
      <c r="K1493" s="20" t="s">
        <v>10016</v>
      </c>
      <c r="L1493" s="3">
        <v>25</v>
      </c>
      <c r="M1493" s="3" t="s">
        <v>10110</v>
      </c>
      <c r="N1493" s="3" t="str">
        <f>HYPERLINK("http://ictvonline.org/taxonomyHistory.asp?taxnode_id=20161241","ICTVonline=20161241")</f>
        <v>ICTVonline=20161241</v>
      </c>
    </row>
    <row r="1494" spans="1:14" x14ac:dyDescent="0.15">
      <c r="A1494" s="3">
        <v>1493</v>
      </c>
      <c r="B1494" s="1" t="s">
        <v>1482</v>
      </c>
      <c r="C1494" s="1" t="s">
        <v>1422</v>
      </c>
      <c r="D1494" s="1" t="s">
        <v>442</v>
      </c>
      <c r="E1494" s="1" t="s">
        <v>926</v>
      </c>
      <c r="F1494" s="1" t="s">
        <v>4538</v>
      </c>
      <c r="G1494" s="3">
        <v>0</v>
      </c>
      <c r="H1494" s="20" t="s">
        <v>6781</v>
      </c>
      <c r="I1494" s="20" t="s">
        <v>4539</v>
      </c>
      <c r="J1494" s="20" t="s">
        <v>3160</v>
      </c>
      <c r="K1494" s="20" t="s">
        <v>10013</v>
      </c>
      <c r="L1494" s="3">
        <v>30</v>
      </c>
      <c r="M1494" s="3" t="s">
        <v>10111</v>
      </c>
      <c r="N1494" s="3" t="str">
        <f>HYPERLINK("http://ictvonline.org/taxonomyHistory.asp?taxnode_id=20161243","ICTVonline=20161243")</f>
        <v>ICTVonline=20161243</v>
      </c>
    </row>
    <row r="1495" spans="1:14" x14ac:dyDescent="0.15">
      <c r="A1495" s="3">
        <v>1494</v>
      </c>
      <c r="B1495" s="1" t="s">
        <v>1482</v>
      </c>
      <c r="C1495" s="1" t="s">
        <v>1422</v>
      </c>
      <c r="D1495" s="1" t="s">
        <v>442</v>
      </c>
      <c r="E1495" s="1" t="s">
        <v>926</v>
      </c>
      <c r="F1495" s="1" t="s">
        <v>8976</v>
      </c>
      <c r="G1495" s="3">
        <v>0</v>
      </c>
      <c r="H1495" s="20" t="s">
        <v>8977</v>
      </c>
      <c r="I1495" s="20" t="s">
        <v>8978</v>
      </c>
      <c r="J1495" s="20" t="s">
        <v>3160</v>
      </c>
      <c r="K1495" s="20" t="s">
        <v>10013</v>
      </c>
      <c r="L1495" s="3">
        <v>31</v>
      </c>
      <c r="M1495" s="3" t="s">
        <v>8979</v>
      </c>
      <c r="N1495" s="3" t="str">
        <f>HYPERLINK("http://ictvonline.org/taxonomyHistory.asp?taxnode_id=20165184","ICTVonline=20165184")</f>
        <v>ICTVonline=20165184</v>
      </c>
    </row>
    <row r="1496" spans="1:14" x14ac:dyDescent="0.15">
      <c r="A1496" s="3">
        <v>1495</v>
      </c>
      <c r="B1496" s="1" t="s">
        <v>1482</v>
      </c>
      <c r="C1496" s="1" t="s">
        <v>1422</v>
      </c>
      <c r="D1496" s="1" t="s">
        <v>442</v>
      </c>
      <c r="E1496" s="1" t="s">
        <v>926</v>
      </c>
      <c r="F1496" s="1" t="s">
        <v>8980</v>
      </c>
      <c r="G1496" s="3">
        <v>0</v>
      </c>
      <c r="H1496" s="20" t="s">
        <v>8981</v>
      </c>
      <c r="I1496" s="20" t="s">
        <v>8982</v>
      </c>
      <c r="J1496" s="20" t="s">
        <v>3160</v>
      </c>
      <c r="K1496" s="20" t="s">
        <v>10013</v>
      </c>
      <c r="L1496" s="3">
        <v>31</v>
      </c>
      <c r="M1496" s="3" t="s">
        <v>8979</v>
      </c>
      <c r="N1496" s="3" t="str">
        <f>HYPERLINK("http://ictvonline.org/taxonomyHistory.asp?taxnode_id=20165185","ICTVonline=20165185")</f>
        <v>ICTVonline=20165185</v>
      </c>
    </row>
    <row r="1497" spans="1:14" x14ac:dyDescent="0.15">
      <c r="A1497" s="3">
        <v>1496</v>
      </c>
      <c r="B1497" s="1" t="s">
        <v>1482</v>
      </c>
      <c r="C1497" s="1" t="s">
        <v>2251</v>
      </c>
      <c r="E1497" s="1" t="s">
        <v>2252</v>
      </c>
      <c r="F1497" s="1" t="s">
        <v>2253</v>
      </c>
      <c r="G1497" s="3">
        <v>1</v>
      </c>
      <c r="J1497" s="20" t="s">
        <v>3160</v>
      </c>
      <c r="K1497" s="20" t="s">
        <v>10072</v>
      </c>
      <c r="L1497" s="3">
        <v>27</v>
      </c>
      <c r="M1497" s="3" t="s">
        <v>10113</v>
      </c>
      <c r="N1497" s="3" t="str">
        <f>HYPERLINK("http://ictvonline.org/taxonomyHistory.asp?taxnode_id=20161247","ICTVonline=20161247")</f>
        <v>ICTVonline=20161247</v>
      </c>
    </row>
    <row r="1498" spans="1:14" x14ac:dyDescent="0.15">
      <c r="A1498" s="3">
        <v>1497</v>
      </c>
      <c r="B1498" s="1" t="s">
        <v>1482</v>
      </c>
      <c r="C1498" s="1" t="s">
        <v>2251</v>
      </c>
      <c r="E1498" s="1" t="s">
        <v>2252</v>
      </c>
      <c r="F1498" s="1" t="s">
        <v>4540</v>
      </c>
      <c r="G1498" s="3">
        <v>0</v>
      </c>
      <c r="H1498" s="20" t="s">
        <v>6782</v>
      </c>
      <c r="I1498" s="20" t="s">
        <v>4541</v>
      </c>
      <c r="J1498" s="20" t="s">
        <v>3160</v>
      </c>
      <c r="K1498" s="20" t="s">
        <v>10013</v>
      </c>
      <c r="L1498" s="3">
        <v>30</v>
      </c>
      <c r="M1498" s="3" t="s">
        <v>10114</v>
      </c>
      <c r="N1498" s="3" t="str">
        <f>HYPERLINK("http://ictvonline.org/taxonomyHistory.asp?taxnode_id=20161248","ICTVonline=20161248")</f>
        <v>ICTVonline=20161248</v>
      </c>
    </row>
    <row r="1499" spans="1:14" x14ac:dyDescent="0.15">
      <c r="A1499" s="3">
        <v>1498</v>
      </c>
      <c r="B1499" s="1" t="s">
        <v>1482</v>
      </c>
      <c r="C1499" s="1" t="s">
        <v>2251</v>
      </c>
      <c r="E1499" s="1" t="s">
        <v>2252</v>
      </c>
      <c r="F1499" s="1" t="s">
        <v>4542</v>
      </c>
      <c r="G1499" s="3">
        <v>0</v>
      </c>
      <c r="H1499" s="20" t="s">
        <v>6783</v>
      </c>
      <c r="I1499" s="20" t="s">
        <v>4543</v>
      </c>
      <c r="J1499" s="20" t="s">
        <v>3160</v>
      </c>
      <c r="K1499" s="20" t="s">
        <v>10013</v>
      </c>
      <c r="L1499" s="3">
        <v>30</v>
      </c>
      <c r="M1499" s="3" t="s">
        <v>10114</v>
      </c>
      <c r="N1499" s="3" t="str">
        <f>HYPERLINK("http://ictvonline.org/taxonomyHistory.asp?taxnode_id=20161249","ICTVonline=20161249")</f>
        <v>ICTVonline=20161249</v>
      </c>
    </row>
    <row r="1500" spans="1:14" x14ac:dyDescent="0.15">
      <c r="A1500" s="3">
        <v>1499</v>
      </c>
      <c r="B1500" s="1" t="s">
        <v>1482</v>
      </c>
      <c r="C1500" s="1" t="s">
        <v>2251</v>
      </c>
      <c r="E1500" s="1" t="s">
        <v>2252</v>
      </c>
      <c r="F1500" s="1" t="s">
        <v>4544</v>
      </c>
      <c r="G1500" s="3">
        <v>0</v>
      </c>
      <c r="H1500" s="20" t="s">
        <v>6784</v>
      </c>
      <c r="I1500" s="20" t="s">
        <v>4545</v>
      </c>
      <c r="J1500" s="20" t="s">
        <v>3160</v>
      </c>
      <c r="K1500" s="20" t="s">
        <v>10013</v>
      </c>
      <c r="L1500" s="3">
        <v>30</v>
      </c>
      <c r="M1500" s="3" t="s">
        <v>10114</v>
      </c>
      <c r="N1500" s="3" t="str">
        <f>HYPERLINK("http://ictvonline.org/taxonomyHistory.asp?taxnode_id=20161250","ICTVonline=20161250")</f>
        <v>ICTVonline=20161250</v>
      </c>
    </row>
    <row r="1501" spans="1:14" x14ac:dyDescent="0.15">
      <c r="A1501" s="3">
        <v>1500</v>
      </c>
      <c r="B1501" s="1" t="s">
        <v>1482</v>
      </c>
      <c r="C1501" s="1" t="s">
        <v>2251</v>
      </c>
      <c r="E1501" s="1" t="s">
        <v>2252</v>
      </c>
      <c r="F1501" s="1" t="s">
        <v>4546</v>
      </c>
      <c r="G1501" s="3">
        <v>0</v>
      </c>
      <c r="H1501" s="20" t="s">
        <v>6785</v>
      </c>
      <c r="I1501" s="20" t="s">
        <v>4547</v>
      </c>
      <c r="J1501" s="20" t="s">
        <v>3160</v>
      </c>
      <c r="K1501" s="20" t="s">
        <v>10013</v>
      </c>
      <c r="L1501" s="3">
        <v>30</v>
      </c>
      <c r="M1501" s="3" t="s">
        <v>10114</v>
      </c>
      <c r="N1501" s="3" t="str">
        <f>HYPERLINK("http://ictvonline.org/taxonomyHistory.asp?taxnode_id=20161251","ICTVonline=20161251")</f>
        <v>ICTVonline=20161251</v>
      </c>
    </row>
    <row r="1502" spans="1:14" x14ac:dyDescent="0.15">
      <c r="A1502" s="3">
        <v>1501</v>
      </c>
      <c r="B1502" s="1" t="s">
        <v>1482</v>
      </c>
      <c r="C1502" s="1" t="s">
        <v>2251</v>
      </c>
      <c r="E1502" s="1" t="s">
        <v>926</v>
      </c>
      <c r="F1502" s="1" t="s">
        <v>4548</v>
      </c>
      <c r="G1502" s="3">
        <v>0</v>
      </c>
      <c r="H1502" s="20" t="s">
        <v>6786</v>
      </c>
      <c r="I1502" s="20" t="s">
        <v>6435</v>
      </c>
      <c r="J1502" s="20" t="s">
        <v>3160</v>
      </c>
      <c r="K1502" s="20" t="s">
        <v>10013</v>
      </c>
      <c r="L1502" s="3">
        <v>30</v>
      </c>
      <c r="M1502" s="3" t="s">
        <v>10114</v>
      </c>
      <c r="N1502" s="3" t="str">
        <f>HYPERLINK("http://ictvonline.org/taxonomyHistory.asp?taxnode_id=20161253","ICTVonline=20161253")</f>
        <v>ICTVonline=20161253</v>
      </c>
    </row>
    <row r="1503" spans="1:14" x14ac:dyDescent="0.15">
      <c r="A1503" s="3">
        <v>1502</v>
      </c>
      <c r="B1503" s="1" t="s">
        <v>1482</v>
      </c>
      <c r="C1503" s="1" t="s">
        <v>2251</v>
      </c>
      <c r="E1503" s="1" t="s">
        <v>926</v>
      </c>
      <c r="F1503" s="1" t="s">
        <v>4549</v>
      </c>
      <c r="G1503" s="3">
        <v>0</v>
      </c>
      <c r="H1503" s="20" t="s">
        <v>6787</v>
      </c>
      <c r="I1503" s="20" t="s">
        <v>6436</v>
      </c>
      <c r="J1503" s="20" t="s">
        <v>3160</v>
      </c>
      <c r="K1503" s="20" t="s">
        <v>10013</v>
      </c>
      <c r="L1503" s="3">
        <v>30</v>
      </c>
      <c r="M1503" s="3" t="s">
        <v>10114</v>
      </c>
      <c r="N1503" s="3" t="str">
        <f>HYPERLINK("http://ictvonline.org/taxonomyHistory.asp?taxnode_id=20161254","ICTVonline=20161254")</f>
        <v>ICTVonline=20161254</v>
      </c>
    </row>
    <row r="1504" spans="1:14" x14ac:dyDescent="0.15">
      <c r="A1504" s="3">
        <v>1503</v>
      </c>
      <c r="B1504" s="1" t="s">
        <v>1482</v>
      </c>
      <c r="C1504" s="1" t="s">
        <v>1097</v>
      </c>
      <c r="E1504" s="1" t="s">
        <v>1098</v>
      </c>
      <c r="F1504" s="1" t="s">
        <v>1099</v>
      </c>
      <c r="G1504" s="3">
        <v>1</v>
      </c>
      <c r="J1504" s="20" t="s">
        <v>3160</v>
      </c>
      <c r="K1504" s="20" t="s">
        <v>10072</v>
      </c>
      <c r="L1504" s="3">
        <v>20</v>
      </c>
      <c r="M1504" s="3" t="s">
        <v>10115</v>
      </c>
      <c r="N1504" s="3" t="str">
        <f>HYPERLINK("http://ictvonline.org/taxonomyHistory.asp?taxnode_id=20161258","ICTVonline=20161258")</f>
        <v>ICTVonline=20161258</v>
      </c>
    </row>
    <row r="1505" spans="1:14" x14ac:dyDescent="0.15">
      <c r="A1505" s="3">
        <v>1504</v>
      </c>
      <c r="B1505" s="1" t="s">
        <v>1100</v>
      </c>
      <c r="C1505" s="1" t="s">
        <v>1060</v>
      </c>
      <c r="E1505" s="1" t="s">
        <v>1398</v>
      </c>
      <c r="F1505" s="1" t="s">
        <v>1056</v>
      </c>
      <c r="G1505" s="3">
        <v>1</v>
      </c>
      <c r="J1505" s="20" t="s">
        <v>3160</v>
      </c>
      <c r="K1505" s="20" t="s">
        <v>10076</v>
      </c>
      <c r="L1505" s="3">
        <v>25</v>
      </c>
      <c r="M1505" s="3" t="s">
        <v>10116</v>
      </c>
      <c r="N1505" s="3" t="str">
        <f>HYPERLINK("http://ictvonline.org/taxonomyHistory.asp?taxnode_id=20161263","ICTVonline=20161263")</f>
        <v>ICTVonline=20161263</v>
      </c>
    </row>
    <row r="1506" spans="1:14" x14ac:dyDescent="0.15">
      <c r="A1506" s="3">
        <v>1505</v>
      </c>
      <c r="B1506" s="1" t="s">
        <v>1100</v>
      </c>
      <c r="C1506" s="1" t="s">
        <v>1060</v>
      </c>
      <c r="E1506" s="1" t="s">
        <v>1398</v>
      </c>
      <c r="F1506" s="1" t="s">
        <v>1399</v>
      </c>
      <c r="G1506" s="3">
        <v>0</v>
      </c>
      <c r="J1506" s="20" t="s">
        <v>3160</v>
      </c>
      <c r="K1506" s="20" t="s">
        <v>10013</v>
      </c>
      <c r="L1506" s="3">
        <v>25</v>
      </c>
      <c r="M1506" s="3" t="s">
        <v>10116</v>
      </c>
      <c r="N1506" s="3" t="str">
        <f>HYPERLINK("http://ictvonline.org/taxonomyHistory.asp?taxnode_id=20161264","ICTVonline=20161264")</f>
        <v>ICTVonline=20161264</v>
      </c>
    </row>
    <row r="1507" spans="1:14" x14ac:dyDescent="0.15">
      <c r="A1507" s="3">
        <v>1506</v>
      </c>
      <c r="B1507" s="1" t="s">
        <v>1100</v>
      </c>
      <c r="C1507" s="1" t="s">
        <v>1060</v>
      </c>
      <c r="E1507" s="1" t="s">
        <v>1398</v>
      </c>
      <c r="F1507" s="1" t="s">
        <v>1057</v>
      </c>
      <c r="G1507" s="3">
        <v>0</v>
      </c>
      <c r="J1507" s="20" t="s">
        <v>3160</v>
      </c>
      <c r="K1507" s="20" t="s">
        <v>10016</v>
      </c>
      <c r="L1507" s="3">
        <v>25</v>
      </c>
      <c r="M1507" s="3" t="s">
        <v>10116</v>
      </c>
      <c r="N1507" s="3" t="str">
        <f>HYPERLINK("http://ictvonline.org/taxonomyHistory.asp?taxnode_id=20161265","ICTVonline=20161265")</f>
        <v>ICTVonline=20161265</v>
      </c>
    </row>
    <row r="1508" spans="1:14" x14ac:dyDescent="0.15">
      <c r="A1508" s="3">
        <v>1507</v>
      </c>
      <c r="B1508" s="1" t="s">
        <v>1100</v>
      </c>
      <c r="C1508" s="1" t="s">
        <v>1060</v>
      </c>
      <c r="E1508" s="1" t="s">
        <v>1398</v>
      </c>
      <c r="F1508" s="1" t="s">
        <v>3</v>
      </c>
      <c r="G1508" s="3">
        <v>0</v>
      </c>
      <c r="J1508" s="20" t="s">
        <v>3160</v>
      </c>
      <c r="K1508" s="20" t="s">
        <v>10013</v>
      </c>
      <c r="L1508" s="3">
        <v>26</v>
      </c>
      <c r="M1508" s="3" t="s">
        <v>10117</v>
      </c>
      <c r="N1508" s="3" t="str">
        <f>HYPERLINK("http://ictvonline.org/taxonomyHistory.asp?taxnode_id=20161266","ICTVonline=20161266")</f>
        <v>ICTVonline=20161266</v>
      </c>
    </row>
    <row r="1509" spans="1:14" x14ac:dyDescent="0.15">
      <c r="A1509" s="3">
        <v>1508</v>
      </c>
      <c r="B1509" s="1" t="s">
        <v>1100</v>
      </c>
      <c r="C1509" s="1" t="s">
        <v>1060</v>
      </c>
      <c r="E1509" s="1" t="s">
        <v>1398</v>
      </c>
      <c r="F1509" s="1" t="s">
        <v>1058</v>
      </c>
      <c r="G1509" s="3">
        <v>0</v>
      </c>
      <c r="J1509" s="20" t="s">
        <v>3160</v>
      </c>
      <c r="K1509" s="20" t="s">
        <v>10016</v>
      </c>
      <c r="L1509" s="3">
        <v>25</v>
      </c>
      <c r="M1509" s="3" t="s">
        <v>10116</v>
      </c>
      <c r="N1509" s="3" t="str">
        <f>HYPERLINK("http://ictvonline.org/taxonomyHistory.asp?taxnode_id=20161267","ICTVonline=20161267")</f>
        <v>ICTVonline=20161267</v>
      </c>
    </row>
    <row r="1510" spans="1:14" x14ac:dyDescent="0.15">
      <c r="A1510" s="3">
        <v>1509</v>
      </c>
      <c r="B1510" s="1" t="s">
        <v>1100</v>
      </c>
      <c r="C1510" s="1" t="s">
        <v>1060</v>
      </c>
      <c r="E1510" s="1" t="s">
        <v>1398</v>
      </c>
      <c r="F1510" s="1" t="s">
        <v>1059</v>
      </c>
      <c r="G1510" s="3">
        <v>0</v>
      </c>
      <c r="J1510" s="20" t="s">
        <v>3160</v>
      </c>
      <c r="K1510" s="20" t="s">
        <v>10016</v>
      </c>
      <c r="L1510" s="3">
        <v>25</v>
      </c>
      <c r="M1510" s="3" t="s">
        <v>10116</v>
      </c>
      <c r="N1510" s="3" t="str">
        <f>HYPERLINK("http://ictvonline.org/taxonomyHistory.asp?taxnode_id=20161268","ICTVonline=20161268")</f>
        <v>ICTVonline=20161268</v>
      </c>
    </row>
    <row r="1511" spans="1:14" x14ac:dyDescent="0.15">
      <c r="A1511" s="3">
        <v>1510</v>
      </c>
      <c r="B1511" s="1" t="s">
        <v>1100</v>
      </c>
      <c r="C1511" s="1" t="s">
        <v>1060</v>
      </c>
      <c r="E1511" s="1" t="s">
        <v>1061</v>
      </c>
      <c r="F1511" s="1" t="s">
        <v>1062</v>
      </c>
      <c r="G1511" s="3">
        <v>0</v>
      </c>
      <c r="J1511" s="20" t="s">
        <v>3160</v>
      </c>
      <c r="K1511" s="20" t="s">
        <v>10016</v>
      </c>
      <c r="L1511" s="3">
        <v>24</v>
      </c>
      <c r="M1511" s="3" t="s">
        <v>10118</v>
      </c>
      <c r="N1511" s="3" t="str">
        <f>HYPERLINK("http://ictvonline.org/taxonomyHistory.asp?taxnode_id=20161270","ICTVonline=20161270")</f>
        <v>ICTVonline=20161270</v>
      </c>
    </row>
    <row r="1512" spans="1:14" x14ac:dyDescent="0.15">
      <c r="A1512" s="3">
        <v>1511</v>
      </c>
      <c r="B1512" s="1" t="s">
        <v>1100</v>
      </c>
      <c r="C1512" s="1" t="s">
        <v>1060</v>
      </c>
      <c r="E1512" s="1" t="s">
        <v>1061</v>
      </c>
      <c r="F1512" s="1" t="s">
        <v>1064</v>
      </c>
      <c r="G1512" s="3">
        <v>1</v>
      </c>
      <c r="J1512" s="20" t="s">
        <v>3160</v>
      </c>
      <c r="K1512" s="20" t="s">
        <v>10016</v>
      </c>
      <c r="L1512" s="3">
        <v>24</v>
      </c>
      <c r="M1512" s="3" t="s">
        <v>10118</v>
      </c>
      <c r="N1512" s="3" t="str">
        <f>HYPERLINK("http://ictvonline.org/taxonomyHistory.asp?taxnode_id=20161271","ICTVonline=20161271")</f>
        <v>ICTVonline=20161271</v>
      </c>
    </row>
    <row r="1513" spans="1:14" x14ac:dyDescent="0.15">
      <c r="A1513" s="3">
        <v>1512</v>
      </c>
      <c r="B1513" s="1" t="s">
        <v>1100</v>
      </c>
      <c r="C1513" s="1" t="s">
        <v>1060</v>
      </c>
      <c r="E1513" s="1" t="s">
        <v>1061</v>
      </c>
      <c r="F1513" s="1" t="s">
        <v>1065</v>
      </c>
      <c r="G1513" s="3">
        <v>0</v>
      </c>
      <c r="J1513" s="20" t="s">
        <v>3160</v>
      </c>
      <c r="K1513" s="20" t="s">
        <v>10016</v>
      </c>
      <c r="L1513" s="3">
        <v>24</v>
      </c>
      <c r="M1513" s="3" t="s">
        <v>10118</v>
      </c>
      <c r="N1513" s="3" t="str">
        <f>HYPERLINK("http://ictvonline.org/taxonomyHistory.asp?taxnode_id=20161272","ICTVonline=20161272")</f>
        <v>ICTVonline=20161272</v>
      </c>
    </row>
    <row r="1514" spans="1:14" x14ac:dyDescent="0.15">
      <c r="A1514" s="3">
        <v>1513</v>
      </c>
      <c r="B1514" s="1" t="s">
        <v>1100</v>
      </c>
      <c r="C1514" s="1" t="s">
        <v>1060</v>
      </c>
      <c r="E1514" s="1" t="s">
        <v>1061</v>
      </c>
      <c r="F1514" s="1" t="s">
        <v>1067</v>
      </c>
      <c r="G1514" s="3">
        <v>0</v>
      </c>
      <c r="J1514" s="20" t="s">
        <v>3160</v>
      </c>
      <c r="K1514" s="20" t="s">
        <v>10016</v>
      </c>
      <c r="L1514" s="3">
        <v>24</v>
      </c>
      <c r="M1514" s="3" t="s">
        <v>10118</v>
      </c>
      <c r="N1514" s="3" t="str">
        <f>HYPERLINK("http://ictvonline.org/taxonomyHistory.asp?taxnode_id=20161273","ICTVonline=20161273")</f>
        <v>ICTVonline=20161273</v>
      </c>
    </row>
    <row r="1515" spans="1:14" x14ac:dyDescent="0.15">
      <c r="A1515" s="3">
        <v>1514</v>
      </c>
      <c r="B1515" s="1" t="s">
        <v>1100</v>
      </c>
      <c r="C1515" s="1" t="s">
        <v>1060</v>
      </c>
      <c r="E1515" s="1" t="s">
        <v>4550</v>
      </c>
      <c r="F1515" s="1" t="s">
        <v>1063</v>
      </c>
      <c r="G1515" s="3">
        <v>0</v>
      </c>
      <c r="J1515" s="20" t="s">
        <v>3160</v>
      </c>
      <c r="K1515" s="20" t="s">
        <v>10016</v>
      </c>
      <c r="L1515" s="3">
        <v>30</v>
      </c>
      <c r="M1515" s="3" t="s">
        <v>10119</v>
      </c>
      <c r="N1515" s="3" t="str">
        <f>HYPERLINK("http://ictvonline.org/taxonomyHistory.asp?taxnode_id=20161275","ICTVonline=20161275")</f>
        <v>ICTVonline=20161275</v>
      </c>
    </row>
    <row r="1516" spans="1:14" x14ac:dyDescent="0.15">
      <c r="A1516" s="3">
        <v>1515</v>
      </c>
      <c r="B1516" s="1" t="s">
        <v>1100</v>
      </c>
      <c r="C1516" s="1" t="s">
        <v>1060</v>
      </c>
      <c r="E1516" s="1" t="s">
        <v>4550</v>
      </c>
      <c r="F1516" s="1" t="s">
        <v>1473</v>
      </c>
      <c r="G1516" s="3">
        <v>0</v>
      </c>
      <c r="J1516" s="20" t="s">
        <v>3160</v>
      </c>
      <c r="K1516" s="20" t="s">
        <v>10016</v>
      </c>
      <c r="L1516" s="3">
        <v>30</v>
      </c>
      <c r="M1516" s="3" t="s">
        <v>10119</v>
      </c>
      <c r="N1516" s="3" t="str">
        <f>HYPERLINK("http://ictvonline.org/taxonomyHistory.asp?taxnode_id=20161276","ICTVonline=20161276")</f>
        <v>ICTVonline=20161276</v>
      </c>
    </row>
    <row r="1517" spans="1:14" x14ac:dyDescent="0.15">
      <c r="A1517" s="3">
        <v>1516</v>
      </c>
      <c r="B1517" s="1" t="s">
        <v>1100</v>
      </c>
      <c r="C1517" s="1" t="s">
        <v>1060</v>
      </c>
      <c r="E1517" s="1" t="s">
        <v>4550</v>
      </c>
      <c r="F1517" s="1" t="s">
        <v>298</v>
      </c>
      <c r="G1517" s="3">
        <v>0</v>
      </c>
      <c r="J1517" s="20" t="s">
        <v>3160</v>
      </c>
      <c r="K1517" s="20" t="s">
        <v>10016</v>
      </c>
      <c r="L1517" s="3">
        <v>30</v>
      </c>
      <c r="M1517" s="3" t="s">
        <v>10119</v>
      </c>
      <c r="N1517" s="3" t="str">
        <f>HYPERLINK("http://ictvonline.org/taxonomyHistory.asp?taxnode_id=20161277","ICTVonline=20161277")</f>
        <v>ICTVonline=20161277</v>
      </c>
    </row>
    <row r="1518" spans="1:14" x14ac:dyDescent="0.15">
      <c r="A1518" s="3">
        <v>1517</v>
      </c>
      <c r="B1518" s="1" t="s">
        <v>1100</v>
      </c>
      <c r="C1518" s="1" t="s">
        <v>1060</v>
      </c>
      <c r="E1518" s="1" t="s">
        <v>4550</v>
      </c>
      <c r="F1518" s="1" t="s">
        <v>1066</v>
      </c>
      <c r="G1518" s="3">
        <v>0</v>
      </c>
      <c r="J1518" s="20" t="s">
        <v>3160</v>
      </c>
      <c r="K1518" s="20" t="s">
        <v>10016</v>
      </c>
      <c r="L1518" s="3">
        <v>30</v>
      </c>
      <c r="M1518" s="3" t="s">
        <v>10119</v>
      </c>
      <c r="N1518" s="3" t="str">
        <f>HYPERLINK("http://ictvonline.org/taxonomyHistory.asp?taxnode_id=20161278","ICTVonline=20161278")</f>
        <v>ICTVonline=20161278</v>
      </c>
    </row>
    <row r="1519" spans="1:14" x14ac:dyDescent="0.15">
      <c r="A1519" s="3">
        <v>1518</v>
      </c>
      <c r="B1519" s="1" t="s">
        <v>1100</v>
      </c>
      <c r="C1519" s="1" t="s">
        <v>1060</v>
      </c>
      <c r="E1519" s="1" t="s">
        <v>4550</v>
      </c>
      <c r="F1519" s="1" t="s">
        <v>1055</v>
      </c>
      <c r="G1519" s="3">
        <v>1</v>
      </c>
      <c r="J1519" s="20" t="s">
        <v>3160</v>
      </c>
      <c r="K1519" s="20" t="s">
        <v>10016</v>
      </c>
      <c r="L1519" s="3">
        <v>30</v>
      </c>
      <c r="M1519" s="3" t="s">
        <v>10119</v>
      </c>
      <c r="N1519" s="3" t="str">
        <f>HYPERLINK("http://ictvonline.org/taxonomyHistory.asp?taxnode_id=20161279","ICTVonline=20161279")</f>
        <v>ICTVonline=20161279</v>
      </c>
    </row>
    <row r="1520" spans="1:14" x14ac:dyDescent="0.15">
      <c r="A1520" s="3">
        <v>1519</v>
      </c>
      <c r="B1520" s="1" t="s">
        <v>1100</v>
      </c>
      <c r="C1520" s="1" t="s">
        <v>1137</v>
      </c>
      <c r="E1520" s="1" t="s">
        <v>1138</v>
      </c>
      <c r="F1520" s="1" t="s">
        <v>4551</v>
      </c>
      <c r="G1520" s="3">
        <v>0</v>
      </c>
      <c r="H1520" s="20" t="s">
        <v>6788</v>
      </c>
      <c r="I1520" s="20" t="s">
        <v>4552</v>
      </c>
      <c r="J1520" s="20" t="s">
        <v>3160</v>
      </c>
      <c r="K1520" s="20" t="s">
        <v>10013</v>
      </c>
      <c r="L1520" s="3">
        <v>30</v>
      </c>
      <c r="M1520" s="3" t="s">
        <v>10120</v>
      </c>
      <c r="N1520" s="3" t="str">
        <f>HYPERLINK("http://ictvonline.org/taxonomyHistory.asp?taxnode_id=20161283","ICTVonline=20161283")</f>
        <v>ICTVonline=20161283</v>
      </c>
    </row>
    <row r="1521" spans="1:14" x14ac:dyDescent="0.15">
      <c r="A1521" s="3">
        <v>1520</v>
      </c>
      <c r="B1521" s="1" t="s">
        <v>1100</v>
      </c>
      <c r="C1521" s="1" t="s">
        <v>1137</v>
      </c>
      <c r="E1521" s="1" t="s">
        <v>1138</v>
      </c>
      <c r="F1521" s="1" t="s">
        <v>8983</v>
      </c>
      <c r="G1521" s="3">
        <v>0</v>
      </c>
      <c r="H1521" s="20" t="s">
        <v>8984</v>
      </c>
      <c r="I1521" s="20" t="s">
        <v>8985</v>
      </c>
      <c r="J1521" s="20" t="s">
        <v>3160</v>
      </c>
      <c r="K1521" s="20" t="s">
        <v>10013</v>
      </c>
      <c r="L1521" s="3">
        <v>31</v>
      </c>
      <c r="M1521" s="3" t="s">
        <v>8986</v>
      </c>
      <c r="N1521" s="3" t="str">
        <f>HYPERLINK("http://ictvonline.org/taxonomyHistory.asp?taxnode_id=20165186","ICTVonline=20165186")</f>
        <v>ICTVonline=20165186</v>
      </c>
    </row>
    <row r="1522" spans="1:14" x14ac:dyDescent="0.15">
      <c r="A1522" s="3">
        <v>1521</v>
      </c>
      <c r="B1522" s="1" t="s">
        <v>1100</v>
      </c>
      <c r="C1522" s="1" t="s">
        <v>1137</v>
      </c>
      <c r="E1522" s="1" t="s">
        <v>1138</v>
      </c>
      <c r="F1522" s="1" t="s">
        <v>1139</v>
      </c>
      <c r="G1522" s="3">
        <v>0</v>
      </c>
      <c r="J1522" s="20" t="s">
        <v>3160</v>
      </c>
      <c r="K1522" s="20" t="s">
        <v>10013</v>
      </c>
      <c r="L1522" s="3">
        <v>24</v>
      </c>
      <c r="M1522" s="3" t="s">
        <v>10121</v>
      </c>
      <c r="N1522" s="3" t="str">
        <f>HYPERLINK("http://ictvonline.org/taxonomyHistory.asp?taxnode_id=20161284","ICTVonline=20161284")</f>
        <v>ICTVonline=20161284</v>
      </c>
    </row>
    <row r="1523" spans="1:14" x14ac:dyDescent="0.15">
      <c r="A1523" s="3">
        <v>1522</v>
      </c>
      <c r="B1523" s="1" t="s">
        <v>1100</v>
      </c>
      <c r="C1523" s="1" t="s">
        <v>1137</v>
      </c>
      <c r="E1523" s="1" t="s">
        <v>1138</v>
      </c>
      <c r="F1523" s="1" t="s">
        <v>4553</v>
      </c>
      <c r="G1523" s="3">
        <v>0</v>
      </c>
      <c r="H1523" s="20" t="s">
        <v>6789</v>
      </c>
      <c r="I1523" s="20" t="s">
        <v>4554</v>
      </c>
      <c r="J1523" s="20" t="s">
        <v>3160</v>
      </c>
      <c r="K1523" s="20" t="s">
        <v>10013</v>
      </c>
      <c r="L1523" s="3">
        <v>30</v>
      </c>
      <c r="M1523" s="3" t="s">
        <v>10122</v>
      </c>
      <c r="N1523" s="3" t="str">
        <f>HYPERLINK("http://ictvonline.org/taxonomyHistory.asp?taxnode_id=20161285","ICTVonline=20161285")</f>
        <v>ICTVonline=20161285</v>
      </c>
    </row>
    <row r="1524" spans="1:14" x14ac:dyDescent="0.15">
      <c r="A1524" s="3">
        <v>1523</v>
      </c>
      <c r="B1524" s="1" t="s">
        <v>1100</v>
      </c>
      <c r="C1524" s="1" t="s">
        <v>1137</v>
      </c>
      <c r="E1524" s="1" t="s">
        <v>1138</v>
      </c>
      <c r="F1524" s="1" t="s">
        <v>1140</v>
      </c>
      <c r="G1524" s="3">
        <v>0</v>
      </c>
      <c r="J1524" s="20" t="s">
        <v>3160</v>
      </c>
      <c r="K1524" s="20" t="s">
        <v>10013</v>
      </c>
      <c r="L1524" s="3">
        <v>24</v>
      </c>
      <c r="M1524" s="3" t="s">
        <v>10121</v>
      </c>
      <c r="N1524" s="3" t="str">
        <f>HYPERLINK("http://ictvonline.org/taxonomyHistory.asp?taxnode_id=20161286","ICTVonline=20161286")</f>
        <v>ICTVonline=20161286</v>
      </c>
    </row>
    <row r="1525" spans="1:14" x14ac:dyDescent="0.15">
      <c r="A1525" s="3">
        <v>1524</v>
      </c>
      <c r="B1525" s="1" t="s">
        <v>1100</v>
      </c>
      <c r="C1525" s="1" t="s">
        <v>1137</v>
      </c>
      <c r="E1525" s="1" t="s">
        <v>1138</v>
      </c>
      <c r="F1525" s="1" t="s">
        <v>1141</v>
      </c>
      <c r="G1525" s="3">
        <v>1</v>
      </c>
      <c r="J1525" s="20" t="s">
        <v>3160</v>
      </c>
      <c r="K1525" s="20" t="s">
        <v>10016</v>
      </c>
      <c r="L1525" s="3">
        <v>24</v>
      </c>
      <c r="M1525" s="3" t="s">
        <v>10123</v>
      </c>
      <c r="N1525" s="3" t="str">
        <f>HYPERLINK("http://ictvonline.org/taxonomyHistory.asp?taxnode_id=20161287","ICTVonline=20161287")</f>
        <v>ICTVonline=20161287</v>
      </c>
    </row>
    <row r="1526" spans="1:14" x14ac:dyDescent="0.15">
      <c r="A1526" s="3">
        <v>1525</v>
      </c>
      <c r="B1526" s="1" t="s">
        <v>1100</v>
      </c>
      <c r="C1526" s="1" t="s">
        <v>1137</v>
      </c>
      <c r="E1526" s="1" t="s">
        <v>1138</v>
      </c>
      <c r="F1526" s="1" t="s">
        <v>2391</v>
      </c>
      <c r="G1526" s="3">
        <v>0</v>
      </c>
      <c r="J1526" s="20" t="s">
        <v>3160</v>
      </c>
      <c r="K1526" s="20" t="s">
        <v>10013</v>
      </c>
      <c r="L1526" s="3">
        <v>28</v>
      </c>
      <c r="M1526" s="3" t="s">
        <v>10124</v>
      </c>
      <c r="N1526" s="3" t="str">
        <f>HYPERLINK("http://ictvonline.org/taxonomyHistory.asp?taxnode_id=20161288","ICTVonline=20161288")</f>
        <v>ICTVonline=20161288</v>
      </c>
    </row>
    <row r="1527" spans="1:14" x14ac:dyDescent="0.15">
      <c r="A1527" s="3">
        <v>1526</v>
      </c>
      <c r="B1527" s="1" t="s">
        <v>1100</v>
      </c>
      <c r="C1527" s="1" t="s">
        <v>1137</v>
      </c>
      <c r="E1527" s="1" t="s">
        <v>1138</v>
      </c>
      <c r="F1527" s="1" t="s">
        <v>4555</v>
      </c>
      <c r="G1527" s="3">
        <v>0</v>
      </c>
      <c r="H1527" s="20" t="s">
        <v>6790</v>
      </c>
      <c r="I1527" s="20" t="s">
        <v>4556</v>
      </c>
      <c r="J1527" s="20" t="s">
        <v>3160</v>
      </c>
      <c r="K1527" s="20" t="s">
        <v>10013</v>
      </c>
      <c r="L1527" s="3">
        <v>30</v>
      </c>
      <c r="M1527" s="3" t="s">
        <v>10125</v>
      </c>
      <c r="N1527" s="3" t="str">
        <f>HYPERLINK("http://ictvonline.org/taxonomyHistory.asp?taxnode_id=20161289","ICTVonline=20161289")</f>
        <v>ICTVonline=20161289</v>
      </c>
    </row>
    <row r="1528" spans="1:14" x14ac:dyDescent="0.15">
      <c r="A1528" s="3">
        <v>1527</v>
      </c>
      <c r="B1528" s="1" t="s">
        <v>1100</v>
      </c>
      <c r="C1528" s="1" t="s">
        <v>1137</v>
      </c>
      <c r="E1528" s="1" t="s">
        <v>1138</v>
      </c>
      <c r="F1528" s="1" t="s">
        <v>2392</v>
      </c>
      <c r="G1528" s="3">
        <v>0</v>
      </c>
      <c r="J1528" s="20" t="s">
        <v>3160</v>
      </c>
      <c r="K1528" s="20" t="s">
        <v>10013</v>
      </c>
      <c r="L1528" s="3">
        <v>28</v>
      </c>
      <c r="M1528" s="3" t="s">
        <v>10124</v>
      </c>
      <c r="N1528" s="3" t="str">
        <f>HYPERLINK("http://ictvonline.org/taxonomyHistory.asp?taxnode_id=20161290","ICTVonline=20161290")</f>
        <v>ICTVonline=20161290</v>
      </c>
    </row>
    <row r="1529" spans="1:14" x14ac:dyDescent="0.15">
      <c r="A1529" s="3">
        <v>1528</v>
      </c>
      <c r="B1529" s="1" t="s">
        <v>1100</v>
      </c>
      <c r="C1529" s="1" t="s">
        <v>1137</v>
      </c>
      <c r="E1529" s="1" t="s">
        <v>1138</v>
      </c>
      <c r="F1529" s="1" t="s">
        <v>1142</v>
      </c>
      <c r="G1529" s="3">
        <v>0</v>
      </c>
      <c r="J1529" s="20" t="s">
        <v>3160</v>
      </c>
      <c r="K1529" s="20" t="s">
        <v>10016</v>
      </c>
      <c r="L1529" s="3">
        <v>24</v>
      </c>
      <c r="M1529" s="3" t="s">
        <v>10123</v>
      </c>
      <c r="N1529" s="3" t="str">
        <f>HYPERLINK("http://ictvonline.org/taxonomyHistory.asp?taxnode_id=20161291","ICTVonline=20161291")</f>
        <v>ICTVonline=20161291</v>
      </c>
    </row>
    <row r="1530" spans="1:14" x14ac:dyDescent="0.15">
      <c r="A1530" s="3">
        <v>1529</v>
      </c>
      <c r="B1530" s="1" t="s">
        <v>1100</v>
      </c>
      <c r="C1530" s="1" t="s">
        <v>1137</v>
      </c>
      <c r="E1530" s="1" t="s">
        <v>1138</v>
      </c>
      <c r="F1530" s="1" t="s">
        <v>1143</v>
      </c>
      <c r="G1530" s="3">
        <v>0</v>
      </c>
      <c r="J1530" s="20" t="s">
        <v>3160</v>
      </c>
      <c r="K1530" s="20" t="s">
        <v>10016</v>
      </c>
      <c r="L1530" s="3">
        <v>24</v>
      </c>
      <c r="M1530" s="3" t="s">
        <v>10123</v>
      </c>
      <c r="N1530" s="3" t="str">
        <f>HYPERLINK("http://ictvonline.org/taxonomyHistory.asp?taxnode_id=20161292","ICTVonline=20161292")</f>
        <v>ICTVonline=20161292</v>
      </c>
    </row>
    <row r="1531" spans="1:14" x14ac:dyDescent="0.15">
      <c r="A1531" s="3">
        <v>1530</v>
      </c>
      <c r="B1531" s="1" t="s">
        <v>1100</v>
      </c>
      <c r="C1531" s="1" t="s">
        <v>1137</v>
      </c>
      <c r="E1531" s="1" t="s">
        <v>1138</v>
      </c>
      <c r="F1531" s="1" t="s">
        <v>4</v>
      </c>
      <c r="G1531" s="3">
        <v>0</v>
      </c>
      <c r="J1531" s="20" t="s">
        <v>3160</v>
      </c>
      <c r="K1531" s="20" t="s">
        <v>10013</v>
      </c>
      <c r="L1531" s="3">
        <v>26</v>
      </c>
      <c r="M1531" s="3" t="s">
        <v>10126</v>
      </c>
      <c r="N1531" s="3" t="str">
        <f>HYPERLINK("http://ictvonline.org/taxonomyHistory.asp?taxnode_id=20161293","ICTVonline=20161293")</f>
        <v>ICTVonline=20161293</v>
      </c>
    </row>
    <row r="1532" spans="1:14" x14ac:dyDescent="0.15">
      <c r="A1532" s="3">
        <v>1531</v>
      </c>
      <c r="B1532" s="1" t="s">
        <v>1100</v>
      </c>
      <c r="C1532" s="1" t="s">
        <v>1137</v>
      </c>
      <c r="E1532" s="1" t="s">
        <v>1138</v>
      </c>
      <c r="F1532" s="1" t="s">
        <v>4557</v>
      </c>
      <c r="G1532" s="3">
        <v>0</v>
      </c>
      <c r="H1532" s="20" t="s">
        <v>6791</v>
      </c>
      <c r="I1532" s="20" t="s">
        <v>4558</v>
      </c>
      <c r="J1532" s="20" t="s">
        <v>3160</v>
      </c>
      <c r="K1532" s="20" t="s">
        <v>10013</v>
      </c>
      <c r="L1532" s="3">
        <v>30</v>
      </c>
      <c r="M1532" s="3" t="s">
        <v>10127</v>
      </c>
      <c r="N1532" s="3" t="str">
        <f>HYPERLINK("http://ictvonline.org/taxonomyHistory.asp?taxnode_id=20161294","ICTVonline=20161294")</f>
        <v>ICTVonline=20161294</v>
      </c>
    </row>
    <row r="1533" spans="1:14" x14ac:dyDescent="0.15">
      <c r="A1533" s="3">
        <v>1532</v>
      </c>
      <c r="B1533" s="1" t="s">
        <v>1100</v>
      </c>
      <c r="C1533" s="1" t="s">
        <v>1137</v>
      </c>
      <c r="E1533" s="1" t="s">
        <v>1138</v>
      </c>
      <c r="F1533" s="1" t="s">
        <v>4559</v>
      </c>
      <c r="G1533" s="3">
        <v>0</v>
      </c>
      <c r="H1533" s="20" t="s">
        <v>6792</v>
      </c>
      <c r="I1533" s="20" t="s">
        <v>4560</v>
      </c>
      <c r="J1533" s="20" t="s">
        <v>3160</v>
      </c>
      <c r="K1533" s="20" t="s">
        <v>10013</v>
      </c>
      <c r="L1533" s="3">
        <v>30</v>
      </c>
      <c r="M1533" s="3" t="s">
        <v>10128</v>
      </c>
      <c r="N1533" s="3" t="str">
        <f>HYPERLINK("http://ictvonline.org/taxonomyHistory.asp?taxnode_id=20161295","ICTVonline=20161295")</f>
        <v>ICTVonline=20161295</v>
      </c>
    </row>
    <row r="1534" spans="1:14" x14ac:dyDescent="0.15">
      <c r="A1534" s="3">
        <v>1533</v>
      </c>
      <c r="B1534" s="1" t="s">
        <v>1100</v>
      </c>
      <c r="C1534" s="1" t="s">
        <v>1137</v>
      </c>
      <c r="E1534" s="1" t="s">
        <v>1138</v>
      </c>
      <c r="F1534" s="1" t="s">
        <v>1144</v>
      </c>
      <c r="G1534" s="3">
        <v>0</v>
      </c>
      <c r="J1534" s="20" t="s">
        <v>3160</v>
      </c>
      <c r="K1534" s="20" t="s">
        <v>10013</v>
      </c>
      <c r="L1534" s="3">
        <v>24</v>
      </c>
      <c r="M1534" s="3" t="s">
        <v>10121</v>
      </c>
      <c r="N1534" s="3" t="str">
        <f>HYPERLINK("http://ictvonline.org/taxonomyHistory.asp?taxnode_id=20161296","ICTVonline=20161296")</f>
        <v>ICTVonline=20161296</v>
      </c>
    </row>
    <row r="1535" spans="1:14" x14ac:dyDescent="0.15">
      <c r="A1535" s="3">
        <v>1534</v>
      </c>
      <c r="B1535" s="1" t="s">
        <v>1100</v>
      </c>
      <c r="C1535" s="1" t="s">
        <v>1145</v>
      </c>
      <c r="E1535" s="1" t="s">
        <v>1146</v>
      </c>
      <c r="F1535" s="1" t="s">
        <v>1147</v>
      </c>
      <c r="G1535" s="3">
        <v>1</v>
      </c>
      <c r="H1535" s="20" t="s">
        <v>4561</v>
      </c>
      <c r="I1535" s="20" t="s">
        <v>4562</v>
      </c>
      <c r="J1535" s="20" t="s">
        <v>3160</v>
      </c>
      <c r="K1535" s="20" t="s">
        <v>10016</v>
      </c>
      <c r="L1535" s="3">
        <v>24</v>
      </c>
      <c r="M1535" s="3" t="s">
        <v>10118</v>
      </c>
      <c r="N1535" s="3" t="str">
        <f>HYPERLINK("http://ictvonline.org/taxonomyHistory.asp?taxnode_id=20161300","ICTVonline=20161300")</f>
        <v>ICTVonline=20161300</v>
      </c>
    </row>
    <row r="1536" spans="1:14" x14ac:dyDescent="0.15">
      <c r="A1536" s="3">
        <v>1535</v>
      </c>
      <c r="B1536" s="1" t="s">
        <v>1100</v>
      </c>
      <c r="C1536" s="1" t="s">
        <v>1148</v>
      </c>
      <c r="E1536" s="1" t="s">
        <v>8987</v>
      </c>
      <c r="F1536" s="1" t="s">
        <v>8988</v>
      </c>
      <c r="G1536" s="3">
        <v>1</v>
      </c>
      <c r="H1536" s="20" t="s">
        <v>8989</v>
      </c>
      <c r="I1536" s="20" t="s">
        <v>10570</v>
      </c>
      <c r="J1536" s="20" t="s">
        <v>3160</v>
      </c>
      <c r="K1536" s="20" t="s">
        <v>10013</v>
      </c>
      <c r="L1536" s="3">
        <v>31</v>
      </c>
      <c r="M1536" s="3" t="s">
        <v>8990</v>
      </c>
      <c r="N1536" s="3" t="str">
        <f>HYPERLINK("http://ictvonline.org/taxonomyHistory.asp?taxnode_id=20165187","ICTVonline=20165187")</f>
        <v>ICTVonline=20165187</v>
      </c>
    </row>
    <row r="1537" spans="1:14" x14ac:dyDescent="0.15">
      <c r="A1537" s="3">
        <v>1536</v>
      </c>
      <c r="B1537" s="1" t="s">
        <v>1100</v>
      </c>
      <c r="C1537" s="1" t="s">
        <v>1148</v>
      </c>
      <c r="E1537" s="1" t="s">
        <v>1068</v>
      </c>
      <c r="F1537" s="1" t="s">
        <v>5</v>
      </c>
      <c r="G1537" s="3">
        <v>0</v>
      </c>
      <c r="H1537" s="20" t="s">
        <v>10571</v>
      </c>
      <c r="I1537" s="20" t="s">
        <v>10572</v>
      </c>
      <c r="J1537" s="20" t="s">
        <v>3160</v>
      </c>
      <c r="K1537" s="20" t="s">
        <v>10013</v>
      </c>
      <c r="L1537" s="3">
        <v>26</v>
      </c>
      <c r="M1537" s="3" t="s">
        <v>10129</v>
      </c>
      <c r="N1537" s="3" t="str">
        <f>HYPERLINK("http://ictvonline.org/taxonomyHistory.asp?taxnode_id=20161304","ICTVonline=20161304")</f>
        <v>ICTVonline=20161304</v>
      </c>
    </row>
    <row r="1538" spans="1:14" x14ac:dyDescent="0.15">
      <c r="A1538" s="3">
        <v>1537</v>
      </c>
      <c r="B1538" s="1" t="s">
        <v>1100</v>
      </c>
      <c r="C1538" s="1" t="s">
        <v>1148</v>
      </c>
      <c r="E1538" s="1" t="s">
        <v>1068</v>
      </c>
      <c r="F1538" s="1" t="s">
        <v>2210</v>
      </c>
      <c r="G1538" s="3">
        <v>0</v>
      </c>
      <c r="H1538" s="20" t="s">
        <v>10573</v>
      </c>
      <c r="I1538" s="20" t="s">
        <v>10574</v>
      </c>
      <c r="J1538" s="20" t="s">
        <v>3160</v>
      </c>
      <c r="K1538" s="20" t="s">
        <v>10013</v>
      </c>
      <c r="L1538" s="3">
        <v>25</v>
      </c>
      <c r="M1538" s="3" t="s">
        <v>10130</v>
      </c>
      <c r="N1538" s="3" t="str">
        <f>HYPERLINK("http://ictvonline.org/taxonomyHistory.asp?taxnode_id=20161305","ICTVonline=20161305")</f>
        <v>ICTVonline=20161305</v>
      </c>
    </row>
    <row r="1539" spans="1:14" x14ac:dyDescent="0.15">
      <c r="A1539" s="3">
        <v>1538</v>
      </c>
      <c r="B1539" s="1" t="s">
        <v>1100</v>
      </c>
      <c r="C1539" s="1" t="s">
        <v>1148</v>
      </c>
      <c r="E1539" s="1" t="s">
        <v>1068</v>
      </c>
      <c r="F1539" s="1" t="s">
        <v>719</v>
      </c>
      <c r="G1539" s="3">
        <v>0</v>
      </c>
      <c r="H1539" s="20" t="s">
        <v>10575</v>
      </c>
      <c r="I1539" s="20" t="s">
        <v>10576</v>
      </c>
      <c r="J1539" s="20" t="s">
        <v>3160</v>
      </c>
      <c r="K1539" s="20" t="s">
        <v>10021</v>
      </c>
      <c r="L1539" s="3">
        <v>29</v>
      </c>
      <c r="M1539" s="3" t="s">
        <v>10131</v>
      </c>
      <c r="N1539" s="3" t="str">
        <f>HYPERLINK("http://ictvonline.org/taxonomyHistory.asp?taxnode_id=20161306","ICTVonline=20161306")</f>
        <v>ICTVonline=20161306</v>
      </c>
    </row>
    <row r="1540" spans="1:14" x14ac:dyDescent="0.15">
      <c r="A1540" s="3">
        <v>1539</v>
      </c>
      <c r="B1540" s="1" t="s">
        <v>1100</v>
      </c>
      <c r="C1540" s="1" t="s">
        <v>1148</v>
      </c>
      <c r="E1540" s="1" t="s">
        <v>1068</v>
      </c>
      <c r="F1540" s="1" t="s">
        <v>1816</v>
      </c>
      <c r="G1540" s="3">
        <v>1</v>
      </c>
      <c r="H1540" s="20" t="s">
        <v>10577</v>
      </c>
      <c r="I1540" s="20" t="s">
        <v>10578</v>
      </c>
      <c r="J1540" s="20" t="s">
        <v>3160</v>
      </c>
      <c r="K1540" s="20" t="s">
        <v>10016</v>
      </c>
      <c r="L1540" s="3">
        <v>24</v>
      </c>
      <c r="M1540" s="3" t="s">
        <v>10118</v>
      </c>
      <c r="N1540" s="3" t="str">
        <f>HYPERLINK("http://ictvonline.org/taxonomyHistory.asp?taxnode_id=20161307","ICTVonline=20161307")</f>
        <v>ICTVonline=20161307</v>
      </c>
    </row>
    <row r="1541" spans="1:14" x14ac:dyDescent="0.15">
      <c r="A1541" s="3">
        <v>1540</v>
      </c>
      <c r="B1541" s="1" t="s">
        <v>1100</v>
      </c>
      <c r="C1541" s="1" t="s">
        <v>1148</v>
      </c>
      <c r="E1541" s="1" t="s">
        <v>2254</v>
      </c>
      <c r="F1541" s="1" t="s">
        <v>2255</v>
      </c>
      <c r="G1541" s="3">
        <v>1</v>
      </c>
      <c r="H1541" s="20" t="s">
        <v>10579</v>
      </c>
      <c r="I1541" s="20" t="s">
        <v>10580</v>
      </c>
      <c r="J1541" s="20" t="s">
        <v>3160</v>
      </c>
      <c r="K1541" s="20" t="s">
        <v>10072</v>
      </c>
      <c r="L1541" s="3">
        <v>27</v>
      </c>
      <c r="M1541" s="3" t="s">
        <v>10132</v>
      </c>
      <c r="N1541" s="3" t="str">
        <f>HYPERLINK("http://ictvonline.org/taxonomyHistory.asp?taxnode_id=20161309","ICTVonline=20161309")</f>
        <v>ICTVonline=20161309</v>
      </c>
    </row>
    <row r="1542" spans="1:14" x14ac:dyDescent="0.15">
      <c r="A1542" s="3">
        <v>1541</v>
      </c>
      <c r="B1542" s="1" t="s">
        <v>1100</v>
      </c>
      <c r="C1542" s="1" t="s">
        <v>1148</v>
      </c>
      <c r="E1542" s="1" t="s">
        <v>1106</v>
      </c>
      <c r="F1542" s="1" t="s">
        <v>2730</v>
      </c>
      <c r="G1542" s="3">
        <v>1</v>
      </c>
      <c r="H1542" s="20" t="s">
        <v>10581</v>
      </c>
      <c r="I1542" s="20" t="s">
        <v>10582</v>
      </c>
      <c r="J1542" s="20" t="s">
        <v>3160</v>
      </c>
      <c r="K1542" s="20" t="s">
        <v>10021</v>
      </c>
      <c r="L1542" s="3">
        <v>29</v>
      </c>
      <c r="M1542" s="3" t="s">
        <v>10131</v>
      </c>
      <c r="N1542" s="3" t="str">
        <f>HYPERLINK("http://ictvonline.org/taxonomyHistory.asp?taxnode_id=20161311","ICTVonline=20161311")</f>
        <v>ICTVonline=20161311</v>
      </c>
    </row>
    <row r="1543" spans="1:14" x14ac:dyDescent="0.15">
      <c r="A1543" s="3">
        <v>1542</v>
      </c>
      <c r="B1543" s="1" t="s">
        <v>1100</v>
      </c>
      <c r="C1543" s="1" t="s">
        <v>1148</v>
      </c>
      <c r="E1543" s="1" t="s">
        <v>2393</v>
      </c>
      <c r="F1543" s="1" t="s">
        <v>2394</v>
      </c>
      <c r="G1543" s="3">
        <v>1</v>
      </c>
      <c r="H1543" s="20" t="s">
        <v>10583</v>
      </c>
      <c r="I1543" s="20" t="s">
        <v>10584</v>
      </c>
      <c r="J1543" s="20" t="s">
        <v>3160</v>
      </c>
      <c r="K1543" s="20" t="s">
        <v>10013</v>
      </c>
      <c r="L1543" s="3">
        <v>28</v>
      </c>
      <c r="M1543" s="3" t="s">
        <v>10133</v>
      </c>
      <c r="N1543" s="3" t="str">
        <f>HYPERLINK("http://ictvonline.org/taxonomyHistory.asp?taxnode_id=20161313","ICTVonline=20161313")</f>
        <v>ICTVonline=20161313</v>
      </c>
    </row>
    <row r="1544" spans="1:14" x14ac:dyDescent="0.15">
      <c r="A1544" s="3">
        <v>1543</v>
      </c>
      <c r="B1544" s="1" t="s">
        <v>1100</v>
      </c>
      <c r="C1544" s="1" t="s">
        <v>1148</v>
      </c>
      <c r="E1544" s="1" t="s">
        <v>2393</v>
      </c>
      <c r="F1544" s="1" t="s">
        <v>8991</v>
      </c>
      <c r="G1544" s="3">
        <v>0</v>
      </c>
      <c r="H1544" s="20" t="s">
        <v>8992</v>
      </c>
      <c r="I1544" s="20" t="s">
        <v>10585</v>
      </c>
      <c r="J1544" s="20" t="s">
        <v>3160</v>
      </c>
      <c r="K1544" s="20" t="s">
        <v>10013</v>
      </c>
      <c r="L1544" s="3">
        <v>31</v>
      </c>
      <c r="M1544" s="3" t="s">
        <v>8993</v>
      </c>
      <c r="N1544" s="3" t="str">
        <f>HYPERLINK("http://ictvonline.org/taxonomyHistory.asp?taxnode_id=20165188","ICTVonline=20165188")</f>
        <v>ICTVonline=20165188</v>
      </c>
    </row>
    <row r="1545" spans="1:14" x14ac:dyDescent="0.15">
      <c r="A1545" s="3">
        <v>1544</v>
      </c>
      <c r="B1545" s="1" t="s">
        <v>1100</v>
      </c>
      <c r="C1545" s="1" t="s">
        <v>1148</v>
      </c>
      <c r="E1545" s="1" t="s">
        <v>2393</v>
      </c>
      <c r="F1545" s="1" t="s">
        <v>8994</v>
      </c>
      <c r="G1545" s="3">
        <v>0</v>
      </c>
      <c r="H1545" s="20" t="s">
        <v>8995</v>
      </c>
      <c r="I1545" s="20" t="s">
        <v>10586</v>
      </c>
      <c r="J1545" s="20" t="s">
        <v>3160</v>
      </c>
      <c r="K1545" s="20" t="s">
        <v>10013</v>
      </c>
      <c r="L1545" s="3">
        <v>31</v>
      </c>
      <c r="M1545" s="3" t="s">
        <v>8993</v>
      </c>
      <c r="N1545" s="3" t="str">
        <f>HYPERLINK("http://ictvonline.org/taxonomyHistory.asp?taxnode_id=20165189","ICTVonline=20165189")</f>
        <v>ICTVonline=20165189</v>
      </c>
    </row>
    <row r="1546" spans="1:14" x14ac:dyDescent="0.15">
      <c r="A1546" s="3">
        <v>1545</v>
      </c>
      <c r="B1546" s="1" t="s">
        <v>1100</v>
      </c>
      <c r="C1546" s="1" t="s">
        <v>1148</v>
      </c>
      <c r="E1546" s="1" t="s">
        <v>1817</v>
      </c>
      <c r="F1546" s="1" t="s">
        <v>2731</v>
      </c>
      <c r="G1546" s="3">
        <v>1</v>
      </c>
      <c r="H1546" s="20" t="s">
        <v>10587</v>
      </c>
      <c r="I1546" s="20" t="s">
        <v>10588</v>
      </c>
      <c r="J1546" s="20" t="s">
        <v>3160</v>
      </c>
      <c r="K1546" s="20" t="s">
        <v>10021</v>
      </c>
      <c r="L1546" s="3">
        <v>29</v>
      </c>
      <c r="M1546" s="3" t="s">
        <v>10131</v>
      </c>
      <c r="N1546" s="3" t="str">
        <f>HYPERLINK("http://ictvonline.org/taxonomyHistory.asp?taxnode_id=20161315","ICTVonline=20161315")</f>
        <v>ICTVonline=20161315</v>
      </c>
    </row>
    <row r="1547" spans="1:14" x14ac:dyDescent="0.15">
      <c r="A1547" s="3">
        <v>1546</v>
      </c>
      <c r="B1547" s="1" t="s">
        <v>1100</v>
      </c>
      <c r="C1547" s="1" t="s">
        <v>1148</v>
      </c>
      <c r="E1547" s="1" t="s">
        <v>1817</v>
      </c>
      <c r="F1547" s="1" t="s">
        <v>2732</v>
      </c>
      <c r="G1547" s="3">
        <v>0</v>
      </c>
      <c r="H1547" s="20" t="s">
        <v>10589</v>
      </c>
      <c r="I1547" s="20" t="s">
        <v>10590</v>
      </c>
      <c r="J1547" s="20" t="s">
        <v>3160</v>
      </c>
      <c r="K1547" s="20" t="s">
        <v>10021</v>
      </c>
      <c r="L1547" s="3">
        <v>29</v>
      </c>
      <c r="M1547" s="3" t="s">
        <v>10131</v>
      </c>
      <c r="N1547" s="3" t="str">
        <f>HYPERLINK("http://ictvonline.org/taxonomyHistory.asp?taxnode_id=20161316","ICTVonline=20161316")</f>
        <v>ICTVonline=20161316</v>
      </c>
    </row>
    <row r="1548" spans="1:14" x14ac:dyDescent="0.15">
      <c r="A1548" s="3">
        <v>1547</v>
      </c>
      <c r="B1548" s="1" t="s">
        <v>1100</v>
      </c>
      <c r="C1548" s="1" t="s">
        <v>1148</v>
      </c>
      <c r="E1548" s="1" t="s">
        <v>1817</v>
      </c>
      <c r="F1548" s="1" t="s">
        <v>2733</v>
      </c>
      <c r="G1548" s="3">
        <v>0</v>
      </c>
      <c r="H1548" s="20" t="s">
        <v>3161</v>
      </c>
      <c r="I1548" s="20" t="s">
        <v>10591</v>
      </c>
      <c r="J1548" s="20" t="s">
        <v>3160</v>
      </c>
      <c r="K1548" s="20" t="s">
        <v>10013</v>
      </c>
      <c r="L1548" s="3">
        <v>29</v>
      </c>
      <c r="M1548" s="3" t="s">
        <v>10134</v>
      </c>
      <c r="N1548" s="3" t="str">
        <f>HYPERLINK("http://ictvonline.org/taxonomyHistory.asp?taxnode_id=20161317","ICTVonline=20161317")</f>
        <v>ICTVonline=20161317</v>
      </c>
    </row>
    <row r="1549" spans="1:14" x14ac:dyDescent="0.15">
      <c r="A1549" s="3">
        <v>1548</v>
      </c>
      <c r="B1549" s="1" t="s">
        <v>1100</v>
      </c>
      <c r="C1549" s="1" t="s">
        <v>1148</v>
      </c>
      <c r="E1549" s="1" t="s">
        <v>2256</v>
      </c>
      <c r="F1549" s="1" t="s">
        <v>2257</v>
      </c>
      <c r="G1549" s="3">
        <v>1</v>
      </c>
      <c r="H1549" s="20" t="s">
        <v>10592</v>
      </c>
      <c r="I1549" s="20" t="s">
        <v>10593</v>
      </c>
      <c r="J1549" s="20" t="s">
        <v>3160</v>
      </c>
      <c r="K1549" s="20" t="s">
        <v>10072</v>
      </c>
      <c r="L1549" s="3">
        <v>27</v>
      </c>
      <c r="M1549" s="3" t="s">
        <v>10135</v>
      </c>
      <c r="N1549" s="3" t="str">
        <f>HYPERLINK("http://ictvonline.org/taxonomyHistory.asp?taxnode_id=20161319","ICTVonline=20161319")</f>
        <v>ICTVonline=20161319</v>
      </c>
    </row>
    <row r="1550" spans="1:14" x14ac:dyDescent="0.15">
      <c r="A1550" s="3">
        <v>1549</v>
      </c>
      <c r="B1550" s="1" t="s">
        <v>1100</v>
      </c>
      <c r="C1550" s="1" t="s">
        <v>1148</v>
      </c>
      <c r="E1550" s="1" t="s">
        <v>2256</v>
      </c>
      <c r="F1550" s="1" t="s">
        <v>8996</v>
      </c>
      <c r="G1550" s="3">
        <v>0</v>
      </c>
      <c r="H1550" s="20" t="s">
        <v>8997</v>
      </c>
      <c r="I1550" s="20" t="s">
        <v>10594</v>
      </c>
      <c r="J1550" s="20" t="s">
        <v>3160</v>
      </c>
      <c r="K1550" s="20" t="s">
        <v>10013</v>
      </c>
      <c r="L1550" s="3">
        <v>31</v>
      </c>
      <c r="M1550" s="3" t="s">
        <v>8998</v>
      </c>
      <c r="N1550" s="3" t="str">
        <f>HYPERLINK("http://ictvonline.org/taxonomyHistory.asp?taxnode_id=20165190","ICTVonline=20165190")</f>
        <v>ICTVonline=20165190</v>
      </c>
    </row>
    <row r="1551" spans="1:14" x14ac:dyDescent="0.15">
      <c r="A1551" s="3">
        <v>1550</v>
      </c>
      <c r="B1551" s="1" t="s">
        <v>1100</v>
      </c>
      <c r="C1551" s="1" t="s">
        <v>1148</v>
      </c>
      <c r="E1551" s="1" t="s">
        <v>2256</v>
      </c>
      <c r="F1551" s="1" t="s">
        <v>8999</v>
      </c>
      <c r="G1551" s="3">
        <v>0</v>
      </c>
      <c r="H1551" s="20" t="s">
        <v>9000</v>
      </c>
      <c r="I1551" s="20" t="s">
        <v>10595</v>
      </c>
      <c r="J1551" s="20" t="s">
        <v>3160</v>
      </c>
      <c r="K1551" s="20" t="s">
        <v>10013</v>
      </c>
      <c r="L1551" s="3">
        <v>31</v>
      </c>
      <c r="M1551" s="3" t="s">
        <v>8998</v>
      </c>
      <c r="N1551" s="3" t="str">
        <f>HYPERLINK("http://ictvonline.org/taxonomyHistory.asp?taxnode_id=20165191","ICTVonline=20165191")</f>
        <v>ICTVonline=20165191</v>
      </c>
    </row>
    <row r="1552" spans="1:14" x14ac:dyDescent="0.15">
      <c r="A1552" s="3">
        <v>1551</v>
      </c>
      <c r="B1552" s="1" t="s">
        <v>1100</v>
      </c>
      <c r="C1552" s="1" t="s">
        <v>1148</v>
      </c>
      <c r="E1552" s="1" t="s">
        <v>2256</v>
      </c>
      <c r="F1552" s="1" t="s">
        <v>9001</v>
      </c>
      <c r="G1552" s="3">
        <v>0</v>
      </c>
      <c r="H1552" s="20" t="s">
        <v>9002</v>
      </c>
      <c r="I1552" s="20" t="s">
        <v>10596</v>
      </c>
      <c r="J1552" s="20" t="s">
        <v>3160</v>
      </c>
      <c r="K1552" s="20" t="s">
        <v>10013</v>
      </c>
      <c r="L1552" s="3">
        <v>31</v>
      </c>
      <c r="M1552" s="3" t="s">
        <v>8998</v>
      </c>
      <c r="N1552" s="3" t="str">
        <f>HYPERLINK("http://ictvonline.org/taxonomyHistory.asp?taxnode_id=20165192","ICTVonline=20165192")</f>
        <v>ICTVonline=20165192</v>
      </c>
    </row>
    <row r="1553" spans="1:14" x14ac:dyDescent="0.15">
      <c r="A1553" s="3">
        <v>1552</v>
      </c>
      <c r="B1553" s="1" t="s">
        <v>1100</v>
      </c>
      <c r="C1553" s="1" t="s">
        <v>1148</v>
      </c>
      <c r="E1553" s="1" t="s">
        <v>2256</v>
      </c>
      <c r="F1553" s="1" t="s">
        <v>9003</v>
      </c>
      <c r="G1553" s="3">
        <v>0</v>
      </c>
      <c r="H1553" s="20" t="s">
        <v>9004</v>
      </c>
      <c r="I1553" s="20" t="s">
        <v>10597</v>
      </c>
      <c r="J1553" s="20" t="s">
        <v>3160</v>
      </c>
      <c r="K1553" s="20" t="s">
        <v>10013</v>
      </c>
      <c r="L1553" s="3">
        <v>31</v>
      </c>
      <c r="M1553" s="3" t="s">
        <v>8998</v>
      </c>
      <c r="N1553" s="3" t="str">
        <f>HYPERLINK("http://ictvonline.org/taxonomyHistory.asp?taxnode_id=20165193","ICTVonline=20165193")</f>
        <v>ICTVonline=20165193</v>
      </c>
    </row>
    <row r="1554" spans="1:14" x14ac:dyDescent="0.15">
      <c r="A1554" s="3">
        <v>1553</v>
      </c>
      <c r="B1554" s="1" t="s">
        <v>1100</v>
      </c>
      <c r="C1554" s="1" t="s">
        <v>1148</v>
      </c>
      <c r="E1554" s="1" t="s">
        <v>2258</v>
      </c>
      <c r="F1554" s="1" t="s">
        <v>2259</v>
      </c>
      <c r="G1554" s="3">
        <v>1</v>
      </c>
      <c r="H1554" s="20" t="s">
        <v>10598</v>
      </c>
      <c r="I1554" s="20" t="s">
        <v>10599</v>
      </c>
      <c r="J1554" s="20" t="s">
        <v>3160</v>
      </c>
      <c r="K1554" s="20" t="s">
        <v>10072</v>
      </c>
      <c r="L1554" s="3">
        <v>27</v>
      </c>
      <c r="M1554" s="3" t="s">
        <v>10136</v>
      </c>
      <c r="N1554" s="3" t="str">
        <f>HYPERLINK("http://ictvonline.org/taxonomyHistory.asp?taxnode_id=20161321","ICTVonline=20161321")</f>
        <v>ICTVonline=20161321</v>
      </c>
    </row>
    <row r="1555" spans="1:14" x14ac:dyDescent="0.15">
      <c r="A1555" s="3">
        <v>1554</v>
      </c>
      <c r="B1555" s="1" t="s">
        <v>1100</v>
      </c>
      <c r="C1555" s="1" t="s">
        <v>1148</v>
      </c>
      <c r="E1555" s="1" t="s">
        <v>636</v>
      </c>
      <c r="F1555" s="1" t="s">
        <v>2260</v>
      </c>
      <c r="G1555" s="3">
        <v>0</v>
      </c>
      <c r="H1555" s="20" t="s">
        <v>10600</v>
      </c>
      <c r="I1555" s="20" t="s">
        <v>10601</v>
      </c>
      <c r="J1555" s="20" t="s">
        <v>3160</v>
      </c>
      <c r="K1555" s="20" t="s">
        <v>10021</v>
      </c>
      <c r="L1555" s="3">
        <v>27</v>
      </c>
      <c r="M1555" s="3" t="s">
        <v>10137</v>
      </c>
      <c r="N1555" s="3" t="str">
        <f>HYPERLINK("http://ictvonline.org/taxonomyHistory.asp?taxnode_id=20161323","ICTVonline=20161323")</f>
        <v>ICTVonline=20161323</v>
      </c>
    </row>
    <row r="1556" spans="1:14" x14ac:dyDescent="0.15">
      <c r="A1556" s="3">
        <v>1555</v>
      </c>
      <c r="B1556" s="1" t="s">
        <v>1100</v>
      </c>
      <c r="C1556" s="1" t="s">
        <v>1148</v>
      </c>
      <c r="E1556" s="1" t="s">
        <v>636</v>
      </c>
      <c r="F1556" s="1" t="s">
        <v>2261</v>
      </c>
      <c r="G1556" s="3">
        <v>0</v>
      </c>
      <c r="H1556" s="20" t="s">
        <v>10602</v>
      </c>
      <c r="I1556" s="20" t="s">
        <v>10603</v>
      </c>
      <c r="J1556" s="20" t="s">
        <v>3160</v>
      </c>
      <c r="K1556" s="20" t="s">
        <v>10021</v>
      </c>
      <c r="L1556" s="3">
        <v>27</v>
      </c>
      <c r="M1556" s="3" t="s">
        <v>10137</v>
      </c>
      <c r="N1556" s="3" t="str">
        <f>HYPERLINK("http://ictvonline.org/taxonomyHistory.asp?taxnode_id=20161324","ICTVonline=20161324")</f>
        <v>ICTVonline=20161324</v>
      </c>
    </row>
    <row r="1557" spans="1:14" x14ac:dyDescent="0.15">
      <c r="A1557" s="3">
        <v>1556</v>
      </c>
      <c r="B1557" s="1" t="s">
        <v>1100</v>
      </c>
      <c r="C1557" s="1" t="s">
        <v>1148</v>
      </c>
      <c r="E1557" s="1" t="s">
        <v>636</v>
      </c>
      <c r="F1557" s="1" t="s">
        <v>2262</v>
      </c>
      <c r="G1557" s="3">
        <v>1</v>
      </c>
      <c r="H1557" s="20" t="s">
        <v>10604</v>
      </c>
      <c r="I1557" s="20" t="s">
        <v>10605</v>
      </c>
      <c r="J1557" s="20" t="s">
        <v>3160</v>
      </c>
      <c r="K1557" s="20" t="s">
        <v>10021</v>
      </c>
      <c r="L1557" s="3">
        <v>27</v>
      </c>
      <c r="M1557" s="3" t="s">
        <v>10137</v>
      </c>
      <c r="N1557" s="3" t="str">
        <f>HYPERLINK("http://ictvonline.org/taxonomyHistory.asp?taxnode_id=20161325","ICTVonline=20161325")</f>
        <v>ICTVonline=20161325</v>
      </c>
    </row>
    <row r="1558" spans="1:14" x14ac:dyDescent="0.15">
      <c r="A1558" s="3">
        <v>1557</v>
      </c>
      <c r="B1558" s="1" t="s">
        <v>1100</v>
      </c>
      <c r="C1558" s="1" t="s">
        <v>1148</v>
      </c>
      <c r="E1558" s="1" t="s">
        <v>636</v>
      </c>
      <c r="F1558" s="1" t="s">
        <v>2263</v>
      </c>
      <c r="G1558" s="3">
        <v>0</v>
      </c>
      <c r="H1558" s="20" t="s">
        <v>10606</v>
      </c>
      <c r="I1558" s="20" t="s">
        <v>10607</v>
      </c>
      <c r="J1558" s="20" t="s">
        <v>3160</v>
      </c>
      <c r="K1558" s="20" t="s">
        <v>10021</v>
      </c>
      <c r="L1558" s="3">
        <v>27</v>
      </c>
      <c r="M1558" s="3" t="s">
        <v>10137</v>
      </c>
      <c r="N1558" s="3" t="str">
        <f>HYPERLINK("http://ictvonline.org/taxonomyHistory.asp?taxnode_id=20161326","ICTVonline=20161326")</f>
        <v>ICTVonline=20161326</v>
      </c>
    </row>
    <row r="1559" spans="1:14" x14ac:dyDescent="0.15">
      <c r="A1559" s="3">
        <v>1558</v>
      </c>
      <c r="B1559" s="1" t="s">
        <v>1100</v>
      </c>
      <c r="C1559" s="1" t="s">
        <v>1148</v>
      </c>
      <c r="E1559" s="1" t="s">
        <v>636</v>
      </c>
      <c r="F1559" s="1" t="s">
        <v>2264</v>
      </c>
      <c r="G1559" s="3">
        <v>0</v>
      </c>
      <c r="H1559" s="20" t="s">
        <v>10608</v>
      </c>
      <c r="I1559" s="20" t="s">
        <v>10609</v>
      </c>
      <c r="J1559" s="20" t="s">
        <v>3160</v>
      </c>
      <c r="K1559" s="20" t="s">
        <v>10021</v>
      </c>
      <c r="L1559" s="3">
        <v>27</v>
      </c>
      <c r="M1559" s="3" t="s">
        <v>10137</v>
      </c>
      <c r="N1559" s="3" t="str">
        <f>HYPERLINK("http://ictvonline.org/taxonomyHistory.asp?taxnode_id=20161327","ICTVonline=20161327")</f>
        <v>ICTVonline=20161327</v>
      </c>
    </row>
    <row r="1560" spans="1:14" x14ac:dyDescent="0.15">
      <c r="A1560" s="3">
        <v>1559</v>
      </c>
      <c r="B1560" s="1" t="s">
        <v>1100</v>
      </c>
      <c r="C1560" s="1" t="s">
        <v>1148</v>
      </c>
      <c r="E1560" s="1" t="s">
        <v>636</v>
      </c>
      <c r="F1560" s="1" t="s">
        <v>2265</v>
      </c>
      <c r="G1560" s="3">
        <v>0</v>
      </c>
      <c r="H1560" s="20" t="s">
        <v>10610</v>
      </c>
      <c r="I1560" s="20" t="s">
        <v>10611</v>
      </c>
      <c r="J1560" s="20" t="s">
        <v>3160</v>
      </c>
      <c r="K1560" s="20" t="s">
        <v>10013</v>
      </c>
      <c r="L1560" s="3">
        <v>27</v>
      </c>
      <c r="M1560" s="3" t="s">
        <v>10137</v>
      </c>
      <c r="N1560" s="3" t="str">
        <f>HYPERLINK("http://ictvonline.org/taxonomyHistory.asp?taxnode_id=20161328","ICTVonline=20161328")</f>
        <v>ICTVonline=20161328</v>
      </c>
    </row>
    <row r="1561" spans="1:14" x14ac:dyDescent="0.15">
      <c r="A1561" s="3">
        <v>1560</v>
      </c>
      <c r="B1561" s="1" t="s">
        <v>1100</v>
      </c>
      <c r="C1561" s="1" t="s">
        <v>1148</v>
      </c>
      <c r="E1561" s="1" t="s">
        <v>636</v>
      </c>
      <c r="F1561" s="1" t="s">
        <v>2266</v>
      </c>
      <c r="G1561" s="3">
        <v>0</v>
      </c>
      <c r="H1561" s="20" t="s">
        <v>10612</v>
      </c>
      <c r="I1561" s="20" t="s">
        <v>10613</v>
      </c>
      <c r="J1561" s="20" t="s">
        <v>3160</v>
      </c>
      <c r="K1561" s="20" t="s">
        <v>10021</v>
      </c>
      <c r="L1561" s="3">
        <v>27</v>
      </c>
      <c r="M1561" s="3" t="s">
        <v>10137</v>
      </c>
      <c r="N1561" s="3" t="str">
        <f>HYPERLINK("http://ictvonline.org/taxonomyHistory.asp?taxnode_id=20161329","ICTVonline=20161329")</f>
        <v>ICTVonline=20161329</v>
      </c>
    </row>
    <row r="1562" spans="1:14" x14ac:dyDescent="0.15">
      <c r="A1562" s="3">
        <v>1561</v>
      </c>
      <c r="B1562" s="1" t="s">
        <v>1100</v>
      </c>
      <c r="C1562" s="1" t="s">
        <v>1148</v>
      </c>
      <c r="E1562" s="1" t="s">
        <v>636</v>
      </c>
      <c r="F1562" s="1" t="s">
        <v>2267</v>
      </c>
      <c r="G1562" s="3">
        <v>0</v>
      </c>
      <c r="H1562" s="20" t="s">
        <v>10614</v>
      </c>
      <c r="I1562" s="20" t="s">
        <v>10615</v>
      </c>
      <c r="J1562" s="20" t="s">
        <v>3160</v>
      </c>
      <c r="K1562" s="20" t="s">
        <v>10021</v>
      </c>
      <c r="L1562" s="3">
        <v>27</v>
      </c>
      <c r="M1562" s="3" t="s">
        <v>10137</v>
      </c>
      <c r="N1562" s="3" t="str">
        <f>HYPERLINK("http://ictvonline.org/taxonomyHistory.asp?taxnode_id=20161330","ICTVonline=20161330")</f>
        <v>ICTVonline=20161330</v>
      </c>
    </row>
    <row r="1563" spans="1:14" x14ac:dyDescent="0.15">
      <c r="A1563" s="3">
        <v>1562</v>
      </c>
      <c r="B1563" s="1" t="s">
        <v>1100</v>
      </c>
      <c r="C1563" s="1" t="s">
        <v>1148</v>
      </c>
      <c r="E1563" s="1" t="s">
        <v>636</v>
      </c>
      <c r="F1563" s="1" t="s">
        <v>9005</v>
      </c>
      <c r="G1563" s="3">
        <v>0</v>
      </c>
      <c r="H1563" s="20" t="s">
        <v>9006</v>
      </c>
      <c r="I1563" s="20" t="s">
        <v>10616</v>
      </c>
      <c r="J1563" s="20" t="s">
        <v>3160</v>
      </c>
      <c r="K1563" s="20" t="s">
        <v>10013</v>
      </c>
      <c r="L1563" s="3">
        <v>31</v>
      </c>
      <c r="M1563" s="3" t="s">
        <v>9007</v>
      </c>
      <c r="N1563" s="3" t="str">
        <f>HYPERLINK("http://ictvonline.org/taxonomyHistory.asp?taxnode_id=20165194","ICTVonline=20165194")</f>
        <v>ICTVonline=20165194</v>
      </c>
    </row>
    <row r="1564" spans="1:14" x14ac:dyDescent="0.15">
      <c r="A1564" s="3">
        <v>1563</v>
      </c>
      <c r="B1564" s="1" t="s">
        <v>1100</v>
      </c>
      <c r="C1564" s="1" t="s">
        <v>1148</v>
      </c>
      <c r="E1564" s="1" t="s">
        <v>636</v>
      </c>
      <c r="F1564" s="1" t="s">
        <v>2268</v>
      </c>
      <c r="G1564" s="3">
        <v>0</v>
      </c>
      <c r="H1564" s="20" t="s">
        <v>10617</v>
      </c>
      <c r="I1564" s="20" t="s">
        <v>10618</v>
      </c>
      <c r="J1564" s="20" t="s">
        <v>3160</v>
      </c>
      <c r="K1564" s="20" t="s">
        <v>10013</v>
      </c>
      <c r="L1564" s="3">
        <v>27</v>
      </c>
      <c r="M1564" s="3" t="s">
        <v>10137</v>
      </c>
      <c r="N1564" s="3" t="str">
        <f>HYPERLINK("http://ictvonline.org/taxonomyHistory.asp?taxnode_id=20161331","ICTVonline=20161331")</f>
        <v>ICTVonline=20161331</v>
      </c>
    </row>
    <row r="1565" spans="1:14" x14ac:dyDescent="0.15">
      <c r="A1565" s="3">
        <v>1564</v>
      </c>
      <c r="B1565" s="1" t="s">
        <v>1100</v>
      </c>
      <c r="C1565" s="1" t="s">
        <v>1148</v>
      </c>
      <c r="E1565" s="1" t="s">
        <v>636</v>
      </c>
      <c r="F1565" s="1" t="s">
        <v>2269</v>
      </c>
      <c r="G1565" s="3">
        <v>0</v>
      </c>
      <c r="H1565" s="20" t="s">
        <v>10619</v>
      </c>
      <c r="I1565" s="20" t="s">
        <v>10620</v>
      </c>
      <c r="J1565" s="20" t="s">
        <v>3160</v>
      </c>
      <c r="K1565" s="20" t="s">
        <v>10021</v>
      </c>
      <c r="L1565" s="3">
        <v>27</v>
      </c>
      <c r="M1565" s="3" t="s">
        <v>10137</v>
      </c>
      <c r="N1565" s="3" t="str">
        <f>HYPERLINK("http://ictvonline.org/taxonomyHistory.asp?taxnode_id=20161332","ICTVonline=20161332")</f>
        <v>ICTVonline=20161332</v>
      </c>
    </row>
    <row r="1566" spans="1:14" x14ac:dyDescent="0.15">
      <c r="A1566" s="3">
        <v>1565</v>
      </c>
      <c r="B1566" s="1" t="s">
        <v>1100</v>
      </c>
      <c r="C1566" s="1" t="s">
        <v>1148</v>
      </c>
      <c r="E1566" s="1" t="s">
        <v>636</v>
      </c>
      <c r="F1566" s="1" t="s">
        <v>2270</v>
      </c>
      <c r="G1566" s="3">
        <v>0</v>
      </c>
      <c r="H1566" s="20" t="s">
        <v>10621</v>
      </c>
      <c r="I1566" s="20" t="s">
        <v>10622</v>
      </c>
      <c r="J1566" s="20" t="s">
        <v>3160</v>
      </c>
      <c r="K1566" s="20" t="s">
        <v>10021</v>
      </c>
      <c r="L1566" s="3">
        <v>27</v>
      </c>
      <c r="M1566" s="3" t="s">
        <v>10137</v>
      </c>
      <c r="N1566" s="3" t="str">
        <f>HYPERLINK("http://ictvonline.org/taxonomyHistory.asp?taxnode_id=20161333","ICTVonline=20161333")</f>
        <v>ICTVonline=20161333</v>
      </c>
    </row>
    <row r="1567" spans="1:14" x14ac:dyDescent="0.15">
      <c r="A1567" s="3">
        <v>1566</v>
      </c>
      <c r="B1567" s="1" t="s">
        <v>1100</v>
      </c>
      <c r="C1567" s="1" t="s">
        <v>1148</v>
      </c>
      <c r="E1567" s="1" t="s">
        <v>636</v>
      </c>
      <c r="F1567" s="1" t="s">
        <v>2271</v>
      </c>
      <c r="G1567" s="3">
        <v>0</v>
      </c>
      <c r="H1567" s="20" t="s">
        <v>10623</v>
      </c>
      <c r="I1567" s="20" t="s">
        <v>10624</v>
      </c>
      <c r="J1567" s="20" t="s">
        <v>3160</v>
      </c>
      <c r="K1567" s="20" t="s">
        <v>10021</v>
      </c>
      <c r="L1567" s="3">
        <v>27</v>
      </c>
      <c r="M1567" s="3" t="s">
        <v>10137</v>
      </c>
      <c r="N1567" s="3" t="str">
        <f>HYPERLINK("http://ictvonline.org/taxonomyHistory.asp?taxnode_id=20161334","ICTVonline=20161334")</f>
        <v>ICTVonline=20161334</v>
      </c>
    </row>
    <row r="1568" spans="1:14" x14ac:dyDescent="0.15">
      <c r="A1568" s="3">
        <v>1567</v>
      </c>
      <c r="B1568" s="1" t="s">
        <v>1100</v>
      </c>
      <c r="C1568" s="1" t="s">
        <v>1148</v>
      </c>
      <c r="E1568" s="1" t="s">
        <v>639</v>
      </c>
      <c r="F1568" s="1" t="s">
        <v>2734</v>
      </c>
      <c r="G1568" s="3">
        <v>1</v>
      </c>
      <c r="H1568" s="20" t="s">
        <v>10625</v>
      </c>
      <c r="I1568" s="20" t="s">
        <v>10626</v>
      </c>
      <c r="J1568" s="20" t="s">
        <v>3160</v>
      </c>
      <c r="K1568" s="20" t="s">
        <v>10021</v>
      </c>
      <c r="L1568" s="3">
        <v>29</v>
      </c>
      <c r="M1568" s="3" t="s">
        <v>10131</v>
      </c>
      <c r="N1568" s="3" t="str">
        <f>HYPERLINK("http://ictvonline.org/taxonomyHistory.asp?taxnode_id=20161336","ICTVonline=20161336")</f>
        <v>ICTVonline=20161336</v>
      </c>
    </row>
    <row r="1569" spans="1:14" x14ac:dyDescent="0.15">
      <c r="A1569" s="3">
        <v>1568</v>
      </c>
      <c r="B1569" s="1" t="s">
        <v>1100</v>
      </c>
      <c r="C1569" s="1" t="s">
        <v>1148</v>
      </c>
      <c r="E1569" s="1" t="s">
        <v>2395</v>
      </c>
      <c r="F1569" s="1" t="s">
        <v>2396</v>
      </c>
      <c r="G1569" s="3">
        <v>1</v>
      </c>
      <c r="H1569" s="20" t="s">
        <v>10627</v>
      </c>
      <c r="I1569" s="20" t="s">
        <v>10628</v>
      </c>
      <c r="J1569" s="20" t="s">
        <v>3160</v>
      </c>
      <c r="K1569" s="20" t="s">
        <v>10013</v>
      </c>
      <c r="L1569" s="3">
        <v>28</v>
      </c>
      <c r="M1569" s="3" t="s">
        <v>10138</v>
      </c>
      <c r="N1569" s="3" t="str">
        <f>HYPERLINK("http://ictvonline.org/taxonomyHistory.asp?taxnode_id=20161338","ICTVonline=20161338")</f>
        <v>ICTVonline=20161338</v>
      </c>
    </row>
    <row r="1570" spans="1:14" x14ac:dyDescent="0.15">
      <c r="A1570" s="3">
        <v>1569</v>
      </c>
      <c r="B1570" s="1" t="s">
        <v>1100</v>
      </c>
      <c r="C1570" s="1" t="s">
        <v>1148</v>
      </c>
      <c r="E1570" s="1" t="s">
        <v>9008</v>
      </c>
      <c r="F1570" s="1" t="s">
        <v>9009</v>
      </c>
      <c r="G1570" s="3">
        <v>1</v>
      </c>
      <c r="H1570" s="20" t="s">
        <v>9010</v>
      </c>
      <c r="I1570" s="20" t="s">
        <v>10629</v>
      </c>
      <c r="J1570" s="20" t="s">
        <v>3160</v>
      </c>
      <c r="K1570" s="20" t="s">
        <v>10013</v>
      </c>
      <c r="L1570" s="3">
        <v>31</v>
      </c>
      <c r="M1570" s="3" t="s">
        <v>9011</v>
      </c>
      <c r="N1570" s="3" t="str">
        <f>HYPERLINK("http://ictvonline.org/taxonomyHistory.asp?taxnode_id=20165195","ICTVonline=20165195")</f>
        <v>ICTVonline=20165195</v>
      </c>
    </row>
    <row r="1571" spans="1:14" x14ac:dyDescent="0.15">
      <c r="A1571" s="3">
        <v>1570</v>
      </c>
      <c r="B1571" s="1" t="s">
        <v>1100</v>
      </c>
      <c r="C1571" s="1" t="s">
        <v>1148</v>
      </c>
      <c r="E1571" s="1" t="s">
        <v>640</v>
      </c>
      <c r="F1571" s="1" t="s">
        <v>2735</v>
      </c>
      <c r="G1571" s="3">
        <v>1</v>
      </c>
      <c r="H1571" s="20" t="s">
        <v>10630</v>
      </c>
      <c r="I1571" s="20" t="s">
        <v>10631</v>
      </c>
      <c r="J1571" s="20" t="s">
        <v>3160</v>
      </c>
      <c r="K1571" s="20" t="s">
        <v>10021</v>
      </c>
      <c r="L1571" s="3">
        <v>29</v>
      </c>
      <c r="M1571" s="3" t="s">
        <v>10131</v>
      </c>
      <c r="N1571" s="3" t="str">
        <f>HYPERLINK("http://ictvonline.org/taxonomyHistory.asp?taxnode_id=20161340","ICTVonline=20161340")</f>
        <v>ICTVonline=20161340</v>
      </c>
    </row>
    <row r="1572" spans="1:14" x14ac:dyDescent="0.15">
      <c r="A1572" s="3">
        <v>1571</v>
      </c>
      <c r="B1572" s="1" t="s">
        <v>1100</v>
      </c>
      <c r="C1572" s="1" t="s">
        <v>1148</v>
      </c>
      <c r="E1572" s="1" t="s">
        <v>640</v>
      </c>
      <c r="F1572" s="1" t="s">
        <v>9012</v>
      </c>
      <c r="G1572" s="3">
        <v>0</v>
      </c>
      <c r="H1572" s="20" t="s">
        <v>9013</v>
      </c>
      <c r="I1572" s="20" t="s">
        <v>10632</v>
      </c>
      <c r="J1572" s="20" t="s">
        <v>3160</v>
      </c>
      <c r="K1572" s="20" t="s">
        <v>10013</v>
      </c>
      <c r="L1572" s="3">
        <v>31</v>
      </c>
      <c r="M1572" s="3" t="s">
        <v>9014</v>
      </c>
      <c r="N1572" s="3" t="str">
        <f>HYPERLINK("http://ictvonline.org/taxonomyHistory.asp?taxnode_id=20165196","ICTVonline=20165196")</f>
        <v>ICTVonline=20165196</v>
      </c>
    </row>
    <row r="1573" spans="1:14" x14ac:dyDescent="0.15">
      <c r="A1573" s="3">
        <v>1572</v>
      </c>
      <c r="B1573" s="1" t="s">
        <v>1100</v>
      </c>
      <c r="C1573" s="1" t="s">
        <v>1148</v>
      </c>
      <c r="E1573" s="1" t="s">
        <v>640</v>
      </c>
      <c r="F1573" s="1" t="s">
        <v>9015</v>
      </c>
      <c r="G1573" s="3">
        <v>0</v>
      </c>
      <c r="H1573" s="20" t="s">
        <v>9016</v>
      </c>
      <c r="I1573" s="20" t="s">
        <v>10633</v>
      </c>
      <c r="J1573" s="20" t="s">
        <v>3160</v>
      </c>
      <c r="K1573" s="20" t="s">
        <v>10013</v>
      </c>
      <c r="L1573" s="3">
        <v>31</v>
      </c>
      <c r="M1573" s="3" t="s">
        <v>9014</v>
      </c>
      <c r="N1573" s="3" t="str">
        <f>HYPERLINK("http://ictvonline.org/taxonomyHistory.asp?taxnode_id=20165197","ICTVonline=20165197")</f>
        <v>ICTVonline=20165197</v>
      </c>
    </row>
    <row r="1574" spans="1:14" x14ac:dyDescent="0.15">
      <c r="A1574" s="3">
        <v>1573</v>
      </c>
      <c r="B1574" s="1" t="s">
        <v>1100</v>
      </c>
      <c r="C1574" s="1" t="s">
        <v>1148</v>
      </c>
      <c r="E1574" s="1" t="s">
        <v>640</v>
      </c>
      <c r="F1574" s="1" t="s">
        <v>9017</v>
      </c>
      <c r="G1574" s="3">
        <v>0</v>
      </c>
      <c r="H1574" s="20" t="s">
        <v>9018</v>
      </c>
      <c r="I1574" s="20" t="s">
        <v>10634</v>
      </c>
      <c r="J1574" s="20" t="s">
        <v>3160</v>
      </c>
      <c r="K1574" s="20" t="s">
        <v>10013</v>
      </c>
      <c r="L1574" s="3">
        <v>31</v>
      </c>
      <c r="M1574" s="3" t="s">
        <v>9014</v>
      </c>
      <c r="N1574" s="3" t="str">
        <f>HYPERLINK("http://ictvonline.org/taxonomyHistory.asp?taxnode_id=20165198","ICTVonline=20165198")</f>
        <v>ICTVonline=20165198</v>
      </c>
    </row>
    <row r="1575" spans="1:14" x14ac:dyDescent="0.15">
      <c r="A1575" s="3">
        <v>1574</v>
      </c>
      <c r="B1575" s="1" t="s">
        <v>1100</v>
      </c>
      <c r="C1575" s="1" t="s">
        <v>1148</v>
      </c>
      <c r="E1575" s="1" t="s">
        <v>640</v>
      </c>
      <c r="F1575" s="1" t="s">
        <v>9019</v>
      </c>
      <c r="G1575" s="3">
        <v>0</v>
      </c>
      <c r="H1575" s="20" t="s">
        <v>9020</v>
      </c>
      <c r="I1575" s="20" t="s">
        <v>10635</v>
      </c>
      <c r="J1575" s="20" t="s">
        <v>3160</v>
      </c>
      <c r="K1575" s="20" t="s">
        <v>10013</v>
      </c>
      <c r="L1575" s="3">
        <v>31</v>
      </c>
      <c r="M1575" s="3" t="s">
        <v>9014</v>
      </c>
      <c r="N1575" s="3" t="str">
        <f>HYPERLINK("http://ictvonline.org/taxonomyHistory.asp?taxnode_id=20165199","ICTVonline=20165199")</f>
        <v>ICTVonline=20165199</v>
      </c>
    </row>
    <row r="1576" spans="1:14" x14ac:dyDescent="0.15">
      <c r="A1576" s="3">
        <v>1575</v>
      </c>
      <c r="B1576" s="1" t="s">
        <v>1100</v>
      </c>
      <c r="C1576" s="1" t="s">
        <v>1148</v>
      </c>
      <c r="E1576" s="1" t="s">
        <v>640</v>
      </c>
      <c r="F1576" s="1" t="s">
        <v>9021</v>
      </c>
      <c r="G1576" s="3">
        <v>0</v>
      </c>
      <c r="H1576" s="20" t="s">
        <v>9022</v>
      </c>
      <c r="I1576" s="20" t="s">
        <v>10636</v>
      </c>
      <c r="J1576" s="20" t="s">
        <v>3160</v>
      </c>
      <c r="K1576" s="20" t="s">
        <v>10013</v>
      </c>
      <c r="L1576" s="3">
        <v>31</v>
      </c>
      <c r="M1576" s="3" t="s">
        <v>9014</v>
      </c>
      <c r="N1576" s="3" t="str">
        <f>HYPERLINK("http://ictvonline.org/taxonomyHistory.asp?taxnode_id=20165200","ICTVonline=20165200")</f>
        <v>ICTVonline=20165200</v>
      </c>
    </row>
    <row r="1577" spans="1:14" x14ac:dyDescent="0.15">
      <c r="A1577" s="3">
        <v>1576</v>
      </c>
      <c r="B1577" s="1" t="s">
        <v>1100</v>
      </c>
      <c r="C1577" s="1" t="s">
        <v>1148</v>
      </c>
      <c r="E1577" s="1" t="s">
        <v>640</v>
      </c>
      <c r="F1577" s="1" t="s">
        <v>9023</v>
      </c>
      <c r="G1577" s="3">
        <v>0</v>
      </c>
      <c r="H1577" s="20" t="s">
        <v>9024</v>
      </c>
      <c r="I1577" s="20" t="s">
        <v>10637</v>
      </c>
      <c r="J1577" s="20" t="s">
        <v>3160</v>
      </c>
      <c r="K1577" s="20" t="s">
        <v>10013</v>
      </c>
      <c r="L1577" s="3">
        <v>31</v>
      </c>
      <c r="M1577" s="3" t="s">
        <v>9014</v>
      </c>
      <c r="N1577" s="3" t="str">
        <f>HYPERLINK("http://ictvonline.org/taxonomyHistory.asp?taxnode_id=20165201","ICTVonline=20165201")</f>
        <v>ICTVonline=20165201</v>
      </c>
    </row>
    <row r="1578" spans="1:14" x14ac:dyDescent="0.15">
      <c r="A1578" s="3">
        <v>1577</v>
      </c>
      <c r="B1578" s="1" t="s">
        <v>1100</v>
      </c>
      <c r="C1578" s="1" t="s">
        <v>1148</v>
      </c>
      <c r="E1578" s="1" t="s">
        <v>640</v>
      </c>
      <c r="F1578" s="1" t="s">
        <v>9025</v>
      </c>
      <c r="G1578" s="3">
        <v>0</v>
      </c>
      <c r="H1578" s="20" t="s">
        <v>9026</v>
      </c>
      <c r="I1578" s="20" t="s">
        <v>10638</v>
      </c>
      <c r="J1578" s="20" t="s">
        <v>3160</v>
      </c>
      <c r="K1578" s="20" t="s">
        <v>10013</v>
      </c>
      <c r="L1578" s="3">
        <v>31</v>
      </c>
      <c r="M1578" s="3" t="s">
        <v>9014</v>
      </c>
      <c r="N1578" s="3" t="str">
        <f>HYPERLINK("http://ictvonline.org/taxonomyHistory.asp?taxnode_id=20165202","ICTVonline=20165202")</f>
        <v>ICTVonline=20165202</v>
      </c>
    </row>
    <row r="1579" spans="1:14" x14ac:dyDescent="0.15">
      <c r="A1579" s="3">
        <v>1578</v>
      </c>
      <c r="B1579" s="1" t="s">
        <v>1100</v>
      </c>
      <c r="C1579" s="1" t="s">
        <v>1148</v>
      </c>
      <c r="E1579" s="1" t="s">
        <v>640</v>
      </c>
      <c r="F1579" s="1" t="s">
        <v>9027</v>
      </c>
      <c r="G1579" s="3">
        <v>0</v>
      </c>
      <c r="H1579" s="20" t="s">
        <v>9028</v>
      </c>
      <c r="I1579" s="20" t="s">
        <v>10639</v>
      </c>
      <c r="J1579" s="20" t="s">
        <v>3160</v>
      </c>
      <c r="K1579" s="20" t="s">
        <v>10013</v>
      </c>
      <c r="L1579" s="3">
        <v>31</v>
      </c>
      <c r="M1579" s="3" t="s">
        <v>9014</v>
      </c>
      <c r="N1579" s="3" t="str">
        <f>HYPERLINK("http://ictvonline.org/taxonomyHistory.asp?taxnode_id=20165203","ICTVonline=20165203")</f>
        <v>ICTVonline=20165203</v>
      </c>
    </row>
    <row r="1580" spans="1:14" x14ac:dyDescent="0.15">
      <c r="A1580" s="3">
        <v>1579</v>
      </c>
      <c r="B1580" s="1" t="s">
        <v>1100</v>
      </c>
      <c r="C1580" s="1" t="s">
        <v>1148</v>
      </c>
      <c r="E1580" s="1" t="s">
        <v>2397</v>
      </c>
      <c r="F1580" s="1" t="s">
        <v>2398</v>
      </c>
      <c r="G1580" s="3">
        <v>1</v>
      </c>
      <c r="H1580" s="20" t="s">
        <v>10640</v>
      </c>
      <c r="I1580" s="20" t="s">
        <v>10641</v>
      </c>
      <c r="J1580" s="20" t="s">
        <v>3160</v>
      </c>
      <c r="K1580" s="20" t="s">
        <v>10013</v>
      </c>
      <c r="L1580" s="3">
        <v>28</v>
      </c>
      <c r="M1580" s="3" t="s">
        <v>10139</v>
      </c>
      <c r="N1580" s="3" t="str">
        <f>HYPERLINK("http://ictvonline.org/taxonomyHistory.asp?taxnode_id=20161342","ICTVonline=20161342")</f>
        <v>ICTVonline=20161342</v>
      </c>
    </row>
    <row r="1581" spans="1:14" x14ac:dyDescent="0.15">
      <c r="A1581" s="3">
        <v>1580</v>
      </c>
      <c r="B1581" s="1" t="s">
        <v>1100</v>
      </c>
      <c r="C1581" s="1" t="s">
        <v>1148</v>
      </c>
      <c r="E1581" s="1" t="s">
        <v>641</v>
      </c>
      <c r="F1581" s="1" t="s">
        <v>2272</v>
      </c>
      <c r="G1581" s="3">
        <v>1</v>
      </c>
      <c r="H1581" s="20" t="s">
        <v>10642</v>
      </c>
      <c r="I1581" s="20" t="s">
        <v>10643</v>
      </c>
      <c r="J1581" s="20" t="s">
        <v>3160</v>
      </c>
      <c r="K1581" s="20" t="s">
        <v>10021</v>
      </c>
      <c r="L1581" s="3">
        <v>27</v>
      </c>
      <c r="M1581" s="3" t="s">
        <v>10140</v>
      </c>
      <c r="N1581" s="3" t="str">
        <f>HYPERLINK("http://ictvonline.org/taxonomyHistory.asp?taxnode_id=20161344","ICTVonline=20161344")</f>
        <v>ICTVonline=20161344</v>
      </c>
    </row>
    <row r="1582" spans="1:14" x14ac:dyDescent="0.15">
      <c r="A1582" s="3">
        <v>1581</v>
      </c>
      <c r="B1582" s="1" t="s">
        <v>1100</v>
      </c>
      <c r="C1582" s="1" t="s">
        <v>1148</v>
      </c>
      <c r="E1582" s="1" t="s">
        <v>641</v>
      </c>
      <c r="F1582" s="1" t="s">
        <v>2273</v>
      </c>
      <c r="G1582" s="3">
        <v>0</v>
      </c>
      <c r="H1582" s="20" t="s">
        <v>10644</v>
      </c>
      <c r="I1582" s="20" t="s">
        <v>10645</v>
      </c>
      <c r="J1582" s="20" t="s">
        <v>3160</v>
      </c>
      <c r="K1582" s="20" t="s">
        <v>10021</v>
      </c>
      <c r="L1582" s="3">
        <v>27</v>
      </c>
      <c r="M1582" s="3" t="s">
        <v>10140</v>
      </c>
      <c r="N1582" s="3" t="str">
        <f>HYPERLINK("http://ictvonline.org/taxonomyHistory.asp?taxnode_id=20161345","ICTVonline=20161345")</f>
        <v>ICTVonline=20161345</v>
      </c>
    </row>
    <row r="1583" spans="1:14" x14ac:dyDescent="0.15">
      <c r="A1583" s="3">
        <v>1582</v>
      </c>
      <c r="B1583" s="1" t="s">
        <v>1100</v>
      </c>
      <c r="C1583" s="1" t="s">
        <v>1148</v>
      </c>
      <c r="E1583" s="1" t="s">
        <v>641</v>
      </c>
      <c r="F1583" s="1" t="s">
        <v>2274</v>
      </c>
      <c r="G1583" s="3">
        <v>0</v>
      </c>
      <c r="H1583" s="20" t="s">
        <v>10646</v>
      </c>
      <c r="I1583" s="20" t="s">
        <v>10647</v>
      </c>
      <c r="J1583" s="20" t="s">
        <v>3160</v>
      </c>
      <c r="K1583" s="20" t="s">
        <v>10013</v>
      </c>
      <c r="L1583" s="3">
        <v>27</v>
      </c>
      <c r="M1583" s="3" t="s">
        <v>10141</v>
      </c>
      <c r="N1583" s="3" t="str">
        <f>HYPERLINK("http://ictvonline.org/taxonomyHistory.asp?taxnode_id=20161346","ICTVonline=20161346")</f>
        <v>ICTVonline=20161346</v>
      </c>
    </row>
    <row r="1584" spans="1:14" x14ac:dyDescent="0.15">
      <c r="A1584" s="3">
        <v>1583</v>
      </c>
      <c r="B1584" s="1" t="s">
        <v>1100</v>
      </c>
      <c r="C1584" s="1" t="s">
        <v>1148</v>
      </c>
      <c r="E1584" s="1" t="s">
        <v>641</v>
      </c>
      <c r="F1584" s="1" t="s">
        <v>9029</v>
      </c>
      <c r="G1584" s="3">
        <v>0</v>
      </c>
      <c r="H1584" s="20" t="s">
        <v>9030</v>
      </c>
      <c r="I1584" s="20" t="s">
        <v>10648</v>
      </c>
      <c r="J1584" s="20" t="s">
        <v>3160</v>
      </c>
      <c r="K1584" s="20" t="s">
        <v>10013</v>
      </c>
      <c r="L1584" s="3">
        <v>31</v>
      </c>
      <c r="M1584" s="3" t="s">
        <v>9031</v>
      </c>
      <c r="N1584" s="3" t="str">
        <f>HYPERLINK("http://ictvonline.org/taxonomyHistory.asp?taxnode_id=20165204","ICTVonline=20165204")</f>
        <v>ICTVonline=20165204</v>
      </c>
    </row>
    <row r="1585" spans="1:14" x14ac:dyDescent="0.15">
      <c r="A1585" s="3">
        <v>1584</v>
      </c>
      <c r="B1585" s="1" t="s">
        <v>1100</v>
      </c>
      <c r="C1585" s="1" t="s">
        <v>1148</v>
      </c>
      <c r="E1585" s="1" t="s">
        <v>641</v>
      </c>
      <c r="F1585" s="1" t="s">
        <v>9032</v>
      </c>
      <c r="G1585" s="3">
        <v>0</v>
      </c>
      <c r="H1585" s="20" t="s">
        <v>9033</v>
      </c>
      <c r="I1585" s="20" t="s">
        <v>10649</v>
      </c>
      <c r="J1585" s="20" t="s">
        <v>3160</v>
      </c>
      <c r="K1585" s="20" t="s">
        <v>10013</v>
      </c>
      <c r="L1585" s="3">
        <v>31</v>
      </c>
      <c r="M1585" s="3" t="s">
        <v>9031</v>
      </c>
      <c r="N1585" s="3" t="str">
        <f>HYPERLINK("http://ictvonline.org/taxonomyHistory.asp?taxnode_id=20165205","ICTVonline=20165205")</f>
        <v>ICTVonline=20165205</v>
      </c>
    </row>
    <row r="1586" spans="1:14" x14ac:dyDescent="0.15">
      <c r="A1586" s="3">
        <v>1585</v>
      </c>
      <c r="B1586" s="1" t="s">
        <v>1100</v>
      </c>
      <c r="C1586" s="1" t="s">
        <v>1148</v>
      </c>
      <c r="E1586" s="1" t="s">
        <v>641</v>
      </c>
      <c r="F1586" s="1" t="s">
        <v>9034</v>
      </c>
      <c r="G1586" s="3">
        <v>0</v>
      </c>
      <c r="H1586" s="20" t="s">
        <v>9035</v>
      </c>
      <c r="I1586" s="20" t="s">
        <v>10650</v>
      </c>
      <c r="J1586" s="20" t="s">
        <v>3160</v>
      </c>
      <c r="K1586" s="20" t="s">
        <v>10013</v>
      </c>
      <c r="L1586" s="3">
        <v>31</v>
      </c>
      <c r="M1586" s="3" t="s">
        <v>9031</v>
      </c>
      <c r="N1586" s="3" t="str">
        <f>HYPERLINK("http://ictvonline.org/taxonomyHistory.asp?taxnode_id=20165206","ICTVonline=20165206")</f>
        <v>ICTVonline=20165206</v>
      </c>
    </row>
    <row r="1587" spans="1:14" x14ac:dyDescent="0.15">
      <c r="A1587" s="3">
        <v>1586</v>
      </c>
      <c r="B1587" s="1" t="s">
        <v>1100</v>
      </c>
      <c r="C1587" s="1" t="s">
        <v>1148</v>
      </c>
      <c r="E1587" s="1" t="s">
        <v>2736</v>
      </c>
      <c r="F1587" s="1" t="s">
        <v>2737</v>
      </c>
      <c r="G1587" s="3">
        <v>1</v>
      </c>
      <c r="H1587" s="20" t="s">
        <v>3162</v>
      </c>
      <c r="I1587" s="20" t="s">
        <v>10651</v>
      </c>
      <c r="J1587" s="20" t="s">
        <v>3160</v>
      </c>
      <c r="K1587" s="20" t="s">
        <v>10013</v>
      </c>
      <c r="L1587" s="3">
        <v>29</v>
      </c>
      <c r="M1587" s="3" t="s">
        <v>10142</v>
      </c>
      <c r="N1587" s="3" t="str">
        <f>HYPERLINK("http://ictvonline.org/taxonomyHistory.asp?taxnode_id=20161348","ICTVonline=20161348")</f>
        <v>ICTVonline=20161348</v>
      </c>
    </row>
    <row r="1588" spans="1:14" x14ac:dyDescent="0.15">
      <c r="A1588" s="3">
        <v>1587</v>
      </c>
      <c r="B1588" s="1" t="s">
        <v>1100</v>
      </c>
      <c r="C1588" s="1" t="s">
        <v>1148</v>
      </c>
      <c r="E1588" s="1" t="s">
        <v>4563</v>
      </c>
      <c r="F1588" s="1" t="s">
        <v>4564</v>
      </c>
      <c r="G1588" s="3">
        <v>1</v>
      </c>
      <c r="H1588" s="20" t="s">
        <v>6793</v>
      </c>
      <c r="I1588" s="20" t="s">
        <v>10652</v>
      </c>
      <c r="J1588" s="20" t="s">
        <v>3160</v>
      </c>
      <c r="K1588" s="20" t="s">
        <v>10013</v>
      </c>
      <c r="L1588" s="3">
        <v>30</v>
      </c>
      <c r="M1588" s="3" t="s">
        <v>10143</v>
      </c>
      <c r="N1588" s="3" t="str">
        <f>HYPERLINK("http://ictvonline.org/taxonomyHistory.asp?taxnode_id=20161350","ICTVonline=20161350")</f>
        <v>ICTVonline=20161350</v>
      </c>
    </row>
    <row r="1589" spans="1:14" x14ac:dyDescent="0.15">
      <c r="A1589" s="3">
        <v>1588</v>
      </c>
      <c r="B1589" s="1" t="s">
        <v>1100</v>
      </c>
      <c r="C1589" s="1" t="s">
        <v>1148</v>
      </c>
      <c r="E1589" s="1" t="s">
        <v>4563</v>
      </c>
      <c r="F1589" s="1" t="s">
        <v>4565</v>
      </c>
      <c r="G1589" s="3">
        <v>0</v>
      </c>
      <c r="H1589" s="20" t="s">
        <v>6794</v>
      </c>
      <c r="I1589" s="20" t="s">
        <v>10653</v>
      </c>
      <c r="J1589" s="20" t="s">
        <v>3160</v>
      </c>
      <c r="K1589" s="20" t="s">
        <v>10013</v>
      </c>
      <c r="L1589" s="3">
        <v>30</v>
      </c>
      <c r="M1589" s="3" t="s">
        <v>10143</v>
      </c>
      <c r="N1589" s="3" t="str">
        <f>HYPERLINK("http://ictvonline.org/taxonomyHistory.asp?taxnode_id=20161351","ICTVonline=20161351")</f>
        <v>ICTVonline=20161351</v>
      </c>
    </row>
    <row r="1590" spans="1:14" x14ac:dyDescent="0.15">
      <c r="A1590" s="3">
        <v>1589</v>
      </c>
      <c r="B1590" s="1" t="s">
        <v>1100</v>
      </c>
      <c r="C1590" s="1" t="s">
        <v>1148</v>
      </c>
      <c r="E1590" s="1" t="s">
        <v>4563</v>
      </c>
      <c r="F1590" s="1" t="s">
        <v>4566</v>
      </c>
      <c r="G1590" s="3">
        <v>0</v>
      </c>
      <c r="H1590" s="20" t="s">
        <v>6795</v>
      </c>
      <c r="I1590" s="20" t="s">
        <v>10654</v>
      </c>
      <c r="J1590" s="20" t="s">
        <v>3160</v>
      </c>
      <c r="K1590" s="20" t="s">
        <v>10013</v>
      </c>
      <c r="L1590" s="3">
        <v>30</v>
      </c>
      <c r="M1590" s="3" t="s">
        <v>10143</v>
      </c>
      <c r="N1590" s="3" t="str">
        <f>HYPERLINK("http://ictvonline.org/taxonomyHistory.asp?taxnode_id=20161352","ICTVonline=20161352")</f>
        <v>ICTVonline=20161352</v>
      </c>
    </row>
    <row r="1591" spans="1:14" x14ac:dyDescent="0.15">
      <c r="A1591" s="3">
        <v>1590</v>
      </c>
      <c r="B1591" s="1" t="s">
        <v>1100</v>
      </c>
      <c r="C1591" s="1" t="s">
        <v>1148</v>
      </c>
      <c r="E1591" s="1" t="s">
        <v>2275</v>
      </c>
      <c r="F1591" s="1" t="s">
        <v>2276</v>
      </c>
      <c r="G1591" s="3">
        <v>1</v>
      </c>
      <c r="H1591" s="20" t="s">
        <v>10655</v>
      </c>
      <c r="I1591" s="20" t="s">
        <v>10656</v>
      </c>
      <c r="J1591" s="20" t="s">
        <v>3160</v>
      </c>
      <c r="K1591" s="20" t="s">
        <v>10072</v>
      </c>
      <c r="L1591" s="3">
        <v>27</v>
      </c>
      <c r="M1591" s="3" t="s">
        <v>10144</v>
      </c>
      <c r="N1591" s="3" t="str">
        <f>HYPERLINK("http://ictvonline.org/taxonomyHistory.asp?taxnode_id=20161354","ICTVonline=20161354")</f>
        <v>ICTVonline=20161354</v>
      </c>
    </row>
    <row r="1592" spans="1:14" x14ac:dyDescent="0.15">
      <c r="A1592" s="3">
        <v>1591</v>
      </c>
      <c r="B1592" s="1" t="s">
        <v>1100</v>
      </c>
      <c r="C1592" s="1" t="s">
        <v>1148</v>
      </c>
      <c r="E1592" s="1" t="s">
        <v>2399</v>
      </c>
      <c r="F1592" s="1" t="s">
        <v>2400</v>
      </c>
      <c r="G1592" s="3">
        <v>1</v>
      </c>
      <c r="H1592" s="20" t="s">
        <v>10657</v>
      </c>
      <c r="I1592" s="20" t="s">
        <v>10658</v>
      </c>
      <c r="J1592" s="20" t="s">
        <v>3160</v>
      </c>
      <c r="K1592" s="20" t="s">
        <v>10013</v>
      </c>
      <c r="L1592" s="3">
        <v>28</v>
      </c>
      <c r="M1592" s="3" t="s">
        <v>10145</v>
      </c>
      <c r="N1592" s="3" t="str">
        <f>HYPERLINK("http://ictvonline.org/taxonomyHistory.asp?taxnode_id=20161356","ICTVonline=20161356")</f>
        <v>ICTVonline=20161356</v>
      </c>
    </row>
    <row r="1593" spans="1:14" x14ac:dyDescent="0.15">
      <c r="A1593" s="3">
        <v>1592</v>
      </c>
      <c r="B1593" s="1" t="s">
        <v>1100</v>
      </c>
      <c r="C1593" s="1" t="s">
        <v>1148</v>
      </c>
      <c r="E1593" s="1" t="s">
        <v>2399</v>
      </c>
      <c r="F1593" s="1" t="s">
        <v>9036</v>
      </c>
      <c r="G1593" s="3">
        <v>0</v>
      </c>
      <c r="H1593" s="20" t="s">
        <v>9037</v>
      </c>
      <c r="I1593" s="20" t="s">
        <v>10659</v>
      </c>
      <c r="J1593" s="20" t="s">
        <v>3160</v>
      </c>
      <c r="K1593" s="20" t="s">
        <v>10013</v>
      </c>
      <c r="L1593" s="3">
        <v>31</v>
      </c>
      <c r="M1593" s="3" t="s">
        <v>9038</v>
      </c>
      <c r="N1593" s="3" t="str">
        <f>HYPERLINK("http://ictvonline.org/taxonomyHistory.asp?taxnode_id=20165207","ICTVonline=20165207")</f>
        <v>ICTVonline=20165207</v>
      </c>
    </row>
    <row r="1594" spans="1:14" x14ac:dyDescent="0.15">
      <c r="A1594" s="3">
        <v>1593</v>
      </c>
      <c r="B1594" s="1" t="s">
        <v>1100</v>
      </c>
      <c r="C1594" s="1" t="s">
        <v>1148</v>
      </c>
      <c r="E1594" s="1" t="s">
        <v>2399</v>
      </c>
      <c r="F1594" s="1" t="s">
        <v>9039</v>
      </c>
      <c r="G1594" s="3">
        <v>0</v>
      </c>
      <c r="H1594" s="20" t="s">
        <v>9040</v>
      </c>
      <c r="I1594" s="20" t="s">
        <v>10660</v>
      </c>
      <c r="J1594" s="20" t="s">
        <v>3160</v>
      </c>
      <c r="K1594" s="20" t="s">
        <v>10013</v>
      </c>
      <c r="L1594" s="3">
        <v>31</v>
      </c>
      <c r="M1594" s="3" t="s">
        <v>9038</v>
      </c>
      <c r="N1594" s="3" t="str">
        <f>HYPERLINK("http://ictvonline.org/taxonomyHistory.asp?taxnode_id=20165208","ICTVonline=20165208")</f>
        <v>ICTVonline=20165208</v>
      </c>
    </row>
    <row r="1595" spans="1:14" x14ac:dyDescent="0.15">
      <c r="A1595" s="3">
        <v>1594</v>
      </c>
      <c r="B1595" s="1" t="s">
        <v>1100</v>
      </c>
      <c r="C1595" s="1" t="s">
        <v>1148</v>
      </c>
      <c r="E1595" s="1" t="s">
        <v>2401</v>
      </c>
      <c r="F1595" s="1" t="s">
        <v>2402</v>
      </c>
      <c r="G1595" s="3">
        <v>1</v>
      </c>
      <c r="H1595" s="20" t="s">
        <v>10661</v>
      </c>
      <c r="I1595" s="20" t="s">
        <v>10662</v>
      </c>
      <c r="J1595" s="20" t="s">
        <v>3160</v>
      </c>
      <c r="K1595" s="20" t="s">
        <v>10013</v>
      </c>
      <c r="L1595" s="3">
        <v>28</v>
      </c>
      <c r="M1595" s="3" t="s">
        <v>10146</v>
      </c>
      <c r="N1595" s="3" t="str">
        <f>HYPERLINK("http://ictvonline.org/taxonomyHistory.asp?taxnode_id=20161358","ICTVonline=20161358")</f>
        <v>ICTVonline=20161358</v>
      </c>
    </row>
    <row r="1596" spans="1:14" x14ac:dyDescent="0.15">
      <c r="A1596" s="3">
        <v>1595</v>
      </c>
      <c r="B1596" s="1" t="s">
        <v>1100</v>
      </c>
      <c r="C1596" s="1" t="s">
        <v>1148</v>
      </c>
      <c r="E1596" s="1" t="s">
        <v>2403</v>
      </c>
      <c r="F1596" s="1" t="s">
        <v>2404</v>
      </c>
      <c r="G1596" s="3">
        <v>1</v>
      </c>
      <c r="H1596" s="20" t="s">
        <v>10663</v>
      </c>
      <c r="I1596" s="20" t="s">
        <v>10664</v>
      </c>
      <c r="J1596" s="20" t="s">
        <v>3160</v>
      </c>
      <c r="K1596" s="20" t="s">
        <v>10013</v>
      </c>
      <c r="L1596" s="3">
        <v>28</v>
      </c>
      <c r="M1596" s="3" t="s">
        <v>10147</v>
      </c>
      <c r="N1596" s="3" t="str">
        <f>HYPERLINK("http://ictvonline.org/taxonomyHistory.asp?taxnode_id=20161360","ICTVonline=20161360")</f>
        <v>ICTVonline=20161360</v>
      </c>
    </row>
    <row r="1597" spans="1:14" x14ac:dyDescent="0.15">
      <c r="A1597" s="3">
        <v>1596</v>
      </c>
      <c r="B1597" s="1" t="s">
        <v>1100</v>
      </c>
      <c r="C1597" s="1" t="s">
        <v>1148</v>
      </c>
      <c r="E1597" s="1" t="s">
        <v>991</v>
      </c>
      <c r="F1597" s="1" t="s">
        <v>2738</v>
      </c>
      <c r="G1597" s="3">
        <v>1</v>
      </c>
      <c r="H1597" s="20" t="s">
        <v>10665</v>
      </c>
      <c r="I1597" s="20" t="s">
        <v>10666</v>
      </c>
      <c r="J1597" s="20" t="s">
        <v>3160</v>
      </c>
      <c r="K1597" s="20" t="s">
        <v>10021</v>
      </c>
      <c r="L1597" s="3">
        <v>29</v>
      </c>
      <c r="M1597" s="3" t="s">
        <v>10131</v>
      </c>
      <c r="N1597" s="3" t="str">
        <f>HYPERLINK("http://ictvonline.org/taxonomyHistory.asp?taxnode_id=20161362","ICTVonline=20161362")</f>
        <v>ICTVonline=20161362</v>
      </c>
    </row>
    <row r="1598" spans="1:14" x14ac:dyDescent="0.15">
      <c r="A1598" s="3">
        <v>1597</v>
      </c>
      <c r="B1598" s="1" t="s">
        <v>1100</v>
      </c>
      <c r="C1598" s="1" t="s">
        <v>1148</v>
      </c>
      <c r="E1598" s="1" t="s">
        <v>991</v>
      </c>
      <c r="F1598" s="1" t="s">
        <v>2739</v>
      </c>
      <c r="G1598" s="3">
        <v>0</v>
      </c>
      <c r="H1598" s="20" t="s">
        <v>10667</v>
      </c>
      <c r="I1598" s="20" t="s">
        <v>10668</v>
      </c>
      <c r="J1598" s="20" t="s">
        <v>3160</v>
      </c>
      <c r="K1598" s="20" t="s">
        <v>10021</v>
      </c>
      <c r="L1598" s="3">
        <v>29</v>
      </c>
      <c r="M1598" s="3" t="s">
        <v>10131</v>
      </c>
      <c r="N1598" s="3" t="str">
        <f>HYPERLINK("http://ictvonline.org/taxonomyHistory.asp?taxnode_id=20161363","ICTVonline=20161363")</f>
        <v>ICTVonline=20161363</v>
      </c>
    </row>
    <row r="1599" spans="1:14" x14ac:dyDescent="0.15">
      <c r="A1599" s="3">
        <v>1598</v>
      </c>
      <c r="B1599" s="1" t="s">
        <v>1100</v>
      </c>
      <c r="C1599" s="1" t="s">
        <v>1148</v>
      </c>
      <c r="E1599" s="1" t="s">
        <v>991</v>
      </c>
      <c r="F1599" s="1" t="s">
        <v>9041</v>
      </c>
      <c r="G1599" s="3">
        <v>0</v>
      </c>
      <c r="H1599" s="20" t="s">
        <v>9042</v>
      </c>
      <c r="I1599" s="20" t="s">
        <v>10669</v>
      </c>
      <c r="J1599" s="20" t="s">
        <v>3160</v>
      </c>
      <c r="K1599" s="20" t="s">
        <v>10013</v>
      </c>
      <c r="L1599" s="3">
        <v>31</v>
      </c>
      <c r="M1599" s="3" t="s">
        <v>9043</v>
      </c>
      <c r="N1599" s="3" t="str">
        <f>HYPERLINK("http://ictvonline.org/taxonomyHistory.asp?taxnode_id=20165209","ICTVonline=20165209")</f>
        <v>ICTVonline=20165209</v>
      </c>
    </row>
    <row r="1600" spans="1:14" x14ac:dyDescent="0.15">
      <c r="A1600" s="3">
        <v>1599</v>
      </c>
      <c r="B1600" s="1" t="s">
        <v>1100</v>
      </c>
      <c r="C1600" s="1" t="s">
        <v>1148</v>
      </c>
      <c r="E1600" s="1" t="s">
        <v>991</v>
      </c>
      <c r="F1600" s="1" t="s">
        <v>9044</v>
      </c>
      <c r="G1600" s="3">
        <v>0</v>
      </c>
      <c r="H1600" s="20" t="s">
        <v>9045</v>
      </c>
      <c r="I1600" s="20" t="s">
        <v>10670</v>
      </c>
      <c r="J1600" s="20" t="s">
        <v>3160</v>
      </c>
      <c r="K1600" s="20" t="s">
        <v>10013</v>
      </c>
      <c r="L1600" s="3">
        <v>31</v>
      </c>
      <c r="M1600" s="3" t="s">
        <v>9043</v>
      </c>
      <c r="N1600" s="3" t="str">
        <f>HYPERLINK("http://ictvonline.org/taxonomyHistory.asp?taxnode_id=20165210","ICTVonline=20165210")</f>
        <v>ICTVonline=20165210</v>
      </c>
    </row>
    <row r="1601" spans="1:14" x14ac:dyDescent="0.15">
      <c r="A1601" s="3">
        <v>1600</v>
      </c>
      <c r="B1601" s="1" t="s">
        <v>1100</v>
      </c>
      <c r="C1601" s="1" t="s">
        <v>1148</v>
      </c>
      <c r="E1601" s="1" t="s">
        <v>2405</v>
      </c>
      <c r="F1601" s="1" t="s">
        <v>2406</v>
      </c>
      <c r="G1601" s="3">
        <v>1</v>
      </c>
      <c r="H1601" s="20" t="s">
        <v>10671</v>
      </c>
      <c r="I1601" s="20" t="s">
        <v>10672</v>
      </c>
      <c r="J1601" s="20" t="s">
        <v>3160</v>
      </c>
      <c r="K1601" s="20" t="s">
        <v>10013</v>
      </c>
      <c r="L1601" s="3">
        <v>28</v>
      </c>
      <c r="M1601" s="3" t="s">
        <v>10148</v>
      </c>
      <c r="N1601" s="3" t="str">
        <f>HYPERLINK("http://ictvonline.org/taxonomyHistory.asp?taxnode_id=20161365","ICTVonline=20161365")</f>
        <v>ICTVonline=20161365</v>
      </c>
    </row>
    <row r="1602" spans="1:14" x14ac:dyDescent="0.15">
      <c r="A1602" s="3">
        <v>1601</v>
      </c>
      <c r="B1602" s="1" t="s">
        <v>1100</v>
      </c>
      <c r="C1602" s="1" t="s">
        <v>1148</v>
      </c>
      <c r="E1602" s="1" t="s">
        <v>2407</v>
      </c>
      <c r="F1602" s="1" t="s">
        <v>2408</v>
      </c>
      <c r="G1602" s="3">
        <v>1</v>
      </c>
      <c r="H1602" s="20" t="s">
        <v>10673</v>
      </c>
      <c r="I1602" s="20" t="s">
        <v>10674</v>
      </c>
      <c r="J1602" s="20" t="s">
        <v>3160</v>
      </c>
      <c r="K1602" s="20" t="s">
        <v>10013</v>
      </c>
      <c r="L1602" s="3">
        <v>28</v>
      </c>
      <c r="M1602" s="3" t="s">
        <v>10149</v>
      </c>
      <c r="N1602" s="3" t="str">
        <f>HYPERLINK("http://ictvonline.org/taxonomyHistory.asp?taxnode_id=20161367","ICTVonline=20161367")</f>
        <v>ICTVonline=20161367</v>
      </c>
    </row>
    <row r="1603" spans="1:14" x14ac:dyDescent="0.15">
      <c r="A1603" s="3">
        <v>1602</v>
      </c>
      <c r="B1603" s="1" t="s">
        <v>1100</v>
      </c>
      <c r="C1603" s="1" t="s">
        <v>1148</v>
      </c>
      <c r="E1603" s="1" t="s">
        <v>4567</v>
      </c>
      <c r="F1603" s="1" t="s">
        <v>4568</v>
      </c>
      <c r="G1603" s="3">
        <v>1</v>
      </c>
      <c r="H1603" s="20" t="s">
        <v>6796</v>
      </c>
      <c r="I1603" s="20" t="s">
        <v>10675</v>
      </c>
      <c r="J1603" s="20" t="s">
        <v>3160</v>
      </c>
      <c r="K1603" s="20" t="s">
        <v>10013</v>
      </c>
      <c r="L1603" s="3">
        <v>30</v>
      </c>
      <c r="M1603" s="3" t="s">
        <v>10150</v>
      </c>
      <c r="N1603" s="3" t="str">
        <f>HYPERLINK("http://ictvonline.org/taxonomyHistory.asp?taxnode_id=20161369","ICTVonline=20161369")</f>
        <v>ICTVonline=20161369</v>
      </c>
    </row>
    <row r="1604" spans="1:14" x14ac:dyDescent="0.15">
      <c r="A1604" s="3">
        <v>1603</v>
      </c>
      <c r="B1604" s="1" t="s">
        <v>1100</v>
      </c>
      <c r="C1604" s="1" t="s">
        <v>1148</v>
      </c>
      <c r="E1604" s="1" t="s">
        <v>9046</v>
      </c>
      <c r="F1604" s="1" t="s">
        <v>9047</v>
      </c>
      <c r="G1604" s="3">
        <v>1</v>
      </c>
      <c r="H1604" s="20" t="s">
        <v>9048</v>
      </c>
      <c r="I1604" s="20" t="s">
        <v>10676</v>
      </c>
      <c r="J1604" s="20" t="s">
        <v>3160</v>
      </c>
      <c r="K1604" s="20" t="s">
        <v>10013</v>
      </c>
      <c r="L1604" s="3">
        <v>31</v>
      </c>
      <c r="M1604" s="3" t="s">
        <v>9049</v>
      </c>
      <c r="N1604" s="3" t="str">
        <f>HYPERLINK("http://ictvonline.org/taxonomyHistory.asp?taxnode_id=20165211","ICTVonline=20165211")</f>
        <v>ICTVonline=20165211</v>
      </c>
    </row>
    <row r="1605" spans="1:14" x14ac:dyDescent="0.15">
      <c r="A1605" s="3">
        <v>1604</v>
      </c>
      <c r="B1605" s="1" t="s">
        <v>1100</v>
      </c>
      <c r="C1605" s="1" t="s">
        <v>1148</v>
      </c>
      <c r="E1605" s="1" t="s">
        <v>2409</v>
      </c>
      <c r="F1605" s="1" t="s">
        <v>2410</v>
      </c>
      <c r="G1605" s="3">
        <v>1</v>
      </c>
      <c r="H1605" s="20" t="s">
        <v>10677</v>
      </c>
      <c r="I1605" s="20" t="s">
        <v>10678</v>
      </c>
      <c r="J1605" s="20" t="s">
        <v>3160</v>
      </c>
      <c r="K1605" s="20" t="s">
        <v>10013</v>
      </c>
      <c r="L1605" s="3">
        <v>28</v>
      </c>
      <c r="M1605" s="3" t="s">
        <v>10151</v>
      </c>
      <c r="N1605" s="3" t="str">
        <f>HYPERLINK("http://ictvonline.org/taxonomyHistory.asp?taxnode_id=20161371","ICTVonline=20161371")</f>
        <v>ICTVonline=20161371</v>
      </c>
    </row>
    <row r="1606" spans="1:14" x14ac:dyDescent="0.15">
      <c r="A1606" s="3">
        <v>1605</v>
      </c>
      <c r="B1606" s="1" t="s">
        <v>1100</v>
      </c>
      <c r="C1606" s="1" t="s">
        <v>1148</v>
      </c>
      <c r="E1606" s="1" t="s">
        <v>2740</v>
      </c>
      <c r="F1606" s="1" t="s">
        <v>2741</v>
      </c>
      <c r="G1606" s="3">
        <v>1</v>
      </c>
      <c r="H1606" s="20" t="s">
        <v>3163</v>
      </c>
      <c r="I1606" s="20" t="s">
        <v>10679</v>
      </c>
      <c r="J1606" s="20" t="s">
        <v>3160</v>
      </c>
      <c r="K1606" s="20" t="s">
        <v>10013</v>
      </c>
      <c r="L1606" s="3">
        <v>29</v>
      </c>
      <c r="M1606" s="3" t="s">
        <v>10152</v>
      </c>
      <c r="N1606" s="3" t="str">
        <f>HYPERLINK("http://ictvonline.org/taxonomyHistory.asp?taxnode_id=20161373","ICTVonline=20161373")</f>
        <v>ICTVonline=20161373</v>
      </c>
    </row>
    <row r="1607" spans="1:14" x14ac:dyDescent="0.15">
      <c r="A1607" s="3">
        <v>1606</v>
      </c>
      <c r="B1607" s="1" t="s">
        <v>1100</v>
      </c>
      <c r="C1607" s="1" t="s">
        <v>1148</v>
      </c>
      <c r="E1607" s="1" t="s">
        <v>2277</v>
      </c>
      <c r="F1607" s="1" t="s">
        <v>2278</v>
      </c>
      <c r="G1607" s="3">
        <v>1</v>
      </c>
      <c r="H1607" s="20" t="s">
        <v>10680</v>
      </c>
      <c r="I1607" s="20" t="s">
        <v>10681</v>
      </c>
      <c r="J1607" s="20" t="s">
        <v>3160</v>
      </c>
      <c r="K1607" s="20" t="s">
        <v>10072</v>
      </c>
      <c r="L1607" s="3">
        <v>27</v>
      </c>
      <c r="M1607" s="3" t="s">
        <v>10153</v>
      </c>
      <c r="N1607" s="3" t="str">
        <f>HYPERLINK("http://ictvonline.org/taxonomyHistory.asp?taxnode_id=20161375","ICTVonline=20161375")</f>
        <v>ICTVonline=20161375</v>
      </c>
    </row>
    <row r="1608" spans="1:14" x14ac:dyDescent="0.15">
      <c r="A1608" s="3">
        <v>1607</v>
      </c>
      <c r="B1608" s="1" t="s">
        <v>1100</v>
      </c>
      <c r="C1608" s="1" t="s">
        <v>1148</v>
      </c>
      <c r="E1608" s="1" t="s">
        <v>1103</v>
      </c>
      <c r="F1608" s="1" t="s">
        <v>1104</v>
      </c>
      <c r="G1608" s="3">
        <v>0</v>
      </c>
      <c r="H1608" s="20" t="s">
        <v>10682</v>
      </c>
      <c r="I1608" s="20" t="s">
        <v>10683</v>
      </c>
      <c r="J1608" s="20" t="s">
        <v>3160</v>
      </c>
      <c r="K1608" s="20" t="s">
        <v>10013</v>
      </c>
      <c r="L1608" s="3">
        <v>25</v>
      </c>
      <c r="M1608" s="3" t="s">
        <v>10154</v>
      </c>
      <c r="N1608" s="3" t="str">
        <f>HYPERLINK("http://ictvonline.org/taxonomyHistory.asp?taxnode_id=20161377","ICTVonline=20161377")</f>
        <v>ICTVonline=20161377</v>
      </c>
    </row>
    <row r="1609" spans="1:14" x14ac:dyDescent="0.15">
      <c r="A1609" s="3">
        <v>1608</v>
      </c>
      <c r="B1609" s="1" t="s">
        <v>1100</v>
      </c>
      <c r="C1609" s="1" t="s">
        <v>1148</v>
      </c>
      <c r="E1609" s="1" t="s">
        <v>1103</v>
      </c>
      <c r="F1609" s="1" t="s">
        <v>2742</v>
      </c>
      <c r="G1609" s="3">
        <v>1</v>
      </c>
      <c r="H1609" s="20" t="s">
        <v>10684</v>
      </c>
      <c r="I1609" s="20" t="s">
        <v>10685</v>
      </c>
      <c r="J1609" s="20" t="s">
        <v>3160</v>
      </c>
      <c r="K1609" s="20" t="s">
        <v>10021</v>
      </c>
      <c r="L1609" s="3">
        <v>29</v>
      </c>
      <c r="M1609" s="3" t="s">
        <v>10131</v>
      </c>
      <c r="N1609" s="3" t="str">
        <f>HYPERLINK("http://ictvonline.org/taxonomyHistory.asp?taxnode_id=20161378","ICTVonline=20161378")</f>
        <v>ICTVonline=20161378</v>
      </c>
    </row>
    <row r="1610" spans="1:14" x14ac:dyDescent="0.15">
      <c r="A1610" s="3">
        <v>1609</v>
      </c>
      <c r="B1610" s="1" t="s">
        <v>1100</v>
      </c>
      <c r="C1610" s="1" t="s">
        <v>1148</v>
      </c>
      <c r="E1610" s="1" t="s">
        <v>1103</v>
      </c>
      <c r="F1610" s="1" t="s">
        <v>2743</v>
      </c>
      <c r="G1610" s="3">
        <v>0</v>
      </c>
      <c r="H1610" s="20" t="s">
        <v>10686</v>
      </c>
      <c r="I1610" s="20" t="s">
        <v>10687</v>
      </c>
      <c r="J1610" s="20" t="s">
        <v>3160</v>
      </c>
      <c r="K1610" s="20" t="s">
        <v>10021</v>
      </c>
      <c r="L1610" s="3">
        <v>29</v>
      </c>
      <c r="M1610" s="3" t="s">
        <v>10131</v>
      </c>
      <c r="N1610" s="3" t="str">
        <f>HYPERLINK("http://ictvonline.org/taxonomyHistory.asp?taxnode_id=20161379","ICTVonline=20161379")</f>
        <v>ICTVonline=20161379</v>
      </c>
    </row>
    <row r="1611" spans="1:14" x14ac:dyDescent="0.15">
      <c r="A1611" s="3">
        <v>1610</v>
      </c>
      <c r="B1611" s="1" t="s">
        <v>1100</v>
      </c>
      <c r="C1611" s="1" t="s">
        <v>1148</v>
      </c>
      <c r="E1611" s="1" t="s">
        <v>1022</v>
      </c>
      <c r="F1611" s="1" t="s">
        <v>2744</v>
      </c>
      <c r="G1611" s="3">
        <v>1</v>
      </c>
      <c r="H1611" s="20" t="s">
        <v>10688</v>
      </c>
      <c r="I1611" s="20" t="s">
        <v>10689</v>
      </c>
      <c r="J1611" s="20" t="s">
        <v>3160</v>
      </c>
      <c r="K1611" s="20" t="s">
        <v>10021</v>
      </c>
      <c r="L1611" s="3">
        <v>29</v>
      </c>
      <c r="M1611" s="3" t="s">
        <v>10131</v>
      </c>
      <c r="N1611" s="3" t="str">
        <f>HYPERLINK("http://ictvonline.org/taxonomyHistory.asp?taxnode_id=20161381","ICTVonline=20161381")</f>
        <v>ICTVonline=20161381</v>
      </c>
    </row>
    <row r="1612" spans="1:14" x14ac:dyDescent="0.15">
      <c r="A1612" s="3">
        <v>1611</v>
      </c>
      <c r="B1612" s="1" t="s">
        <v>1100</v>
      </c>
      <c r="C1612" s="1" t="s">
        <v>1148</v>
      </c>
      <c r="E1612" s="1" t="s">
        <v>2745</v>
      </c>
      <c r="F1612" s="1" t="s">
        <v>2746</v>
      </c>
      <c r="G1612" s="3">
        <v>1</v>
      </c>
      <c r="H1612" s="20" t="s">
        <v>3164</v>
      </c>
      <c r="I1612" s="20" t="s">
        <v>10690</v>
      </c>
      <c r="J1612" s="20" t="s">
        <v>3160</v>
      </c>
      <c r="K1612" s="20" t="s">
        <v>10013</v>
      </c>
      <c r="L1612" s="3">
        <v>29</v>
      </c>
      <c r="M1612" s="3" t="s">
        <v>10155</v>
      </c>
      <c r="N1612" s="3" t="str">
        <f>HYPERLINK("http://ictvonline.org/taxonomyHistory.asp?taxnode_id=20161383","ICTVonline=20161383")</f>
        <v>ICTVonline=20161383</v>
      </c>
    </row>
    <row r="1613" spans="1:14" x14ac:dyDescent="0.15">
      <c r="A1613" s="3">
        <v>1612</v>
      </c>
      <c r="B1613" s="1" t="s">
        <v>1100</v>
      </c>
      <c r="C1613" s="1" t="s">
        <v>1148</v>
      </c>
      <c r="E1613" s="1" t="s">
        <v>992</v>
      </c>
      <c r="F1613" s="1" t="s">
        <v>2747</v>
      </c>
      <c r="G1613" s="3">
        <v>1</v>
      </c>
      <c r="H1613" s="20" t="s">
        <v>10691</v>
      </c>
      <c r="I1613" s="20" t="s">
        <v>10692</v>
      </c>
      <c r="J1613" s="20" t="s">
        <v>3160</v>
      </c>
      <c r="K1613" s="20" t="s">
        <v>10021</v>
      </c>
      <c r="L1613" s="3">
        <v>29</v>
      </c>
      <c r="M1613" s="3" t="s">
        <v>10131</v>
      </c>
      <c r="N1613" s="3" t="str">
        <f>HYPERLINK("http://ictvonline.org/taxonomyHistory.asp?taxnode_id=20161385","ICTVonline=20161385")</f>
        <v>ICTVonline=20161385</v>
      </c>
    </row>
    <row r="1614" spans="1:14" x14ac:dyDescent="0.15">
      <c r="A1614" s="3">
        <v>1613</v>
      </c>
      <c r="B1614" s="1" t="s">
        <v>1100</v>
      </c>
      <c r="C1614" s="1" t="s">
        <v>1148</v>
      </c>
      <c r="E1614" s="1" t="s">
        <v>9050</v>
      </c>
      <c r="F1614" s="1" t="s">
        <v>9051</v>
      </c>
      <c r="G1614" s="3">
        <v>1</v>
      </c>
      <c r="H1614" s="20" t="s">
        <v>9052</v>
      </c>
      <c r="I1614" s="20" t="s">
        <v>10693</v>
      </c>
      <c r="J1614" s="20" t="s">
        <v>3160</v>
      </c>
      <c r="K1614" s="20" t="s">
        <v>10013</v>
      </c>
      <c r="L1614" s="3">
        <v>31</v>
      </c>
      <c r="M1614" s="3" t="s">
        <v>9053</v>
      </c>
      <c r="N1614" s="3" t="str">
        <f>HYPERLINK("http://ictvonline.org/taxonomyHistory.asp?taxnode_id=20165212","ICTVonline=20165212")</f>
        <v>ICTVonline=20165212</v>
      </c>
    </row>
    <row r="1615" spans="1:14" x14ac:dyDescent="0.15">
      <c r="A1615" s="3">
        <v>1614</v>
      </c>
      <c r="B1615" s="1" t="s">
        <v>1100</v>
      </c>
      <c r="C1615" s="1" t="s">
        <v>1148</v>
      </c>
      <c r="E1615" s="1" t="s">
        <v>1023</v>
      </c>
      <c r="F1615" s="1" t="s">
        <v>2748</v>
      </c>
      <c r="G1615" s="3">
        <v>1</v>
      </c>
      <c r="H1615" s="20" t="s">
        <v>10694</v>
      </c>
      <c r="I1615" s="20" t="s">
        <v>10695</v>
      </c>
      <c r="J1615" s="20" t="s">
        <v>3160</v>
      </c>
      <c r="K1615" s="20" t="s">
        <v>10021</v>
      </c>
      <c r="L1615" s="3">
        <v>29</v>
      </c>
      <c r="M1615" s="3" t="s">
        <v>10131</v>
      </c>
      <c r="N1615" s="3" t="str">
        <f>HYPERLINK("http://ictvonline.org/taxonomyHistory.asp?taxnode_id=20161387","ICTVonline=20161387")</f>
        <v>ICTVonline=20161387</v>
      </c>
    </row>
    <row r="1616" spans="1:14" x14ac:dyDescent="0.15">
      <c r="A1616" s="3">
        <v>1615</v>
      </c>
      <c r="B1616" s="1" t="s">
        <v>1100</v>
      </c>
      <c r="C1616" s="1" t="s">
        <v>2075</v>
      </c>
      <c r="D1616" s="1" t="s">
        <v>1959</v>
      </c>
      <c r="E1616" s="1" t="s">
        <v>1956</v>
      </c>
      <c r="F1616" s="1" t="s">
        <v>699</v>
      </c>
      <c r="G1616" s="3">
        <v>0</v>
      </c>
      <c r="H1616" s="20" t="s">
        <v>4569</v>
      </c>
      <c r="I1616" s="20" t="s">
        <v>4570</v>
      </c>
      <c r="J1616" s="20" t="s">
        <v>3160</v>
      </c>
      <c r="K1616" s="20" t="s">
        <v>10016</v>
      </c>
      <c r="L1616" s="3">
        <v>25</v>
      </c>
      <c r="M1616" s="3" t="s">
        <v>10156</v>
      </c>
      <c r="N1616" s="3" t="str">
        <f>HYPERLINK("http://ictvonline.org/taxonomyHistory.asp?taxnode_id=20161391","ICTVonline=20161391")</f>
        <v>ICTVonline=20161391</v>
      </c>
    </row>
    <row r="1617" spans="1:14" x14ac:dyDescent="0.15">
      <c r="A1617" s="3">
        <v>1616</v>
      </c>
      <c r="B1617" s="1" t="s">
        <v>1100</v>
      </c>
      <c r="C1617" s="1" t="s">
        <v>2075</v>
      </c>
      <c r="D1617" s="1" t="s">
        <v>1959</v>
      </c>
      <c r="E1617" s="1" t="s">
        <v>1956</v>
      </c>
      <c r="F1617" s="1" t="s">
        <v>700</v>
      </c>
      <c r="G1617" s="3">
        <v>0</v>
      </c>
      <c r="H1617" s="20" t="s">
        <v>7095</v>
      </c>
      <c r="I1617" s="20" t="s">
        <v>4571</v>
      </c>
      <c r="J1617" s="20" t="s">
        <v>3160</v>
      </c>
      <c r="K1617" s="20" t="s">
        <v>10016</v>
      </c>
      <c r="L1617" s="3">
        <v>25</v>
      </c>
      <c r="M1617" s="3" t="s">
        <v>10156</v>
      </c>
      <c r="N1617" s="3" t="str">
        <f>HYPERLINK("http://ictvonline.org/taxonomyHistory.asp?taxnode_id=20161392","ICTVonline=20161392")</f>
        <v>ICTVonline=20161392</v>
      </c>
    </row>
    <row r="1618" spans="1:14" x14ac:dyDescent="0.15">
      <c r="A1618" s="3">
        <v>1617</v>
      </c>
      <c r="B1618" s="1" t="s">
        <v>1100</v>
      </c>
      <c r="C1618" s="1" t="s">
        <v>2075</v>
      </c>
      <c r="D1618" s="1" t="s">
        <v>1959</v>
      </c>
      <c r="E1618" s="1" t="s">
        <v>1956</v>
      </c>
      <c r="F1618" s="1" t="s">
        <v>701</v>
      </c>
      <c r="G1618" s="3">
        <v>0</v>
      </c>
      <c r="J1618" s="20" t="s">
        <v>3160</v>
      </c>
      <c r="K1618" s="20" t="s">
        <v>10016</v>
      </c>
      <c r="L1618" s="3">
        <v>25</v>
      </c>
      <c r="M1618" s="3" t="s">
        <v>10156</v>
      </c>
      <c r="N1618" s="3" t="str">
        <f>HYPERLINK("http://ictvonline.org/taxonomyHistory.asp?taxnode_id=20161393","ICTVonline=20161393")</f>
        <v>ICTVonline=20161393</v>
      </c>
    </row>
    <row r="1619" spans="1:14" x14ac:dyDescent="0.15">
      <c r="A1619" s="3">
        <v>1618</v>
      </c>
      <c r="B1619" s="1" t="s">
        <v>1100</v>
      </c>
      <c r="C1619" s="1" t="s">
        <v>2075</v>
      </c>
      <c r="D1619" s="1" t="s">
        <v>1959</v>
      </c>
      <c r="E1619" s="1" t="s">
        <v>1956</v>
      </c>
      <c r="F1619" s="1" t="s">
        <v>702</v>
      </c>
      <c r="G1619" s="3">
        <v>0</v>
      </c>
      <c r="H1619" s="20" t="s">
        <v>4572</v>
      </c>
      <c r="I1619" s="20" t="s">
        <v>6797</v>
      </c>
      <c r="J1619" s="20" t="s">
        <v>3160</v>
      </c>
      <c r="K1619" s="20" t="s">
        <v>10016</v>
      </c>
      <c r="L1619" s="3">
        <v>25</v>
      </c>
      <c r="M1619" s="3" t="s">
        <v>10156</v>
      </c>
      <c r="N1619" s="3" t="str">
        <f>HYPERLINK("http://ictvonline.org/taxonomyHistory.asp?taxnode_id=20161394","ICTVonline=20161394")</f>
        <v>ICTVonline=20161394</v>
      </c>
    </row>
    <row r="1620" spans="1:14" x14ac:dyDescent="0.15">
      <c r="A1620" s="3">
        <v>1619</v>
      </c>
      <c r="B1620" s="1" t="s">
        <v>1100</v>
      </c>
      <c r="C1620" s="1" t="s">
        <v>2075</v>
      </c>
      <c r="D1620" s="1" t="s">
        <v>1959</v>
      </c>
      <c r="E1620" s="1" t="s">
        <v>1956</v>
      </c>
      <c r="F1620" s="1" t="s">
        <v>1101</v>
      </c>
      <c r="G1620" s="3">
        <v>0</v>
      </c>
      <c r="H1620" s="20" t="s">
        <v>7096</v>
      </c>
      <c r="I1620" s="20" t="s">
        <v>4573</v>
      </c>
      <c r="J1620" s="20" t="s">
        <v>3160</v>
      </c>
      <c r="K1620" s="20" t="s">
        <v>10016</v>
      </c>
      <c r="L1620" s="3">
        <v>25</v>
      </c>
      <c r="M1620" s="3" t="s">
        <v>10156</v>
      </c>
      <c r="N1620" s="3" t="str">
        <f>HYPERLINK("http://ictvonline.org/taxonomyHistory.asp?taxnode_id=20161395","ICTVonline=20161395")</f>
        <v>ICTVonline=20161395</v>
      </c>
    </row>
    <row r="1621" spans="1:14" x14ac:dyDescent="0.15">
      <c r="A1621" s="3">
        <v>1620</v>
      </c>
      <c r="B1621" s="1" t="s">
        <v>1100</v>
      </c>
      <c r="C1621" s="1" t="s">
        <v>2075</v>
      </c>
      <c r="D1621" s="1" t="s">
        <v>1959</v>
      </c>
      <c r="E1621" s="1" t="s">
        <v>1956</v>
      </c>
      <c r="F1621" s="1" t="s">
        <v>1102</v>
      </c>
      <c r="G1621" s="3">
        <v>1</v>
      </c>
      <c r="H1621" s="20" t="s">
        <v>7097</v>
      </c>
      <c r="I1621" s="20" t="s">
        <v>4574</v>
      </c>
      <c r="J1621" s="20" t="s">
        <v>3160</v>
      </c>
      <c r="K1621" s="20" t="s">
        <v>10016</v>
      </c>
      <c r="L1621" s="3">
        <v>25</v>
      </c>
      <c r="M1621" s="3" t="s">
        <v>10156</v>
      </c>
      <c r="N1621" s="3" t="str">
        <f>HYPERLINK("http://ictvonline.org/taxonomyHistory.asp?taxnode_id=20161396","ICTVonline=20161396")</f>
        <v>ICTVonline=20161396</v>
      </c>
    </row>
    <row r="1622" spans="1:14" x14ac:dyDescent="0.15">
      <c r="A1622" s="3">
        <v>1621</v>
      </c>
      <c r="B1622" s="1" t="s">
        <v>1100</v>
      </c>
      <c r="C1622" s="1" t="s">
        <v>2075</v>
      </c>
      <c r="D1622" s="1" t="s">
        <v>1959</v>
      </c>
      <c r="E1622" s="1" t="s">
        <v>1956</v>
      </c>
      <c r="F1622" s="1" t="s">
        <v>703</v>
      </c>
      <c r="G1622" s="3">
        <v>0</v>
      </c>
      <c r="H1622" s="20" t="s">
        <v>7098</v>
      </c>
      <c r="I1622" s="20" t="s">
        <v>4575</v>
      </c>
      <c r="J1622" s="20" t="s">
        <v>3160</v>
      </c>
      <c r="K1622" s="20" t="s">
        <v>10016</v>
      </c>
      <c r="L1622" s="3">
        <v>25</v>
      </c>
      <c r="M1622" s="3" t="s">
        <v>10156</v>
      </c>
      <c r="N1622" s="3" t="str">
        <f>HYPERLINK("http://ictvonline.org/taxonomyHistory.asp?taxnode_id=20161397","ICTVonline=20161397")</f>
        <v>ICTVonline=20161397</v>
      </c>
    </row>
    <row r="1623" spans="1:14" x14ac:dyDescent="0.15">
      <c r="A1623" s="3">
        <v>1622</v>
      </c>
      <c r="B1623" s="1" t="s">
        <v>1100</v>
      </c>
      <c r="C1623" s="1" t="s">
        <v>2075</v>
      </c>
      <c r="D1623" s="1" t="s">
        <v>1959</v>
      </c>
      <c r="E1623" s="1" t="s">
        <v>1956</v>
      </c>
      <c r="F1623" s="1" t="s">
        <v>1182</v>
      </c>
      <c r="G1623" s="3">
        <v>0</v>
      </c>
      <c r="J1623" s="20" t="s">
        <v>3160</v>
      </c>
      <c r="K1623" s="20" t="s">
        <v>10016</v>
      </c>
      <c r="L1623" s="3">
        <v>25</v>
      </c>
      <c r="M1623" s="3" t="s">
        <v>10156</v>
      </c>
      <c r="N1623" s="3" t="str">
        <f>HYPERLINK("http://ictvonline.org/taxonomyHistory.asp?taxnode_id=20161398","ICTVonline=20161398")</f>
        <v>ICTVonline=20161398</v>
      </c>
    </row>
    <row r="1624" spans="1:14" x14ac:dyDescent="0.15">
      <c r="A1624" s="3">
        <v>1623</v>
      </c>
      <c r="B1624" s="1" t="s">
        <v>1100</v>
      </c>
      <c r="C1624" s="1" t="s">
        <v>2075</v>
      </c>
      <c r="D1624" s="1" t="s">
        <v>1959</v>
      </c>
      <c r="E1624" s="1" t="s">
        <v>1956</v>
      </c>
      <c r="F1624" s="1" t="s">
        <v>1183</v>
      </c>
      <c r="G1624" s="3">
        <v>0</v>
      </c>
      <c r="J1624" s="20" t="s">
        <v>3160</v>
      </c>
      <c r="K1624" s="20" t="s">
        <v>10016</v>
      </c>
      <c r="L1624" s="3">
        <v>25</v>
      </c>
      <c r="M1624" s="3" t="s">
        <v>10156</v>
      </c>
      <c r="N1624" s="3" t="str">
        <f>HYPERLINK("http://ictvonline.org/taxonomyHistory.asp?taxnode_id=20161399","ICTVonline=20161399")</f>
        <v>ICTVonline=20161399</v>
      </c>
    </row>
    <row r="1625" spans="1:14" x14ac:dyDescent="0.15">
      <c r="A1625" s="3">
        <v>1624</v>
      </c>
      <c r="B1625" s="1" t="s">
        <v>1100</v>
      </c>
      <c r="C1625" s="1" t="s">
        <v>2075</v>
      </c>
      <c r="D1625" s="1" t="s">
        <v>1959</v>
      </c>
      <c r="E1625" s="1" t="s">
        <v>1956</v>
      </c>
      <c r="F1625" s="1" t="s">
        <v>1395</v>
      </c>
      <c r="G1625" s="3">
        <v>0</v>
      </c>
      <c r="J1625" s="20" t="s">
        <v>3160</v>
      </c>
      <c r="K1625" s="20" t="s">
        <v>10016</v>
      </c>
      <c r="L1625" s="3">
        <v>25</v>
      </c>
      <c r="M1625" s="3" t="s">
        <v>10156</v>
      </c>
      <c r="N1625" s="3" t="str">
        <f>HYPERLINK("http://ictvonline.org/taxonomyHistory.asp?taxnode_id=20161400","ICTVonline=20161400")</f>
        <v>ICTVonline=20161400</v>
      </c>
    </row>
    <row r="1626" spans="1:14" x14ac:dyDescent="0.15">
      <c r="A1626" s="3">
        <v>1625</v>
      </c>
      <c r="B1626" s="1" t="s">
        <v>1100</v>
      </c>
      <c r="C1626" s="1" t="s">
        <v>2075</v>
      </c>
      <c r="D1626" s="1" t="s">
        <v>1959</v>
      </c>
      <c r="E1626" s="1" t="s">
        <v>1956</v>
      </c>
      <c r="F1626" s="1" t="s">
        <v>932</v>
      </c>
      <c r="G1626" s="3">
        <v>0</v>
      </c>
      <c r="J1626" s="20" t="s">
        <v>3160</v>
      </c>
      <c r="K1626" s="20" t="s">
        <v>10016</v>
      </c>
      <c r="L1626" s="3">
        <v>25</v>
      </c>
      <c r="M1626" s="3" t="s">
        <v>10156</v>
      </c>
      <c r="N1626" s="3" t="str">
        <f>HYPERLINK("http://ictvonline.org/taxonomyHistory.asp?taxnode_id=20161401","ICTVonline=20161401")</f>
        <v>ICTVonline=20161401</v>
      </c>
    </row>
    <row r="1627" spans="1:14" x14ac:dyDescent="0.15">
      <c r="A1627" s="3">
        <v>1626</v>
      </c>
      <c r="B1627" s="1" t="s">
        <v>1100</v>
      </c>
      <c r="C1627" s="1" t="s">
        <v>2075</v>
      </c>
      <c r="D1627" s="1" t="s">
        <v>1959</v>
      </c>
      <c r="E1627" s="1" t="s">
        <v>1956</v>
      </c>
      <c r="F1627" s="1" t="s">
        <v>933</v>
      </c>
      <c r="G1627" s="3">
        <v>0</v>
      </c>
      <c r="H1627" s="20" t="s">
        <v>7099</v>
      </c>
      <c r="I1627" s="20" t="s">
        <v>4576</v>
      </c>
      <c r="J1627" s="20" t="s">
        <v>3160</v>
      </c>
      <c r="K1627" s="20" t="s">
        <v>10016</v>
      </c>
      <c r="L1627" s="3">
        <v>25</v>
      </c>
      <c r="M1627" s="3" t="s">
        <v>10156</v>
      </c>
      <c r="N1627" s="3" t="str">
        <f>HYPERLINK("http://ictvonline.org/taxonomyHistory.asp?taxnode_id=20161402","ICTVonline=20161402")</f>
        <v>ICTVonline=20161402</v>
      </c>
    </row>
    <row r="1628" spans="1:14" x14ac:dyDescent="0.15">
      <c r="A1628" s="3">
        <v>1627</v>
      </c>
      <c r="B1628" s="1" t="s">
        <v>1100</v>
      </c>
      <c r="C1628" s="1" t="s">
        <v>2075</v>
      </c>
      <c r="D1628" s="1" t="s">
        <v>1959</v>
      </c>
      <c r="E1628" s="1" t="s">
        <v>1956</v>
      </c>
      <c r="F1628" s="1" t="s">
        <v>1397</v>
      </c>
      <c r="G1628" s="3">
        <v>0</v>
      </c>
      <c r="H1628" s="20" t="s">
        <v>7100</v>
      </c>
      <c r="I1628" s="20" t="s">
        <v>4577</v>
      </c>
      <c r="J1628" s="20" t="s">
        <v>3160</v>
      </c>
      <c r="K1628" s="20" t="s">
        <v>10016</v>
      </c>
      <c r="L1628" s="3">
        <v>25</v>
      </c>
      <c r="M1628" s="3" t="s">
        <v>10156</v>
      </c>
      <c r="N1628" s="3" t="str">
        <f>HYPERLINK("http://ictvonline.org/taxonomyHistory.asp?taxnode_id=20161403","ICTVonline=20161403")</f>
        <v>ICTVonline=20161403</v>
      </c>
    </row>
    <row r="1629" spans="1:14" x14ac:dyDescent="0.15">
      <c r="A1629" s="3">
        <v>1628</v>
      </c>
      <c r="B1629" s="1" t="s">
        <v>1100</v>
      </c>
      <c r="C1629" s="1" t="s">
        <v>2075</v>
      </c>
      <c r="D1629" s="1" t="s">
        <v>1959</v>
      </c>
      <c r="E1629" s="1" t="s">
        <v>1956</v>
      </c>
      <c r="F1629" s="1" t="s">
        <v>585</v>
      </c>
      <c r="G1629" s="3">
        <v>0</v>
      </c>
      <c r="H1629" s="20" t="s">
        <v>7101</v>
      </c>
      <c r="I1629" s="20" t="s">
        <v>4578</v>
      </c>
      <c r="J1629" s="20" t="s">
        <v>3160</v>
      </c>
      <c r="K1629" s="20" t="s">
        <v>10016</v>
      </c>
      <c r="L1629" s="3">
        <v>25</v>
      </c>
      <c r="M1629" s="3" t="s">
        <v>10156</v>
      </c>
      <c r="N1629" s="3" t="str">
        <f>HYPERLINK("http://ictvonline.org/taxonomyHistory.asp?taxnode_id=20161404","ICTVonline=20161404")</f>
        <v>ICTVonline=20161404</v>
      </c>
    </row>
    <row r="1630" spans="1:14" x14ac:dyDescent="0.15">
      <c r="A1630" s="3">
        <v>1629</v>
      </c>
      <c r="B1630" s="1" t="s">
        <v>1100</v>
      </c>
      <c r="C1630" s="1" t="s">
        <v>2075</v>
      </c>
      <c r="D1630" s="1" t="s">
        <v>1959</v>
      </c>
      <c r="E1630" s="1" t="s">
        <v>1956</v>
      </c>
      <c r="F1630" s="1" t="s">
        <v>586</v>
      </c>
      <c r="G1630" s="3">
        <v>0</v>
      </c>
      <c r="J1630" s="20" t="s">
        <v>3160</v>
      </c>
      <c r="K1630" s="20" t="s">
        <v>10016</v>
      </c>
      <c r="L1630" s="3">
        <v>25</v>
      </c>
      <c r="M1630" s="3" t="s">
        <v>10156</v>
      </c>
      <c r="N1630" s="3" t="str">
        <f>HYPERLINK("http://ictvonline.org/taxonomyHistory.asp?taxnode_id=20161405","ICTVonline=20161405")</f>
        <v>ICTVonline=20161405</v>
      </c>
    </row>
    <row r="1631" spans="1:14" x14ac:dyDescent="0.15">
      <c r="A1631" s="3">
        <v>1630</v>
      </c>
      <c r="B1631" s="1" t="s">
        <v>1100</v>
      </c>
      <c r="C1631" s="1" t="s">
        <v>2075</v>
      </c>
      <c r="D1631" s="1" t="s">
        <v>1959</v>
      </c>
      <c r="E1631" s="1" t="s">
        <v>1957</v>
      </c>
      <c r="F1631" s="1" t="s">
        <v>587</v>
      </c>
      <c r="G1631" s="3">
        <v>1</v>
      </c>
      <c r="H1631" s="20" t="s">
        <v>7102</v>
      </c>
      <c r="I1631" s="20" t="s">
        <v>4579</v>
      </c>
      <c r="J1631" s="20" t="s">
        <v>3160</v>
      </c>
      <c r="K1631" s="20" t="s">
        <v>10016</v>
      </c>
      <c r="L1631" s="3">
        <v>25</v>
      </c>
      <c r="M1631" s="3" t="s">
        <v>10156</v>
      </c>
      <c r="N1631" s="3" t="str">
        <f>HYPERLINK("http://ictvonline.org/taxonomyHistory.asp?taxnode_id=20161407","ICTVonline=20161407")</f>
        <v>ICTVonline=20161407</v>
      </c>
    </row>
    <row r="1632" spans="1:14" x14ac:dyDescent="0.15">
      <c r="A1632" s="3">
        <v>1631</v>
      </c>
      <c r="B1632" s="1" t="s">
        <v>1100</v>
      </c>
      <c r="C1632" s="1" t="s">
        <v>2075</v>
      </c>
      <c r="D1632" s="1" t="s">
        <v>1959</v>
      </c>
      <c r="E1632" s="1" t="s">
        <v>1957</v>
      </c>
      <c r="F1632" s="1" t="s">
        <v>588</v>
      </c>
      <c r="G1632" s="3">
        <v>0</v>
      </c>
      <c r="H1632" s="20" t="s">
        <v>7103</v>
      </c>
      <c r="I1632" s="20" t="s">
        <v>4580</v>
      </c>
      <c r="J1632" s="20" t="s">
        <v>3160</v>
      </c>
      <c r="K1632" s="20" t="s">
        <v>10016</v>
      </c>
      <c r="L1632" s="3">
        <v>25</v>
      </c>
      <c r="M1632" s="3" t="s">
        <v>10156</v>
      </c>
      <c r="N1632" s="3" t="str">
        <f>HYPERLINK("http://ictvonline.org/taxonomyHistory.asp?taxnode_id=20161408","ICTVonline=20161408")</f>
        <v>ICTVonline=20161408</v>
      </c>
    </row>
    <row r="1633" spans="1:14" x14ac:dyDescent="0.15">
      <c r="A1633" s="3">
        <v>1632</v>
      </c>
      <c r="B1633" s="1" t="s">
        <v>1100</v>
      </c>
      <c r="C1633" s="1" t="s">
        <v>2075</v>
      </c>
      <c r="D1633" s="1" t="s">
        <v>1959</v>
      </c>
      <c r="E1633" s="1" t="s">
        <v>1957</v>
      </c>
      <c r="F1633" s="1" t="s">
        <v>2279</v>
      </c>
      <c r="G1633" s="3">
        <v>0</v>
      </c>
      <c r="J1633" s="20" t="s">
        <v>3160</v>
      </c>
      <c r="K1633" s="20" t="s">
        <v>10013</v>
      </c>
      <c r="L1633" s="3">
        <v>27</v>
      </c>
      <c r="M1633" s="3" t="s">
        <v>10157</v>
      </c>
      <c r="N1633" s="3" t="str">
        <f>HYPERLINK("http://ictvonline.org/taxonomyHistory.asp?taxnode_id=20161409","ICTVonline=20161409")</f>
        <v>ICTVonline=20161409</v>
      </c>
    </row>
    <row r="1634" spans="1:14" x14ac:dyDescent="0.15">
      <c r="A1634" s="3">
        <v>1633</v>
      </c>
      <c r="B1634" s="1" t="s">
        <v>1100</v>
      </c>
      <c r="C1634" s="1" t="s">
        <v>2075</v>
      </c>
      <c r="D1634" s="1" t="s">
        <v>1959</v>
      </c>
      <c r="E1634" s="1" t="s">
        <v>1957</v>
      </c>
      <c r="F1634" s="1" t="s">
        <v>589</v>
      </c>
      <c r="G1634" s="3">
        <v>0</v>
      </c>
      <c r="H1634" s="20" t="s">
        <v>7104</v>
      </c>
      <c r="I1634" s="20" t="s">
        <v>4581</v>
      </c>
      <c r="J1634" s="20" t="s">
        <v>3160</v>
      </c>
      <c r="K1634" s="20" t="s">
        <v>10016</v>
      </c>
      <c r="L1634" s="3">
        <v>25</v>
      </c>
      <c r="M1634" s="3" t="s">
        <v>10156</v>
      </c>
      <c r="N1634" s="3" t="str">
        <f>HYPERLINK("http://ictvonline.org/taxonomyHistory.asp?taxnode_id=20161410","ICTVonline=20161410")</f>
        <v>ICTVonline=20161410</v>
      </c>
    </row>
    <row r="1635" spans="1:14" x14ac:dyDescent="0.15">
      <c r="A1635" s="3">
        <v>1634</v>
      </c>
      <c r="B1635" s="1" t="s">
        <v>1100</v>
      </c>
      <c r="C1635" s="1" t="s">
        <v>2075</v>
      </c>
      <c r="D1635" s="1" t="s">
        <v>1959</v>
      </c>
      <c r="E1635" s="1" t="s">
        <v>1957</v>
      </c>
      <c r="F1635" s="1" t="s">
        <v>938</v>
      </c>
      <c r="G1635" s="3">
        <v>0</v>
      </c>
      <c r="H1635" s="20" t="s">
        <v>7105</v>
      </c>
      <c r="I1635" s="20" t="s">
        <v>4582</v>
      </c>
      <c r="J1635" s="20" t="s">
        <v>3160</v>
      </c>
      <c r="K1635" s="20" t="s">
        <v>10016</v>
      </c>
      <c r="L1635" s="3">
        <v>25</v>
      </c>
      <c r="M1635" s="3" t="s">
        <v>10156</v>
      </c>
      <c r="N1635" s="3" t="str">
        <f>HYPERLINK("http://ictvonline.org/taxonomyHistory.asp?taxnode_id=20161411","ICTVonline=20161411")</f>
        <v>ICTVonline=20161411</v>
      </c>
    </row>
    <row r="1636" spans="1:14" x14ac:dyDescent="0.15">
      <c r="A1636" s="3">
        <v>1635</v>
      </c>
      <c r="B1636" s="1" t="s">
        <v>1100</v>
      </c>
      <c r="C1636" s="1" t="s">
        <v>2075</v>
      </c>
      <c r="D1636" s="1" t="s">
        <v>1959</v>
      </c>
      <c r="E1636" s="1" t="s">
        <v>1958</v>
      </c>
      <c r="F1636" s="1" t="s">
        <v>4583</v>
      </c>
      <c r="G1636" s="3">
        <v>0</v>
      </c>
      <c r="H1636" s="20" t="s">
        <v>6798</v>
      </c>
      <c r="I1636" s="20" t="s">
        <v>4584</v>
      </c>
      <c r="J1636" s="20" t="s">
        <v>3160</v>
      </c>
      <c r="K1636" s="20" t="s">
        <v>10013</v>
      </c>
      <c r="L1636" s="3">
        <v>30</v>
      </c>
      <c r="M1636" s="3" t="s">
        <v>10158</v>
      </c>
      <c r="N1636" s="3" t="str">
        <f>HYPERLINK("http://ictvonline.org/taxonomyHistory.asp?taxnode_id=20161413","ICTVonline=20161413")</f>
        <v>ICTVonline=20161413</v>
      </c>
    </row>
    <row r="1637" spans="1:14" x14ac:dyDescent="0.15">
      <c r="A1637" s="3">
        <v>1636</v>
      </c>
      <c r="B1637" s="1" t="s">
        <v>1100</v>
      </c>
      <c r="C1637" s="1" t="s">
        <v>2075</v>
      </c>
      <c r="D1637" s="1" t="s">
        <v>1959</v>
      </c>
      <c r="E1637" s="1" t="s">
        <v>1958</v>
      </c>
      <c r="F1637" s="1" t="s">
        <v>939</v>
      </c>
      <c r="G1637" s="3">
        <v>0</v>
      </c>
      <c r="J1637" s="20" t="s">
        <v>3160</v>
      </c>
      <c r="K1637" s="20" t="s">
        <v>10016</v>
      </c>
      <c r="L1637" s="3">
        <v>25</v>
      </c>
      <c r="M1637" s="3" t="s">
        <v>10156</v>
      </c>
      <c r="N1637" s="3" t="str">
        <f>HYPERLINK("http://ictvonline.org/taxonomyHistory.asp?taxnode_id=20161414","ICTVonline=20161414")</f>
        <v>ICTVonline=20161414</v>
      </c>
    </row>
    <row r="1638" spans="1:14" x14ac:dyDescent="0.15">
      <c r="A1638" s="3">
        <v>1637</v>
      </c>
      <c r="B1638" s="1" t="s">
        <v>1100</v>
      </c>
      <c r="C1638" s="1" t="s">
        <v>2075</v>
      </c>
      <c r="D1638" s="1" t="s">
        <v>1959</v>
      </c>
      <c r="E1638" s="1" t="s">
        <v>1958</v>
      </c>
      <c r="F1638" s="1" t="s">
        <v>940</v>
      </c>
      <c r="G1638" s="3">
        <v>0</v>
      </c>
      <c r="H1638" s="20" t="s">
        <v>7106</v>
      </c>
      <c r="I1638" s="20" t="s">
        <v>4585</v>
      </c>
      <c r="J1638" s="20" t="s">
        <v>3160</v>
      </c>
      <c r="K1638" s="20" t="s">
        <v>10016</v>
      </c>
      <c r="L1638" s="3">
        <v>25</v>
      </c>
      <c r="M1638" s="3" t="s">
        <v>10156</v>
      </c>
      <c r="N1638" s="3" t="str">
        <f>HYPERLINK("http://ictvonline.org/taxonomyHistory.asp?taxnode_id=20161415","ICTVonline=20161415")</f>
        <v>ICTVonline=20161415</v>
      </c>
    </row>
    <row r="1639" spans="1:14" x14ac:dyDescent="0.15">
      <c r="A1639" s="3">
        <v>1638</v>
      </c>
      <c r="B1639" s="1" t="s">
        <v>1100</v>
      </c>
      <c r="C1639" s="1" t="s">
        <v>2075</v>
      </c>
      <c r="D1639" s="1" t="s">
        <v>1959</v>
      </c>
      <c r="E1639" s="1" t="s">
        <v>1958</v>
      </c>
      <c r="F1639" s="1" t="s">
        <v>941</v>
      </c>
      <c r="G1639" s="3">
        <v>0</v>
      </c>
      <c r="J1639" s="20" t="s">
        <v>3160</v>
      </c>
      <c r="K1639" s="20" t="s">
        <v>10016</v>
      </c>
      <c r="L1639" s="3">
        <v>25</v>
      </c>
      <c r="M1639" s="3" t="s">
        <v>10156</v>
      </c>
      <c r="N1639" s="3" t="str">
        <f>HYPERLINK("http://ictvonline.org/taxonomyHistory.asp?taxnode_id=20161416","ICTVonline=20161416")</f>
        <v>ICTVonline=20161416</v>
      </c>
    </row>
    <row r="1640" spans="1:14" x14ac:dyDescent="0.15">
      <c r="A1640" s="3">
        <v>1639</v>
      </c>
      <c r="B1640" s="1" t="s">
        <v>1100</v>
      </c>
      <c r="C1640" s="1" t="s">
        <v>2075</v>
      </c>
      <c r="D1640" s="1" t="s">
        <v>1959</v>
      </c>
      <c r="E1640" s="1" t="s">
        <v>1958</v>
      </c>
      <c r="F1640" s="1" t="s">
        <v>591</v>
      </c>
      <c r="G1640" s="3">
        <v>0</v>
      </c>
      <c r="J1640" s="20" t="s">
        <v>3160</v>
      </c>
      <c r="K1640" s="20" t="s">
        <v>10016</v>
      </c>
      <c r="L1640" s="3">
        <v>25</v>
      </c>
      <c r="M1640" s="3" t="s">
        <v>10156</v>
      </c>
      <c r="N1640" s="3" t="str">
        <f>HYPERLINK("http://ictvonline.org/taxonomyHistory.asp?taxnode_id=20161417","ICTVonline=20161417")</f>
        <v>ICTVonline=20161417</v>
      </c>
    </row>
    <row r="1641" spans="1:14" x14ac:dyDescent="0.15">
      <c r="A1641" s="3">
        <v>1640</v>
      </c>
      <c r="B1641" s="1" t="s">
        <v>1100</v>
      </c>
      <c r="C1641" s="1" t="s">
        <v>2075</v>
      </c>
      <c r="D1641" s="1" t="s">
        <v>1959</v>
      </c>
      <c r="E1641" s="1" t="s">
        <v>1958</v>
      </c>
      <c r="F1641" s="1" t="s">
        <v>592</v>
      </c>
      <c r="G1641" s="3">
        <v>0</v>
      </c>
      <c r="J1641" s="20" t="s">
        <v>3160</v>
      </c>
      <c r="K1641" s="20" t="s">
        <v>10016</v>
      </c>
      <c r="L1641" s="3">
        <v>25</v>
      </c>
      <c r="M1641" s="3" t="s">
        <v>10156</v>
      </c>
      <c r="N1641" s="3" t="str">
        <f>HYPERLINK("http://ictvonline.org/taxonomyHistory.asp?taxnode_id=20161418","ICTVonline=20161418")</f>
        <v>ICTVonline=20161418</v>
      </c>
    </row>
    <row r="1642" spans="1:14" x14ac:dyDescent="0.15">
      <c r="A1642" s="3">
        <v>1641</v>
      </c>
      <c r="B1642" s="1" t="s">
        <v>1100</v>
      </c>
      <c r="C1642" s="1" t="s">
        <v>2075</v>
      </c>
      <c r="D1642" s="1" t="s">
        <v>1959</v>
      </c>
      <c r="E1642" s="1" t="s">
        <v>1958</v>
      </c>
      <c r="F1642" s="1" t="s">
        <v>593</v>
      </c>
      <c r="G1642" s="3">
        <v>0</v>
      </c>
      <c r="J1642" s="20" t="s">
        <v>3160</v>
      </c>
      <c r="K1642" s="20" t="s">
        <v>10016</v>
      </c>
      <c r="L1642" s="3">
        <v>25</v>
      </c>
      <c r="M1642" s="3" t="s">
        <v>10156</v>
      </c>
      <c r="N1642" s="3" t="str">
        <f>HYPERLINK("http://ictvonline.org/taxonomyHistory.asp?taxnode_id=20161419","ICTVonline=20161419")</f>
        <v>ICTVonline=20161419</v>
      </c>
    </row>
    <row r="1643" spans="1:14" x14ac:dyDescent="0.15">
      <c r="A1643" s="3">
        <v>1642</v>
      </c>
      <c r="B1643" s="1" t="s">
        <v>1100</v>
      </c>
      <c r="C1643" s="1" t="s">
        <v>2075</v>
      </c>
      <c r="D1643" s="1" t="s">
        <v>1959</v>
      </c>
      <c r="E1643" s="1" t="s">
        <v>1958</v>
      </c>
      <c r="F1643" s="1" t="s">
        <v>594</v>
      </c>
      <c r="G1643" s="3">
        <v>0</v>
      </c>
      <c r="H1643" s="20" t="s">
        <v>7107</v>
      </c>
      <c r="I1643" s="20" t="s">
        <v>4586</v>
      </c>
      <c r="J1643" s="20" t="s">
        <v>3160</v>
      </c>
      <c r="K1643" s="20" t="s">
        <v>10016</v>
      </c>
      <c r="L1643" s="3">
        <v>25</v>
      </c>
      <c r="M1643" s="3" t="s">
        <v>10156</v>
      </c>
      <c r="N1643" s="3" t="str">
        <f>HYPERLINK("http://ictvonline.org/taxonomyHistory.asp?taxnode_id=20161420","ICTVonline=20161420")</f>
        <v>ICTVonline=20161420</v>
      </c>
    </row>
    <row r="1644" spans="1:14" x14ac:dyDescent="0.15">
      <c r="A1644" s="3">
        <v>1643</v>
      </c>
      <c r="B1644" s="1" t="s">
        <v>1100</v>
      </c>
      <c r="C1644" s="1" t="s">
        <v>2075</v>
      </c>
      <c r="D1644" s="1" t="s">
        <v>1959</v>
      </c>
      <c r="E1644" s="1" t="s">
        <v>1958</v>
      </c>
      <c r="F1644" s="1" t="s">
        <v>595</v>
      </c>
      <c r="G1644" s="3">
        <v>0</v>
      </c>
      <c r="H1644" s="20" t="s">
        <v>7108</v>
      </c>
      <c r="I1644" s="20" t="s">
        <v>4587</v>
      </c>
      <c r="J1644" s="20" t="s">
        <v>3160</v>
      </c>
      <c r="K1644" s="20" t="s">
        <v>10016</v>
      </c>
      <c r="L1644" s="3">
        <v>25</v>
      </c>
      <c r="M1644" s="3" t="s">
        <v>10156</v>
      </c>
      <c r="N1644" s="3" t="str">
        <f>HYPERLINK("http://ictvonline.org/taxonomyHistory.asp?taxnode_id=20161421","ICTVonline=20161421")</f>
        <v>ICTVonline=20161421</v>
      </c>
    </row>
    <row r="1645" spans="1:14" x14ac:dyDescent="0.15">
      <c r="A1645" s="3">
        <v>1644</v>
      </c>
      <c r="B1645" s="1" t="s">
        <v>1100</v>
      </c>
      <c r="C1645" s="1" t="s">
        <v>2075</v>
      </c>
      <c r="D1645" s="1" t="s">
        <v>1959</v>
      </c>
      <c r="E1645" s="1" t="s">
        <v>1958</v>
      </c>
      <c r="F1645" s="1" t="s">
        <v>2280</v>
      </c>
      <c r="G1645" s="3">
        <v>0</v>
      </c>
      <c r="H1645" s="20" t="s">
        <v>7109</v>
      </c>
      <c r="I1645" s="20" t="s">
        <v>4588</v>
      </c>
      <c r="J1645" s="20" t="s">
        <v>3160</v>
      </c>
      <c r="K1645" s="20" t="s">
        <v>10013</v>
      </c>
      <c r="L1645" s="3">
        <v>27</v>
      </c>
      <c r="M1645" s="3" t="s">
        <v>10159</v>
      </c>
      <c r="N1645" s="3" t="str">
        <f>HYPERLINK("http://ictvonline.org/taxonomyHistory.asp?taxnode_id=20161422","ICTVonline=20161422")</f>
        <v>ICTVonline=20161422</v>
      </c>
    </row>
    <row r="1646" spans="1:14" x14ac:dyDescent="0.15">
      <c r="A1646" s="3">
        <v>1645</v>
      </c>
      <c r="B1646" s="1" t="s">
        <v>1100</v>
      </c>
      <c r="C1646" s="1" t="s">
        <v>2075</v>
      </c>
      <c r="D1646" s="1" t="s">
        <v>1959</v>
      </c>
      <c r="E1646" s="1" t="s">
        <v>1958</v>
      </c>
      <c r="F1646" s="1" t="s">
        <v>596</v>
      </c>
      <c r="G1646" s="3">
        <v>0</v>
      </c>
      <c r="J1646" s="20" t="s">
        <v>3160</v>
      </c>
      <c r="K1646" s="20" t="s">
        <v>10016</v>
      </c>
      <c r="L1646" s="3">
        <v>25</v>
      </c>
      <c r="M1646" s="3" t="s">
        <v>10156</v>
      </c>
      <c r="N1646" s="3" t="str">
        <f>HYPERLINK("http://ictvonline.org/taxonomyHistory.asp?taxnode_id=20161423","ICTVonline=20161423")</f>
        <v>ICTVonline=20161423</v>
      </c>
    </row>
    <row r="1647" spans="1:14" x14ac:dyDescent="0.15">
      <c r="A1647" s="3">
        <v>1646</v>
      </c>
      <c r="B1647" s="1" t="s">
        <v>1100</v>
      </c>
      <c r="C1647" s="1" t="s">
        <v>2075</v>
      </c>
      <c r="D1647" s="1" t="s">
        <v>1959</v>
      </c>
      <c r="E1647" s="1" t="s">
        <v>1958</v>
      </c>
      <c r="F1647" s="1" t="s">
        <v>597</v>
      </c>
      <c r="G1647" s="3">
        <v>0</v>
      </c>
      <c r="J1647" s="20" t="s">
        <v>3160</v>
      </c>
      <c r="K1647" s="20" t="s">
        <v>10016</v>
      </c>
      <c r="L1647" s="3">
        <v>25</v>
      </c>
      <c r="M1647" s="3" t="s">
        <v>10156</v>
      </c>
      <c r="N1647" s="3" t="str">
        <f>HYPERLINK("http://ictvonline.org/taxonomyHistory.asp?taxnode_id=20161424","ICTVonline=20161424")</f>
        <v>ICTVonline=20161424</v>
      </c>
    </row>
    <row r="1648" spans="1:14" x14ac:dyDescent="0.15">
      <c r="A1648" s="3">
        <v>1647</v>
      </c>
      <c r="B1648" s="1" t="s">
        <v>1100</v>
      </c>
      <c r="C1648" s="1" t="s">
        <v>2075</v>
      </c>
      <c r="D1648" s="1" t="s">
        <v>1959</v>
      </c>
      <c r="E1648" s="1" t="s">
        <v>1958</v>
      </c>
      <c r="F1648" s="1" t="s">
        <v>598</v>
      </c>
      <c r="G1648" s="3">
        <v>0</v>
      </c>
      <c r="J1648" s="20" t="s">
        <v>3160</v>
      </c>
      <c r="K1648" s="20" t="s">
        <v>10016</v>
      </c>
      <c r="L1648" s="3">
        <v>25</v>
      </c>
      <c r="M1648" s="3" t="s">
        <v>10156</v>
      </c>
      <c r="N1648" s="3" t="str">
        <f>HYPERLINK("http://ictvonline.org/taxonomyHistory.asp?taxnode_id=20161425","ICTVonline=20161425")</f>
        <v>ICTVonline=20161425</v>
      </c>
    </row>
    <row r="1649" spans="1:14" x14ac:dyDescent="0.15">
      <c r="A1649" s="3">
        <v>1648</v>
      </c>
      <c r="B1649" s="1" t="s">
        <v>1100</v>
      </c>
      <c r="C1649" s="1" t="s">
        <v>2075</v>
      </c>
      <c r="D1649" s="1" t="s">
        <v>1959</v>
      </c>
      <c r="E1649" s="1" t="s">
        <v>1958</v>
      </c>
      <c r="F1649" s="1" t="s">
        <v>1790</v>
      </c>
      <c r="G1649" s="3">
        <v>0</v>
      </c>
      <c r="H1649" s="20" t="s">
        <v>7110</v>
      </c>
      <c r="I1649" s="20" t="s">
        <v>4589</v>
      </c>
      <c r="J1649" s="20" t="s">
        <v>3160</v>
      </c>
      <c r="K1649" s="20" t="s">
        <v>10016</v>
      </c>
      <c r="L1649" s="3">
        <v>25</v>
      </c>
      <c r="M1649" s="3" t="s">
        <v>10156</v>
      </c>
      <c r="N1649" s="3" t="str">
        <f>HYPERLINK("http://ictvonline.org/taxonomyHistory.asp?taxnode_id=20161426","ICTVonline=20161426")</f>
        <v>ICTVonline=20161426</v>
      </c>
    </row>
    <row r="1650" spans="1:14" x14ac:dyDescent="0.15">
      <c r="A1650" s="3">
        <v>1649</v>
      </c>
      <c r="B1650" s="1" t="s">
        <v>1100</v>
      </c>
      <c r="C1650" s="1" t="s">
        <v>2075</v>
      </c>
      <c r="D1650" s="1" t="s">
        <v>1959</v>
      </c>
      <c r="E1650" s="1" t="s">
        <v>1958</v>
      </c>
      <c r="F1650" s="1" t="s">
        <v>1791</v>
      </c>
      <c r="G1650" s="3">
        <v>0</v>
      </c>
      <c r="J1650" s="20" t="s">
        <v>3160</v>
      </c>
      <c r="K1650" s="20" t="s">
        <v>10016</v>
      </c>
      <c r="L1650" s="3">
        <v>25</v>
      </c>
      <c r="M1650" s="3" t="s">
        <v>10156</v>
      </c>
      <c r="N1650" s="3" t="str">
        <f>HYPERLINK("http://ictvonline.org/taxonomyHistory.asp?taxnode_id=20161427","ICTVonline=20161427")</f>
        <v>ICTVonline=20161427</v>
      </c>
    </row>
    <row r="1651" spans="1:14" x14ac:dyDescent="0.15">
      <c r="A1651" s="3">
        <v>1650</v>
      </c>
      <c r="B1651" s="1" t="s">
        <v>1100</v>
      </c>
      <c r="C1651" s="1" t="s">
        <v>2075</v>
      </c>
      <c r="D1651" s="1" t="s">
        <v>1959</v>
      </c>
      <c r="E1651" s="1" t="s">
        <v>1958</v>
      </c>
      <c r="F1651" s="1" t="s">
        <v>1792</v>
      </c>
      <c r="G1651" s="3">
        <v>0</v>
      </c>
      <c r="J1651" s="20" t="s">
        <v>3160</v>
      </c>
      <c r="K1651" s="20" t="s">
        <v>10016</v>
      </c>
      <c r="L1651" s="3">
        <v>25</v>
      </c>
      <c r="M1651" s="3" t="s">
        <v>10156</v>
      </c>
      <c r="N1651" s="3" t="str">
        <f>HYPERLINK("http://ictvonline.org/taxonomyHistory.asp?taxnode_id=20161428","ICTVonline=20161428")</f>
        <v>ICTVonline=20161428</v>
      </c>
    </row>
    <row r="1652" spans="1:14" x14ac:dyDescent="0.15">
      <c r="A1652" s="3">
        <v>1651</v>
      </c>
      <c r="B1652" s="1" t="s">
        <v>1100</v>
      </c>
      <c r="C1652" s="1" t="s">
        <v>2075</v>
      </c>
      <c r="D1652" s="1" t="s">
        <v>1959</v>
      </c>
      <c r="E1652" s="1" t="s">
        <v>1958</v>
      </c>
      <c r="F1652" s="1" t="s">
        <v>1793</v>
      </c>
      <c r="G1652" s="3">
        <v>0</v>
      </c>
      <c r="J1652" s="20" t="s">
        <v>3160</v>
      </c>
      <c r="K1652" s="20" t="s">
        <v>10016</v>
      </c>
      <c r="L1652" s="3">
        <v>25</v>
      </c>
      <c r="M1652" s="3" t="s">
        <v>10156</v>
      </c>
      <c r="N1652" s="3" t="str">
        <f>HYPERLINK("http://ictvonline.org/taxonomyHistory.asp?taxnode_id=20161429","ICTVonline=20161429")</f>
        <v>ICTVonline=20161429</v>
      </c>
    </row>
    <row r="1653" spans="1:14" x14ac:dyDescent="0.15">
      <c r="A1653" s="3">
        <v>1652</v>
      </c>
      <c r="B1653" s="1" t="s">
        <v>1100</v>
      </c>
      <c r="C1653" s="1" t="s">
        <v>2075</v>
      </c>
      <c r="D1653" s="1" t="s">
        <v>1959</v>
      </c>
      <c r="E1653" s="1" t="s">
        <v>1958</v>
      </c>
      <c r="F1653" s="1" t="s">
        <v>1794</v>
      </c>
      <c r="G1653" s="3">
        <v>0</v>
      </c>
      <c r="H1653" s="20" t="s">
        <v>7111</v>
      </c>
      <c r="I1653" s="20" t="s">
        <v>4590</v>
      </c>
      <c r="J1653" s="20" t="s">
        <v>3160</v>
      </c>
      <c r="K1653" s="20" t="s">
        <v>10016</v>
      </c>
      <c r="L1653" s="3">
        <v>25</v>
      </c>
      <c r="M1653" s="3" t="s">
        <v>10156</v>
      </c>
      <c r="N1653" s="3" t="str">
        <f>HYPERLINK("http://ictvonline.org/taxonomyHistory.asp?taxnode_id=20161430","ICTVonline=20161430")</f>
        <v>ICTVonline=20161430</v>
      </c>
    </row>
    <row r="1654" spans="1:14" x14ac:dyDescent="0.15">
      <c r="A1654" s="3">
        <v>1653</v>
      </c>
      <c r="B1654" s="1" t="s">
        <v>1100</v>
      </c>
      <c r="C1654" s="1" t="s">
        <v>2075</v>
      </c>
      <c r="D1654" s="1" t="s">
        <v>1959</v>
      </c>
      <c r="E1654" s="1" t="s">
        <v>1958</v>
      </c>
      <c r="F1654" s="1" t="s">
        <v>1795</v>
      </c>
      <c r="G1654" s="3">
        <v>0</v>
      </c>
      <c r="H1654" s="20" t="s">
        <v>7112</v>
      </c>
      <c r="I1654" s="20" t="s">
        <v>4591</v>
      </c>
      <c r="J1654" s="20" t="s">
        <v>3160</v>
      </c>
      <c r="K1654" s="20" t="s">
        <v>10016</v>
      </c>
      <c r="L1654" s="3">
        <v>25</v>
      </c>
      <c r="M1654" s="3" t="s">
        <v>10156</v>
      </c>
      <c r="N1654" s="3" t="str">
        <f>HYPERLINK("http://ictvonline.org/taxonomyHistory.asp?taxnode_id=20161431","ICTVonline=20161431")</f>
        <v>ICTVonline=20161431</v>
      </c>
    </row>
    <row r="1655" spans="1:14" x14ac:dyDescent="0.15">
      <c r="A1655" s="3">
        <v>1654</v>
      </c>
      <c r="B1655" s="1" t="s">
        <v>1100</v>
      </c>
      <c r="C1655" s="1" t="s">
        <v>2075</v>
      </c>
      <c r="D1655" s="1" t="s">
        <v>1959</v>
      </c>
      <c r="E1655" s="1" t="s">
        <v>1958</v>
      </c>
      <c r="F1655" s="1" t="s">
        <v>1796</v>
      </c>
      <c r="G1655" s="3">
        <v>0</v>
      </c>
      <c r="H1655" s="20" t="s">
        <v>7113</v>
      </c>
      <c r="I1655" s="20" t="s">
        <v>4592</v>
      </c>
      <c r="J1655" s="20" t="s">
        <v>3160</v>
      </c>
      <c r="K1655" s="20" t="s">
        <v>10016</v>
      </c>
      <c r="L1655" s="3">
        <v>25</v>
      </c>
      <c r="M1655" s="3" t="s">
        <v>10156</v>
      </c>
      <c r="N1655" s="3" t="str">
        <f>HYPERLINK("http://ictvonline.org/taxonomyHistory.asp?taxnode_id=20161432","ICTVonline=20161432")</f>
        <v>ICTVonline=20161432</v>
      </c>
    </row>
    <row r="1656" spans="1:14" x14ac:dyDescent="0.15">
      <c r="A1656" s="3">
        <v>1655</v>
      </c>
      <c r="B1656" s="1" t="s">
        <v>1100</v>
      </c>
      <c r="C1656" s="1" t="s">
        <v>2075</v>
      </c>
      <c r="D1656" s="1" t="s">
        <v>1959</v>
      </c>
      <c r="E1656" s="1" t="s">
        <v>1958</v>
      </c>
      <c r="F1656" s="1" t="s">
        <v>1797</v>
      </c>
      <c r="G1656" s="3">
        <v>0</v>
      </c>
      <c r="H1656" s="20" t="s">
        <v>7114</v>
      </c>
      <c r="I1656" s="20" t="s">
        <v>4593</v>
      </c>
      <c r="J1656" s="20" t="s">
        <v>3160</v>
      </c>
      <c r="K1656" s="20" t="s">
        <v>10016</v>
      </c>
      <c r="L1656" s="3">
        <v>25</v>
      </c>
      <c r="M1656" s="3" t="s">
        <v>10156</v>
      </c>
      <c r="N1656" s="3" t="str">
        <f>HYPERLINK("http://ictvonline.org/taxonomyHistory.asp?taxnode_id=20161433","ICTVonline=20161433")</f>
        <v>ICTVonline=20161433</v>
      </c>
    </row>
    <row r="1657" spans="1:14" x14ac:dyDescent="0.15">
      <c r="A1657" s="3">
        <v>1656</v>
      </c>
      <c r="B1657" s="1" t="s">
        <v>1100</v>
      </c>
      <c r="C1657" s="1" t="s">
        <v>2075</v>
      </c>
      <c r="D1657" s="1" t="s">
        <v>1959</v>
      </c>
      <c r="E1657" s="1" t="s">
        <v>1958</v>
      </c>
      <c r="F1657" s="1" t="s">
        <v>1798</v>
      </c>
      <c r="G1657" s="3">
        <v>0</v>
      </c>
      <c r="H1657" s="20" t="s">
        <v>7115</v>
      </c>
      <c r="I1657" s="20" t="s">
        <v>4594</v>
      </c>
      <c r="J1657" s="20" t="s">
        <v>3160</v>
      </c>
      <c r="K1657" s="20" t="s">
        <v>10016</v>
      </c>
      <c r="L1657" s="3">
        <v>25</v>
      </c>
      <c r="M1657" s="3" t="s">
        <v>10156</v>
      </c>
      <c r="N1657" s="3" t="str">
        <f>HYPERLINK("http://ictvonline.org/taxonomyHistory.asp?taxnode_id=20161434","ICTVonline=20161434")</f>
        <v>ICTVonline=20161434</v>
      </c>
    </row>
    <row r="1658" spans="1:14" x14ac:dyDescent="0.15">
      <c r="A1658" s="3">
        <v>1657</v>
      </c>
      <c r="B1658" s="1" t="s">
        <v>1100</v>
      </c>
      <c r="C1658" s="1" t="s">
        <v>2075</v>
      </c>
      <c r="D1658" s="1" t="s">
        <v>1959</v>
      </c>
      <c r="E1658" s="1" t="s">
        <v>1958</v>
      </c>
      <c r="F1658" s="1" t="s">
        <v>1799</v>
      </c>
      <c r="G1658" s="3">
        <v>0</v>
      </c>
      <c r="H1658" s="20" t="s">
        <v>7116</v>
      </c>
      <c r="I1658" s="20" t="s">
        <v>4595</v>
      </c>
      <c r="J1658" s="20" t="s">
        <v>3160</v>
      </c>
      <c r="K1658" s="20" t="s">
        <v>10016</v>
      </c>
      <c r="L1658" s="3">
        <v>25</v>
      </c>
      <c r="M1658" s="3" t="s">
        <v>10156</v>
      </c>
      <c r="N1658" s="3" t="str">
        <f>HYPERLINK("http://ictvonline.org/taxonomyHistory.asp?taxnode_id=20161435","ICTVonline=20161435")</f>
        <v>ICTVonline=20161435</v>
      </c>
    </row>
    <row r="1659" spans="1:14" x14ac:dyDescent="0.15">
      <c r="A1659" s="3">
        <v>1658</v>
      </c>
      <c r="B1659" s="1" t="s">
        <v>1100</v>
      </c>
      <c r="C1659" s="1" t="s">
        <v>2075</v>
      </c>
      <c r="D1659" s="1" t="s">
        <v>1959</v>
      </c>
      <c r="E1659" s="1" t="s">
        <v>1958</v>
      </c>
      <c r="F1659" s="1" t="s">
        <v>1800</v>
      </c>
      <c r="G1659" s="3">
        <v>0</v>
      </c>
      <c r="J1659" s="20" t="s">
        <v>3160</v>
      </c>
      <c r="K1659" s="20" t="s">
        <v>10016</v>
      </c>
      <c r="L1659" s="3">
        <v>25</v>
      </c>
      <c r="M1659" s="3" t="s">
        <v>10156</v>
      </c>
      <c r="N1659" s="3" t="str">
        <f>HYPERLINK("http://ictvonline.org/taxonomyHistory.asp?taxnode_id=20161436","ICTVonline=20161436")</f>
        <v>ICTVonline=20161436</v>
      </c>
    </row>
    <row r="1660" spans="1:14" x14ac:dyDescent="0.15">
      <c r="A1660" s="3">
        <v>1659</v>
      </c>
      <c r="B1660" s="1" t="s">
        <v>1100</v>
      </c>
      <c r="C1660" s="1" t="s">
        <v>2075</v>
      </c>
      <c r="D1660" s="1" t="s">
        <v>1959</v>
      </c>
      <c r="E1660" s="1" t="s">
        <v>1958</v>
      </c>
      <c r="F1660" s="1" t="s">
        <v>1801</v>
      </c>
      <c r="G1660" s="3">
        <v>0</v>
      </c>
      <c r="J1660" s="20" t="s">
        <v>3160</v>
      </c>
      <c r="K1660" s="20" t="s">
        <v>10016</v>
      </c>
      <c r="L1660" s="3">
        <v>25</v>
      </c>
      <c r="M1660" s="3" t="s">
        <v>10156</v>
      </c>
      <c r="N1660" s="3" t="str">
        <f>HYPERLINK("http://ictvonline.org/taxonomyHistory.asp?taxnode_id=20161437","ICTVonline=20161437")</f>
        <v>ICTVonline=20161437</v>
      </c>
    </row>
    <row r="1661" spans="1:14" x14ac:dyDescent="0.15">
      <c r="A1661" s="3">
        <v>1660</v>
      </c>
      <c r="B1661" s="1" t="s">
        <v>1100</v>
      </c>
      <c r="C1661" s="1" t="s">
        <v>2075</v>
      </c>
      <c r="D1661" s="1" t="s">
        <v>1959</v>
      </c>
      <c r="E1661" s="1" t="s">
        <v>1958</v>
      </c>
      <c r="F1661" s="1" t="s">
        <v>1802</v>
      </c>
      <c r="G1661" s="3">
        <v>0</v>
      </c>
      <c r="J1661" s="20" t="s">
        <v>3160</v>
      </c>
      <c r="K1661" s="20" t="s">
        <v>10016</v>
      </c>
      <c r="L1661" s="3">
        <v>25</v>
      </c>
      <c r="M1661" s="3" t="s">
        <v>10156</v>
      </c>
      <c r="N1661" s="3" t="str">
        <f>HYPERLINK("http://ictvonline.org/taxonomyHistory.asp?taxnode_id=20161438","ICTVonline=20161438")</f>
        <v>ICTVonline=20161438</v>
      </c>
    </row>
    <row r="1662" spans="1:14" x14ac:dyDescent="0.15">
      <c r="A1662" s="3">
        <v>1661</v>
      </c>
      <c r="B1662" s="1" t="s">
        <v>1100</v>
      </c>
      <c r="C1662" s="1" t="s">
        <v>2075</v>
      </c>
      <c r="D1662" s="1" t="s">
        <v>1959</v>
      </c>
      <c r="E1662" s="1" t="s">
        <v>1958</v>
      </c>
      <c r="F1662" s="1" t="s">
        <v>6</v>
      </c>
      <c r="G1662" s="3">
        <v>0</v>
      </c>
      <c r="H1662" s="20" t="s">
        <v>7117</v>
      </c>
      <c r="I1662" s="20" t="s">
        <v>4596</v>
      </c>
      <c r="J1662" s="20" t="s">
        <v>3160</v>
      </c>
      <c r="K1662" s="20" t="s">
        <v>10013</v>
      </c>
      <c r="L1662" s="3">
        <v>26</v>
      </c>
      <c r="M1662" s="3" t="s">
        <v>10160</v>
      </c>
      <c r="N1662" s="3" t="str">
        <f>HYPERLINK("http://ictvonline.org/taxonomyHistory.asp?taxnode_id=20161439","ICTVonline=20161439")</f>
        <v>ICTVonline=20161439</v>
      </c>
    </row>
    <row r="1663" spans="1:14" x14ac:dyDescent="0.15">
      <c r="A1663" s="3">
        <v>1662</v>
      </c>
      <c r="B1663" s="1" t="s">
        <v>1100</v>
      </c>
      <c r="C1663" s="1" t="s">
        <v>2075</v>
      </c>
      <c r="D1663" s="1" t="s">
        <v>1959</v>
      </c>
      <c r="E1663" s="1" t="s">
        <v>1958</v>
      </c>
      <c r="F1663" s="1" t="s">
        <v>4597</v>
      </c>
      <c r="G1663" s="3">
        <v>0</v>
      </c>
      <c r="H1663" s="20" t="s">
        <v>6799</v>
      </c>
      <c r="I1663" s="20" t="s">
        <v>4598</v>
      </c>
      <c r="J1663" s="20" t="s">
        <v>3160</v>
      </c>
      <c r="K1663" s="20" t="s">
        <v>10013</v>
      </c>
      <c r="L1663" s="3">
        <v>30</v>
      </c>
      <c r="M1663" s="3" t="s">
        <v>10158</v>
      </c>
      <c r="N1663" s="3" t="str">
        <f>HYPERLINK("http://ictvonline.org/taxonomyHistory.asp?taxnode_id=20161440","ICTVonline=20161440")</f>
        <v>ICTVonline=20161440</v>
      </c>
    </row>
    <row r="1664" spans="1:14" x14ac:dyDescent="0.15">
      <c r="A1664" s="3">
        <v>1663</v>
      </c>
      <c r="B1664" s="1" t="s">
        <v>1100</v>
      </c>
      <c r="C1664" s="1" t="s">
        <v>2075</v>
      </c>
      <c r="D1664" s="1" t="s">
        <v>1959</v>
      </c>
      <c r="E1664" s="1" t="s">
        <v>1958</v>
      </c>
      <c r="F1664" s="1" t="s">
        <v>1803</v>
      </c>
      <c r="G1664" s="3">
        <v>0</v>
      </c>
      <c r="J1664" s="20" t="s">
        <v>3160</v>
      </c>
      <c r="K1664" s="20" t="s">
        <v>10016</v>
      </c>
      <c r="L1664" s="3">
        <v>25</v>
      </c>
      <c r="M1664" s="3" t="s">
        <v>10156</v>
      </c>
      <c r="N1664" s="3" t="str">
        <f>HYPERLINK("http://ictvonline.org/taxonomyHistory.asp?taxnode_id=20161441","ICTVonline=20161441")</f>
        <v>ICTVonline=20161441</v>
      </c>
    </row>
    <row r="1665" spans="1:14" x14ac:dyDescent="0.15">
      <c r="A1665" s="3">
        <v>1664</v>
      </c>
      <c r="B1665" s="1" t="s">
        <v>1100</v>
      </c>
      <c r="C1665" s="1" t="s">
        <v>2075</v>
      </c>
      <c r="D1665" s="1" t="s">
        <v>1959</v>
      </c>
      <c r="E1665" s="1" t="s">
        <v>1958</v>
      </c>
      <c r="F1665" s="1" t="s">
        <v>1804</v>
      </c>
      <c r="G1665" s="3">
        <v>0</v>
      </c>
      <c r="J1665" s="20" t="s">
        <v>3160</v>
      </c>
      <c r="K1665" s="20" t="s">
        <v>10016</v>
      </c>
      <c r="L1665" s="3">
        <v>25</v>
      </c>
      <c r="M1665" s="3" t="s">
        <v>10156</v>
      </c>
      <c r="N1665" s="3" t="str">
        <f>HYPERLINK("http://ictvonline.org/taxonomyHistory.asp?taxnode_id=20161442","ICTVonline=20161442")</f>
        <v>ICTVonline=20161442</v>
      </c>
    </row>
    <row r="1666" spans="1:14" x14ac:dyDescent="0.15">
      <c r="A1666" s="3">
        <v>1665</v>
      </c>
      <c r="B1666" s="1" t="s">
        <v>1100</v>
      </c>
      <c r="C1666" s="1" t="s">
        <v>2075</v>
      </c>
      <c r="D1666" s="1" t="s">
        <v>1959</v>
      </c>
      <c r="E1666" s="1" t="s">
        <v>1958</v>
      </c>
      <c r="F1666" s="1" t="s">
        <v>1457</v>
      </c>
      <c r="G1666" s="3">
        <v>0</v>
      </c>
      <c r="H1666" s="20" t="s">
        <v>4599</v>
      </c>
      <c r="I1666" s="20" t="s">
        <v>4600</v>
      </c>
      <c r="J1666" s="20" t="s">
        <v>3160</v>
      </c>
      <c r="K1666" s="20" t="s">
        <v>10016</v>
      </c>
      <c r="L1666" s="3">
        <v>25</v>
      </c>
      <c r="M1666" s="3" t="s">
        <v>10156</v>
      </c>
      <c r="N1666" s="3" t="str">
        <f>HYPERLINK("http://ictvonline.org/taxonomyHistory.asp?taxnode_id=20161443","ICTVonline=20161443")</f>
        <v>ICTVonline=20161443</v>
      </c>
    </row>
    <row r="1667" spans="1:14" x14ac:dyDescent="0.15">
      <c r="A1667" s="3">
        <v>1666</v>
      </c>
      <c r="B1667" s="1" t="s">
        <v>1100</v>
      </c>
      <c r="C1667" s="1" t="s">
        <v>2075</v>
      </c>
      <c r="D1667" s="1" t="s">
        <v>1959</v>
      </c>
      <c r="E1667" s="1" t="s">
        <v>1958</v>
      </c>
      <c r="F1667" s="1" t="s">
        <v>1458</v>
      </c>
      <c r="G1667" s="3">
        <v>0</v>
      </c>
      <c r="H1667" s="20" t="s">
        <v>4601</v>
      </c>
      <c r="I1667" s="20" t="s">
        <v>4602</v>
      </c>
      <c r="J1667" s="20" t="s">
        <v>3160</v>
      </c>
      <c r="K1667" s="20" t="s">
        <v>10016</v>
      </c>
      <c r="L1667" s="3">
        <v>25</v>
      </c>
      <c r="M1667" s="3" t="s">
        <v>10156</v>
      </c>
      <c r="N1667" s="3" t="str">
        <f>HYPERLINK("http://ictvonline.org/taxonomyHistory.asp?taxnode_id=20161444","ICTVonline=20161444")</f>
        <v>ICTVonline=20161444</v>
      </c>
    </row>
    <row r="1668" spans="1:14" x14ac:dyDescent="0.15">
      <c r="A1668" s="3">
        <v>1667</v>
      </c>
      <c r="B1668" s="1" t="s">
        <v>1100</v>
      </c>
      <c r="C1668" s="1" t="s">
        <v>2075</v>
      </c>
      <c r="D1668" s="1" t="s">
        <v>1959</v>
      </c>
      <c r="E1668" s="1" t="s">
        <v>1958</v>
      </c>
      <c r="F1668" s="1" t="s">
        <v>1459</v>
      </c>
      <c r="G1668" s="3">
        <v>0</v>
      </c>
      <c r="H1668" s="20" t="s">
        <v>7118</v>
      </c>
      <c r="I1668" s="20" t="s">
        <v>4603</v>
      </c>
      <c r="J1668" s="20" t="s">
        <v>3160</v>
      </c>
      <c r="K1668" s="20" t="s">
        <v>10016</v>
      </c>
      <c r="L1668" s="3">
        <v>25</v>
      </c>
      <c r="M1668" s="3" t="s">
        <v>10156</v>
      </c>
      <c r="N1668" s="3" t="str">
        <f>HYPERLINK("http://ictvonline.org/taxonomyHistory.asp?taxnode_id=20161445","ICTVonline=20161445")</f>
        <v>ICTVonline=20161445</v>
      </c>
    </row>
    <row r="1669" spans="1:14" x14ac:dyDescent="0.15">
      <c r="A1669" s="3">
        <v>1668</v>
      </c>
      <c r="B1669" s="1" t="s">
        <v>1100</v>
      </c>
      <c r="C1669" s="1" t="s">
        <v>2075</v>
      </c>
      <c r="D1669" s="1" t="s">
        <v>1959</v>
      </c>
      <c r="E1669" s="1" t="s">
        <v>1958</v>
      </c>
      <c r="F1669" s="1" t="s">
        <v>1460</v>
      </c>
      <c r="G1669" s="3">
        <v>0</v>
      </c>
      <c r="J1669" s="20" t="s">
        <v>3160</v>
      </c>
      <c r="K1669" s="20" t="s">
        <v>10016</v>
      </c>
      <c r="L1669" s="3">
        <v>25</v>
      </c>
      <c r="M1669" s="3" t="s">
        <v>10156</v>
      </c>
      <c r="N1669" s="3" t="str">
        <f>HYPERLINK("http://ictvonline.org/taxonomyHistory.asp?taxnode_id=20161446","ICTVonline=20161446")</f>
        <v>ICTVonline=20161446</v>
      </c>
    </row>
    <row r="1670" spans="1:14" x14ac:dyDescent="0.15">
      <c r="A1670" s="3">
        <v>1669</v>
      </c>
      <c r="B1670" s="1" t="s">
        <v>1100</v>
      </c>
      <c r="C1670" s="1" t="s">
        <v>2075</v>
      </c>
      <c r="D1670" s="1" t="s">
        <v>1959</v>
      </c>
      <c r="E1670" s="1" t="s">
        <v>1958</v>
      </c>
      <c r="F1670" s="1" t="s">
        <v>1461</v>
      </c>
      <c r="G1670" s="3">
        <v>0</v>
      </c>
      <c r="H1670" s="20" t="s">
        <v>7119</v>
      </c>
      <c r="I1670" s="20" t="s">
        <v>4604</v>
      </c>
      <c r="J1670" s="20" t="s">
        <v>3160</v>
      </c>
      <c r="K1670" s="20" t="s">
        <v>10016</v>
      </c>
      <c r="L1670" s="3">
        <v>25</v>
      </c>
      <c r="M1670" s="3" t="s">
        <v>10156</v>
      </c>
      <c r="N1670" s="3" t="str">
        <f>HYPERLINK("http://ictvonline.org/taxonomyHistory.asp?taxnode_id=20161447","ICTVonline=20161447")</f>
        <v>ICTVonline=20161447</v>
      </c>
    </row>
    <row r="1671" spans="1:14" x14ac:dyDescent="0.15">
      <c r="A1671" s="3">
        <v>1670</v>
      </c>
      <c r="B1671" s="1" t="s">
        <v>1100</v>
      </c>
      <c r="C1671" s="1" t="s">
        <v>2075</v>
      </c>
      <c r="D1671" s="1" t="s">
        <v>1959</v>
      </c>
      <c r="E1671" s="1" t="s">
        <v>1958</v>
      </c>
      <c r="F1671" s="1" t="s">
        <v>1465</v>
      </c>
      <c r="G1671" s="3">
        <v>1</v>
      </c>
      <c r="H1671" s="20" t="s">
        <v>7120</v>
      </c>
      <c r="I1671" s="20" t="s">
        <v>4605</v>
      </c>
      <c r="J1671" s="20" t="s">
        <v>3160</v>
      </c>
      <c r="K1671" s="20" t="s">
        <v>10016</v>
      </c>
      <c r="L1671" s="3">
        <v>25</v>
      </c>
      <c r="M1671" s="3" t="s">
        <v>10156</v>
      </c>
      <c r="N1671" s="3" t="str">
        <f>HYPERLINK("http://ictvonline.org/taxonomyHistory.asp?taxnode_id=20161448","ICTVonline=20161448")</f>
        <v>ICTVonline=20161448</v>
      </c>
    </row>
    <row r="1672" spans="1:14" x14ac:dyDescent="0.15">
      <c r="A1672" s="3">
        <v>1671</v>
      </c>
      <c r="B1672" s="1" t="s">
        <v>1100</v>
      </c>
      <c r="C1672" s="1" t="s">
        <v>2075</v>
      </c>
      <c r="D1672" s="1" t="s">
        <v>1959</v>
      </c>
      <c r="E1672" s="1" t="s">
        <v>1958</v>
      </c>
      <c r="F1672" s="1" t="s">
        <v>1466</v>
      </c>
      <c r="G1672" s="3">
        <v>0</v>
      </c>
      <c r="H1672" s="20" t="s">
        <v>7121</v>
      </c>
      <c r="I1672" s="20" t="s">
        <v>4606</v>
      </c>
      <c r="J1672" s="20" t="s">
        <v>3160</v>
      </c>
      <c r="K1672" s="20" t="s">
        <v>10016</v>
      </c>
      <c r="L1672" s="3">
        <v>25</v>
      </c>
      <c r="M1672" s="3" t="s">
        <v>10156</v>
      </c>
      <c r="N1672" s="3" t="str">
        <f>HYPERLINK("http://ictvonline.org/taxonomyHistory.asp?taxnode_id=20161449","ICTVonline=20161449")</f>
        <v>ICTVonline=20161449</v>
      </c>
    </row>
    <row r="1673" spans="1:14" x14ac:dyDescent="0.15">
      <c r="A1673" s="3">
        <v>1672</v>
      </c>
      <c r="B1673" s="1" t="s">
        <v>1100</v>
      </c>
      <c r="C1673" s="1" t="s">
        <v>2075</v>
      </c>
      <c r="D1673" s="1" t="s">
        <v>1959</v>
      </c>
      <c r="E1673" s="1" t="s">
        <v>1958</v>
      </c>
      <c r="F1673" s="1" t="s">
        <v>1467</v>
      </c>
      <c r="G1673" s="3">
        <v>0</v>
      </c>
      <c r="H1673" s="20" t="s">
        <v>7122</v>
      </c>
      <c r="I1673" s="20" t="s">
        <v>4607</v>
      </c>
      <c r="J1673" s="20" t="s">
        <v>3160</v>
      </c>
      <c r="K1673" s="20" t="s">
        <v>10016</v>
      </c>
      <c r="L1673" s="3">
        <v>25</v>
      </c>
      <c r="M1673" s="3" t="s">
        <v>10156</v>
      </c>
      <c r="N1673" s="3" t="str">
        <f>HYPERLINK("http://ictvonline.org/taxonomyHistory.asp?taxnode_id=20161450","ICTVonline=20161450")</f>
        <v>ICTVonline=20161450</v>
      </c>
    </row>
    <row r="1674" spans="1:14" x14ac:dyDescent="0.15">
      <c r="A1674" s="3">
        <v>1673</v>
      </c>
      <c r="B1674" s="1" t="s">
        <v>1100</v>
      </c>
      <c r="C1674" s="1" t="s">
        <v>2075</v>
      </c>
      <c r="E1674" s="1" t="s">
        <v>649</v>
      </c>
      <c r="F1674" s="1" t="s">
        <v>650</v>
      </c>
      <c r="G1674" s="3">
        <v>0</v>
      </c>
      <c r="H1674" s="20" t="s">
        <v>7123</v>
      </c>
      <c r="I1674" s="20" t="s">
        <v>4608</v>
      </c>
      <c r="J1674" s="20" t="s">
        <v>3160</v>
      </c>
      <c r="K1674" s="20" t="s">
        <v>10016</v>
      </c>
      <c r="L1674" s="3">
        <v>25</v>
      </c>
      <c r="M1674" s="3" t="s">
        <v>10161</v>
      </c>
      <c r="N1674" s="3" t="str">
        <f>HYPERLINK("http://ictvonline.org/taxonomyHistory.asp?taxnode_id=20161453","ICTVonline=20161453")</f>
        <v>ICTVonline=20161453</v>
      </c>
    </row>
    <row r="1675" spans="1:14" x14ac:dyDescent="0.15">
      <c r="A1675" s="3">
        <v>1674</v>
      </c>
      <c r="B1675" s="1" t="s">
        <v>1100</v>
      </c>
      <c r="C1675" s="1" t="s">
        <v>2075</v>
      </c>
      <c r="E1675" s="1" t="s">
        <v>649</v>
      </c>
      <c r="F1675" s="1" t="s">
        <v>2411</v>
      </c>
      <c r="G1675" s="3">
        <v>0</v>
      </c>
      <c r="H1675" s="20" t="s">
        <v>7124</v>
      </c>
      <c r="I1675" s="20" t="s">
        <v>4609</v>
      </c>
      <c r="J1675" s="20" t="s">
        <v>3160</v>
      </c>
      <c r="K1675" s="20" t="s">
        <v>10013</v>
      </c>
      <c r="L1675" s="3">
        <v>28</v>
      </c>
      <c r="M1675" s="3" t="s">
        <v>10162</v>
      </c>
      <c r="N1675" s="3" t="str">
        <f>HYPERLINK("http://ictvonline.org/taxonomyHistory.asp?taxnode_id=20161454","ICTVonline=20161454")</f>
        <v>ICTVonline=20161454</v>
      </c>
    </row>
    <row r="1676" spans="1:14" x14ac:dyDescent="0.15">
      <c r="A1676" s="3">
        <v>1675</v>
      </c>
      <c r="B1676" s="1" t="s">
        <v>1100</v>
      </c>
      <c r="C1676" s="1" t="s">
        <v>2075</v>
      </c>
      <c r="E1676" s="1" t="s">
        <v>649</v>
      </c>
      <c r="F1676" s="1" t="s">
        <v>651</v>
      </c>
      <c r="G1676" s="3">
        <v>1</v>
      </c>
      <c r="H1676" s="20" t="s">
        <v>7125</v>
      </c>
      <c r="I1676" s="20" t="s">
        <v>4610</v>
      </c>
      <c r="J1676" s="20" t="s">
        <v>3160</v>
      </c>
      <c r="K1676" s="20" t="s">
        <v>10016</v>
      </c>
      <c r="L1676" s="3">
        <v>25</v>
      </c>
      <c r="M1676" s="3" t="s">
        <v>10161</v>
      </c>
      <c r="N1676" s="3" t="str">
        <f>HYPERLINK("http://ictvonline.org/taxonomyHistory.asp?taxnode_id=20161455","ICTVonline=20161455")</f>
        <v>ICTVonline=20161455</v>
      </c>
    </row>
    <row r="1677" spans="1:14" x14ac:dyDescent="0.15">
      <c r="A1677" s="3">
        <v>1676</v>
      </c>
      <c r="B1677" s="1" t="s">
        <v>1100</v>
      </c>
      <c r="C1677" s="1" t="s">
        <v>2075</v>
      </c>
      <c r="E1677" s="1" t="s">
        <v>649</v>
      </c>
      <c r="F1677" s="1" t="s">
        <v>9054</v>
      </c>
      <c r="G1677" s="3">
        <v>0</v>
      </c>
      <c r="H1677" s="20" t="s">
        <v>9055</v>
      </c>
      <c r="I1677" s="20" t="s">
        <v>9056</v>
      </c>
      <c r="J1677" s="20" t="s">
        <v>3160</v>
      </c>
      <c r="K1677" s="20" t="s">
        <v>10013</v>
      </c>
      <c r="L1677" s="3">
        <v>31</v>
      </c>
      <c r="M1677" s="3" t="s">
        <v>9057</v>
      </c>
      <c r="N1677" s="3" t="str">
        <f>HYPERLINK("http://ictvonline.org/taxonomyHistory.asp?taxnode_id=20165213","ICTVonline=20165213")</f>
        <v>ICTVonline=20165213</v>
      </c>
    </row>
    <row r="1678" spans="1:14" x14ac:dyDescent="0.15">
      <c r="A1678" s="3">
        <v>1677</v>
      </c>
      <c r="B1678" s="1" t="s">
        <v>1100</v>
      </c>
      <c r="C1678" s="1" t="s">
        <v>2075</v>
      </c>
      <c r="E1678" s="1" t="s">
        <v>649</v>
      </c>
      <c r="F1678" s="1" t="s">
        <v>652</v>
      </c>
      <c r="G1678" s="3">
        <v>0</v>
      </c>
      <c r="J1678" s="20" t="s">
        <v>3160</v>
      </c>
      <c r="K1678" s="20" t="s">
        <v>10016</v>
      </c>
      <c r="L1678" s="3">
        <v>25</v>
      </c>
      <c r="M1678" s="3" t="s">
        <v>10161</v>
      </c>
      <c r="N1678" s="3" t="str">
        <f>HYPERLINK("http://ictvonline.org/taxonomyHistory.asp?taxnode_id=20161456","ICTVonline=20161456")</f>
        <v>ICTVonline=20161456</v>
      </c>
    </row>
    <row r="1679" spans="1:14" x14ac:dyDescent="0.15">
      <c r="A1679" s="3">
        <v>1678</v>
      </c>
      <c r="B1679" s="1" t="s">
        <v>1100</v>
      </c>
      <c r="C1679" s="1" t="s">
        <v>2075</v>
      </c>
      <c r="E1679" s="1" t="s">
        <v>1845</v>
      </c>
      <c r="F1679" s="1" t="s">
        <v>1846</v>
      </c>
      <c r="G1679" s="3">
        <v>1</v>
      </c>
      <c r="H1679" s="20" t="s">
        <v>7126</v>
      </c>
      <c r="I1679" s="20" t="s">
        <v>4611</v>
      </c>
      <c r="J1679" s="20" t="s">
        <v>3160</v>
      </c>
      <c r="K1679" s="20" t="s">
        <v>10016</v>
      </c>
      <c r="L1679" s="3">
        <v>25</v>
      </c>
      <c r="M1679" s="3" t="s">
        <v>10161</v>
      </c>
      <c r="N1679" s="3" t="str">
        <f>HYPERLINK("http://ictvonline.org/taxonomyHistory.asp?taxnode_id=20161458","ICTVonline=20161458")</f>
        <v>ICTVonline=20161458</v>
      </c>
    </row>
    <row r="1680" spans="1:14" x14ac:dyDescent="0.15">
      <c r="A1680" s="3">
        <v>1679</v>
      </c>
      <c r="B1680" s="1" t="s">
        <v>1100</v>
      </c>
      <c r="C1680" s="1" t="s">
        <v>2075</v>
      </c>
      <c r="E1680" s="1" t="s">
        <v>645</v>
      </c>
      <c r="F1680" s="1" t="s">
        <v>2225</v>
      </c>
      <c r="G1680" s="3">
        <v>0</v>
      </c>
      <c r="H1680" s="20" t="s">
        <v>4612</v>
      </c>
      <c r="I1680" s="20" t="s">
        <v>4613</v>
      </c>
      <c r="J1680" s="20" t="s">
        <v>3160</v>
      </c>
      <c r="K1680" s="20" t="s">
        <v>10013</v>
      </c>
      <c r="L1680" s="3">
        <v>25</v>
      </c>
      <c r="M1680" s="3" t="s">
        <v>10163</v>
      </c>
      <c r="N1680" s="3" t="str">
        <f>HYPERLINK("http://ictvonline.org/taxonomyHistory.asp?taxnode_id=20161460","ICTVonline=20161460")</f>
        <v>ICTVonline=20161460</v>
      </c>
    </row>
    <row r="1681" spans="1:14" x14ac:dyDescent="0.15">
      <c r="A1681" s="3">
        <v>1680</v>
      </c>
      <c r="B1681" s="1" t="s">
        <v>1100</v>
      </c>
      <c r="C1681" s="1" t="s">
        <v>2075</v>
      </c>
      <c r="E1681" s="1" t="s">
        <v>645</v>
      </c>
      <c r="F1681" s="1" t="s">
        <v>646</v>
      </c>
      <c r="G1681" s="3">
        <v>0</v>
      </c>
      <c r="J1681" s="20" t="s">
        <v>3160</v>
      </c>
      <c r="K1681" s="20" t="s">
        <v>10016</v>
      </c>
      <c r="L1681" s="3">
        <v>25</v>
      </c>
      <c r="M1681" s="3" t="s">
        <v>10161</v>
      </c>
      <c r="N1681" s="3" t="str">
        <f>HYPERLINK("http://ictvonline.org/taxonomyHistory.asp?taxnode_id=20161461","ICTVonline=20161461")</f>
        <v>ICTVonline=20161461</v>
      </c>
    </row>
    <row r="1682" spans="1:14" x14ac:dyDescent="0.15">
      <c r="A1682" s="3">
        <v>1681</v>
      </c>
      <c r="B1682" s="1" t="s">
        <v>1100</v>
      </c>
      <c r="C1682" s="1" t="s">
        <v>2075</v>
      </c>
      <c r="E1682" s="1" t="s">
        <v>645</v>
      </c>
      <c r="F1682" s="1" t="s">
        <v>1555</v>
      </c>
      <c r="G1682" s="3">
        <v>1</v>
      </c>
      <c r="H1682" s="20" t="s">
        <v>4614</v>
      </c>
      <c r="I1682" s="20" t="s">
        <v>4615</v>
      </c>
      <c r="J1682" s="20" t="s">
        <v>3160</v>
      </c>
      <c r="K1682" s="20" t="s">
        <v>10016</v>
      </c>
      <c r="L1682" s="3">
        <v>25</v>
      </c>
      <c r="M1682" s="3" t="s">
        <v>10161</v>
      </c>
      <c r="N1682" s="3" t="str">
        <f>HYPERLINK("http://ictvonline.org/taxonomyHistory.asp?taxnode_id=20161462","ICTVonline=20161462")</f>
        <v>ICTVonline=20161462</v>
      </c>
    </row>
    <row r="1683" spans="1:14" x14ac:dyDescent="0.15">
      <c r="A1683" s="3">
        <v>1682</v>
      </c>
      <c r="B1683" s="1" t="s">
        <v>1100</v>
      </c>
      <c r="C1683" s="1" t="s">
        <v>2075</v>
      </c>
      <c r="E1683" s="1" t="s">
        <v>2072</v>
      </c>
      <c r="F1683" s="1" t="s">
        <v>4616</v>
      </c>
      <c r="G1683" s="3">
        <v>0</v>
      </c>
      <c r="H1683" s="20" t="s">
        <v>6800</v>
      </c>
      <c r="I1683" s="20" t="s">
        <v>4617</v>
      </c>
      <c r="J1683" s="20" t="s">
        <v>3160</v>
      </c>
      <c r="K1683" s="20" t="s">
        <v>10013</v>
      </c>
      <c r="L1683" s="3">
        <v>30</v>
      </c>
      <c r="M1683" s="3" t="s">
        <v>10164</v>
      </c>
      <c r="N1683" s="3" t="str">
        <f>HYPERLINK("http://ictvonline.org/taxonomyHistory.asp?taxnode_id=20161464","ICTVonline=20161464")</f>
        <v>ICTVonline=20161464</v>
      </c>
    </row>
    <row r="1684" spans="1:14" x14ac:dyDescent="0.15">
      <c r="A1684" s="3">
        <v>1683</v>
      </c>
      <c r="B1684" s="1" t="s">
        <v>1100</v>
      </c>
      <c r="C1684" s="1" t="s">
        <v>2075</v>
      </c>
      <c r="E1684" s="1" t="s">
        <v>2072</v>
      </c>
      <c r="F1684" s="1" t="s">
        <v>2749</v>
      </c>
      <c r="G1684" s="3">
        <v>0</v>
      </c>
      <c r="H1684" s="20" t="s">
        <v>7127</v>
      </c>
      <c r="I1684" s="20" t="s">
        <v>6437</v>
      </c>
      <c r="J1684" s="20" t="s">
        <v>3160</v>
      </c>
      <c r="K1684" s="20" t="s">
        <v>10013</v>
      </c>
      <c r="L1684" s="3">
        <v>29</v>
      </c>
      <c r="M1684" s="3" t="s">
        <v>10165</v>
      </c>
      <c r="N1684" s="3" t="str">
        <f>HYPERLINK("http://ictvonline.org/taxonomyHistory.asp?taxnode_id=20161465","ICTVonline=20161465")</f>
        <v>ICTVonline=20161465</v>
      </c>
    </row>
    <row r="1685" spans="1:14" x14ac:dyDescent="0.15">
      <c r="A1685" s="3">
        <v>1684</v>
      </c>
      <c r="B1685" s="1" t="s">
        <v>1100</v>
      </c>
      <c r="C1685" s="1" t="s">
        <v>2075</v>
      </c>
      <c r="E1685" s="1" t="s">
        <v>2072</v>
      </c>
      <c r="F1685" s="1" t="s">
        <v>4618</v>
      </c>
      <c r="G1685" s="3">
        <v>0</v>
      </c>
      <c r="H1685" s="20" t="s">
        <v>6801</v>
      </c>
      <c r="I1685" s="20" t="s">
        <v>4619</v>
      </c>
      <c r="J1685" s="20" t="s">
        <v>3160</v>
      </c>
      <c r="K1685" s="20" t="s">
        <v>10013</v>
      </c>
      <c r="L1685" s="3">
        <v>30</v>
      </c>
      <c r="M1685" s="3" t="s">
        <v>10164</v>
      </c>
      <c r="N1685" s="3" t="str">
        <f>HYPERLINK("http://ictvonline.org/taxonomyHistory.asp?taxnode_id=20161466","ICTVonline=20161466")</f>
        <v>ICTVonline=20161466</v>
      </c>
    </row>
    <row r="1686" spans="1:14" x14ac:dyDescent="0.15">
      <c r="A1686" s="3">
        <v>1685</v>
      </c>
      <c r="B1686" s="1" t="s">
        <v>1100</v>
      </c>
      <c r="C1686" s="1" t="s">
        <v>2075</v>
      </c>
      <c r="E1686" s="1" t="s">
        <v>2072</v>
      </c>
      <c r="F1686" s="1" t="s">
        <v>9058</v>
      </c>
      <c r="G1686" s="3">
        <v>0</v>
      </c>
      <c r="H1686" s="20" t="s">
        <v>9059</v>
      </c>
      <c r="I1686" s="20" t="s">
        <v>9060</v>
      </c>
      <c r="J1686" s="20" t="s">
        <v>3160</v>
      </c>
      <c r="K1686" s="20" t="s">
        <v>10013</v>
      </c>
      <c r="L1686" s="3">
        <v>31</v>
      </c>
      <c r="M1686" s="3" t="s">
        <v>9061</v>
      </c>
      <c r="N1686" s="3" t="str">
        <f>HYPERLINK("http://ictvonline.org/taxonomyHistory.asp?taxnode_id=20165214","ICTVonline=20165214")</f>
        <v>ICTVonline=20165214</v>
      </c>
    </row>
    <row r="1687" spans="1:14" x14ac:dyDescent="0.15">
      <c r="A1687" s="3">
        <v>1686</v>
      </c>
      <c r="B1687" s="1" t="s">
        <v>1100</v>
      </c>
      <c r="C1687" s="1" t="s">
        <v>2075</v>
      </c>
      <c r="E1687" s="1" t="s">
        <v>2072</v>
      </c>
      <c r="F1687" s="1" t="s">
        <v>2074</v>
      </c>
      <c r="G1687" s="3">
        <v>0</v>
      </c>
      <c r="H1687" s="20" t="s">
        <v>7128</v>
      </c>
      <c r="I1687" s="20" t="s">
        <v>4620</v>
      </c>
      <c r="J1687" s="20" t="s">
        <v>3160</v>
      </c>
      <c r="K1687" s="20" t="s">
        <v>10013</v>
      </c>
      <c r="L1687" s="3">
        <v>25</v>
      </c>
      <c r="M1687" s="3" t="s">
        <v>10166</v>
      </c>
      <c r="N1687" s="3" t="str">
        <f>HYPERLINK("http://ictvonline.org/taxonomyHistory.asp?taxnode_id=20161467","ICTVonline=20161467")</f>
        <v>ICTVonline=20161467</v>
      </c>
    </row>
    <row r="1688" spans="1:14" x14ac:dyDescent="0.15">
      <c r="A1688" s="3">
        <v>1687</v>
      </c>
      <c r="B1688" s="1" t="s">
        <v>1100</v>
      </c>
      <c r="C1688" s="1" t="s">
        <v>2075</v>
      </c>
      <c r="E1688" s="1" t="s">
        <v>2072</v>
      </c>
      <c r="F1688" s="1" t="s">
        <v>2073</v>
      </c>
      <c r="G1688" s="3">
        <v>1</v>
      </c>
      <c r="H1688" s="20" t="s">
        <v>7129</v>
      </c>
      <c r="I1688" s="20" t="s">
        <v>4621</v>
      </c>
      <c r="J1688" s="20" t="s">
        <v>3160</v>
      </c>
      <c r="K1688" s="20" t="s">
        <v>10072</v>
      </c>
      <c r="L1688" s="3">
        <v>25</v>
      </c>
      <c r="M1688" s="3" t="s">
        <v>10166</v>
      </c>
      <c r="N1688" s="3" t="str">
        <f>HYPERLINK("http://ictvonline.org/taxonomyHistory.asp?taxnode_id=20161468","ICTVonline=20161468")</f>
        <v>ICTVonline=20161468</v>
      </c>
    </row>
    <row r="1689" spans="1:14" x14ac:dyDescent="0.15">
      <c r="A1689" s="3">
        <v>1688</v>
      </c>
      <c r="B1689" s="1" t="s">
        <v>1100</v>
      </c>
      <c r="C1689" s="1" t="s">
        <v>2075</v>
      </c>
      <c r="E1689" s="1" t="s">
        <v>926</v>
      </c>
      <c r="F1689" s="1" t="s">
        <v>2226</v>
      </c>
      <c r="G1689" s="3">
        <v>0</v>
      </c>
      <c r="H1689" s="20" t="s">
        <v>7130</v>
      </c>
      <c r="I1689" s="20" t="s">
        <v>4622</v>
      </c>
      <c r="J1689" s="20" t="s">
        <v>3160</v>
      </c>
      <c r="K1689" s="20" t="s">
        <v>10013</v>
      </c>
      <c r="L1689" s="3">
        <v>25</v>
      </c>
      <c r="M1689" s="3" t="s">
        <v>10163</v>
      </c>
      <c r="N1689" s="3" t="str">
        <f>HYPERLINK("http://ictvonline.org/taxonomyHistory.asp?taxnode_id=20161470","ICTVonline=20161470")</f>
        <v>ICTVonline=20161470</v>
      </c>
    </row>
    <row r="1690" spans="1:14" x14ac:dyDescent="0.15">
      <c r="A1690" s="3">
        <v>1689</v>
      </c>
      <c r="B1690" s="1" t="s">
        <v>1100</v>
      </c>
      <c r="C1690" s="1" t="s">
        <v>2075</v>
      </c>
      <c r="E1690" s="1" t="s">
        <v>926</v>
      </c>
      <c r="F1690" s="1" t="s">
        <v>9062</v>
      </c>
      <c r="G1690" s="3">
        <v>0</v>
      </c>
      <c r="H1690" s="20" t="s">
        <v>9063</v>
      </c>
      <c r="I1690" s="20" t="s">
        <v>9064</v>
      </c>
      <c r="J1690" s="20" t="s">
        <v>3160</v>
      </c>
      <c r="K1690" s="20" t="s">
        <v>10013</v>
      </c>
      <c r="L1690" s="3">
        <v>31</v>
      </c>
      <c r="M1690" s="3" t="s">
        <v>9061</v>
      </c>
      <c r="N1690" s="3" t="str">
        <f>HYPERLINK("http://ictvonline.org/taxonomyHistory.asp?taxnode_id=20165215","ICTVonline=20165215")</f>
        <v>ICTVonline=20165215</v>
      </c>
    </row>
    <row r="1691" spans="1:14" x14ac:dyDescent="0.15">
      <c r="A1691" s="3">
        <v>1690</v>
      </c>
      <c r="B1691" s="1" t="s">
        <v>1100</v>
      </c>
      <c r="C1691" s="1" t="s">
        <v>2075</v>
      </c>
      <c r="E1691" s="1" t="s">
        <v>926</v>
      </c>
      <c r="F1691" s="1" t="s">
        <v>1847</v>
      </c>
      <c r="G1691" s="3">
        <v>0</v>
      </c>
      <c r="H1691" s="20" t="s">
        <v>7131</v>
      </c>
      <c r="I1691" s="20" t="s">
        <v>6802</v>
      </c>
      <c r="J1691" s="20" t="s">
        <v>3160</v>
      </c>
      <c r="K1691" s="20" t="s">
        <v>10016</v>
      </c>
      <c r="L1691" s="3">
        <v>25</v>
      </c>
      <c r="M1691" s="3" t="s">
        <v>10163</v>
      </c>
      <c r="N1691" s="3" t="str">
        <f>HYPERLINK("http://ictvonline.org/taxonomyHistory.asp?taxnode_id=20161471","ICTVonline=20161471")</f>
        <v>ICTVonline=20161471</v>
      </c>
    </row>
    <row r="1692" spans="1:14" x14ac:dyDescent="0.15">
      <c r="A1692" s="3">
        <v>1691</v>
      </c>
      <c r="B1692" s="1" t="s">
        <v>1100</v>
      </c>
      <c r="C1692" s="1" t="s">
        <v>2075</v>
      </c>
      <c r="E1692" s="1" t="s">
        <v>926</v>
      </c>
      <c r="F1692" s="1" t="s">
        <v>1848</v>
      </c>
      <c r="G1692" s="3">
        <v>0</v>
      </c>
      <c r="H1692" s="20" t="s">
        <v>7132</v>
      </c>
      <c r="I1692" s="20" t="s">
        <v>4623</v>
      </c>
      <c r="J1692" s="20" t="s">
        <v>3160</v>
      </c>
      <c r="K1692" s="20" t="s">
        <v>10016</v>
      </c>
      <c r="L1692" s="3">
        <v>25</v>
      </c>
      <c r="M1692" s="3" t="s">
        <v>10163</v>
      </c>
      <c r="N1692" s="3" t="str">
        <f>HYPERLINK("http://ictvonline.org/taxonomyHistory.asp?taxnode_id=20161472","ICTVonline=20161472")</f>
        <v>ICTVonline=20161472</v>
      </c>
    </row>
    <row r="1693" spans="1:14" x14ac:dyDescent="0.15">
      <c r="A1693" s="3">
        <v>1692</v>
      </c>
      <c r="B1693" s="1" t="s">
        <v>1100</v>
      </c>
      <c r="C1693" s="1" t="s">
        <v>2075</v>
      </c>
      <c r="E1693" s="1" t="s">
        <v>1955</v>
      </c>
      <c r="F1693" s="1" t="s">
        <v>647</v>
      </c>
      <c r="G1693" s="3">
        <v>0</v>
      </c>
      <c r="J1693" s="20" t="s">
        <v>3160</v>
      </c>
      <c r="K1693" s="20" t="s">
        <v>10016</v>
      </c>
      <c r="L1693" s="3">
        <v>25</v>
      </c>
      <c r="M1693" s="3" t="s">
        <v>10161</v>
      </c>
      <c r="N1693" s="3" t="str">
        <f>HYPERLINK("http://ictvonline.org/taxonomyHistory.asp?taxnode_id=20161474","ICTVonline=20161474")</f>
        <v>ICTVonline=20161474</v>
      </c>
    </row>
    <row r="1694" spans="1:14" x14ac:dyDescent="0.15">
      <c r="A1694" s="3">
        <v>1693</v>
      </c>
      <c r="B1694" s="1" t="s">
        <v>1100</v>
      </c>
      <c r="C1694" s="1" t="s">
        <v>2075</v>
      </c>
      <c r="E1694" s="1" t="s">
        <v>1955</v>
      </c>
      <c r="F1694" s="1" t="s">
        <v>9065</v>
      </c>
      <c r="G1694" s="3">
        <v>0</v>
      </c>
      <c r="H1694" s="20" t="s">
        <v>9066</v>
      </c>
      <c r="I1694" s="20" t="s">
        <v>9067</v>
      </c>
      <c r="J1694" s="20" t="s">
        <v>3160</v>
      </c>
      <c r="K1694" s="20" t="s">
        <v>10013</v>
      </c>
      <c r="L1694" s="3">
        <v>31</v>
      </c>
      <c r="M1694" s="3" t="s">
        <v>9061</v>
      </c>
      <c r="N1694" s="3" t="str">
        <f>HYPERLINK("http://ictvonline.org/taxonomyHistory.asp?taxnode_id=20165216","ICTVonline=20165216")</f>
        <v>ICTVonline=20165216</v>
      </c>
    </row>
    <row r="1695" spans="1:14" x14ac:dyDescent="0.15">
      <c r="A1695" s="3">
        <v>1694</v>
      </c>
      <c r="B1695" s="1" t="s">
        <v>1100</v>
      </c>
      <c r="C1695" s="1" t="s">
        <v>2075</v>
      </c>
      <c r="E1695" s="1" t="s">
        <v>1955</v>
      </c>
      <c r="F1695" s="1" t="s">
        <v>648</v>
      </c>
      <c r="G1695" s="3">
        <v>0</v>
      </c>
      <c r="H1695" s="20" t="s">
        <v>4624</v>
      </c>
      <c r="I1695" s="20" t="s">
        <v>4625</v>
      </c>
      <c r="J1695" s="20" t="s">
        <v>3160</v>
      </c>
      <c r="K1695" s="20" t="s">
        <v>10016</v>
      </c>
      <c r="L1695" s="3">
        <v>25</v>
      </c>
      <c r="M1695" s="3" t="s">
        <v>10161</v>
      </c>
      <c r="N1695" s="3" t="str">
        <f>HYPERLINK("http://ictvonline.org/taxonomyHistory.asp?taxnode_id=20161475","ICTVonline=20161475")</f>
        <v>ICTVonline=20161475</v>
      </c>
    </row>
    <row r="1696" spans="1:14" x14ac:dyDescent="0.15">
      <c r="A1696" s="3">
        <v>1695</v>
      </c>
      <c r="B1696" s="1" t="s">
        <v>1100</v>
      </c>
      <c r="C1696" s="1" t="s">
        <v>2075</v>
      </c>
      <c r="E1696" s="1" t="s">
        <v>1955</v>
      </c>
      <c r="F1696" s="1" t="s">
        <v>1556</v>
      </c>
      <c r="G1696" s="3">
        <v>1</v>
      </c>
      <c r="H1696" s="20" t="s">
        <v>4626</v>
      </c>
      <c r="I1696" s="20" t="s">
        <v>4627</v>
      </c>
      <c r="J1696" s="20" t="s">
        <v>3160</v>
      </c>
      <c r="K1696" s="20" t="s">
        <v>10016</v>
      </c>
      <c r="L1696" s="3">
        <v>25</v>
      </c>
      <c r="M1696" s="3" t="s">
        <v>10161</v>
      </c>
      <c r="N1696" s="3" t="str">
        <f>HYPERLINK("http://ictvonline.org/taxonomyHistory.asp?taxnode_id=20161476","ICTVonline=20161476")</f>
        <v>ICTVonline=20161476</v>
      </c>
    </row>
    <row r="1697" spans="1:14" x14ac:dyDescent="0.15">
      <c r="A1697" s="3">
        <v>1696</v>
      </c>
      <c r="B1697" s="1" t="s">
        <v>1100</v>
      </c>
      <c r="C1697" s="1" t="s">
        <v>926</v>
      </c>
      <c r="E1697" s="1" t="s">
        <v>7</v>
      </c>
      <c r="F1697" s="1" t="s">
        <v>6476</v>
      </c>
      <c r="G1697" s="3">
        <v>0</v>
      </c>
      <c r="H1697" s="20" t="s">
        <v>4628</v>
      </c>
      <c r="I1697" s="20" t="s">
        <v>4629</v>
      </c>
      <c r="J1697" s="20" t="s">
        <v>3160</v>
      </c>
      <c r="K1697" s="20" t="s">
        <v>10013</v>
      </c>
      <c r="L1697" s="3">
        <v>26</v>
      </c>
      <c r="M1697" s="3" t="s">
        <v>10167</v>
      </c>
      <c r="N1697" s="3" t="str">
        <f>HYPERLINK("http://ictvonline.org/taxonomyHistory.asp?taxnode_id=20161480","ICTVonline=20161480")</f>
        <v>ICTVonline=20161480</v>
      </c>
    </row>
    <row r="1698" spans="1:14" x14ac:dyDescent="0.15">
      <c r="A1698" s="3">
        <v>1697</v>
      </c>
      <c r="B1698" s="1" t="s">
        <v>1100</v>
      </c>
      <c r="C1698" s="1" t="s">
        <v>926</v>
      </c>
      <c r="E1698" s="1" t="s">
        <v>7</v>
      </c>
      <c r="F1698" s="1" t="s">
        <v>8</v>
      </c>
      <c r="G1698" s="3">
        <v>0</v>
      </c>
      <c r="H1698" s="20" t="s">
        <v>4630</v>
      </c>
      <c r="I1698" s="20" t="s">
        <v>4631</v>
      </c>
      <c r="J1698" s="20" t="s">
        <v>3160</v>
      </c>
      <c r="K1698" s="20" t="s">
        <v>10013</v>
      </c>
      <c r="L1698" s="3">
        <v>26</v>
      </c>
      <c r="M1698" s="3" t="s">
        <v>10167</v>
      </c>
      <c r="N1698" s="3" t="str">
        <f>HYPERLINK("http://ictvonline.org/taxonomyHistory.asp?taxnode_id=20161481","ICTVonline=20161481")</f>
        <v>ICTVonline=20161481</v>
      </c>
    </row>
    <row r="1699" spans="1:14" x14ac:dyDescent="0.15">
      <c r="A1699" s="3">
        <v>1698</v>
      </c>
      <c r="B1699" s="1" t="s">
        <v>1100</v>
      </c>
      <c r="C1699" s="1" t="s">
        <v>926</v>
      </c>
      <c r="E1699" s="1" t="s">
        <v>7</v>
      </c>
      <c r="F1699" s="1" t="s">
        <v>9</v>
      </c>
      <c r="G1699" s="3">
        <v>1</v>
      </c>
      <c r="H1699" s="20" t="s">
        <v>4632</v>
      </c>
      <c r="I1699" s="20" t="s">
        <v>4633</v>
      </c>
      <c r="J1699" s="20" t="s">
        <v>3160</v>
      </c>
      <c r="K1699" s="20" t="s">
        <v>10072</v>
      </c>
      <c r="L1699" s="3">
        <v>26</v>
      </c>
      <c r="M1699" s="3" t="s">
        <v>10167</v>
      </c>
      <c r="N1699" s="3" t="str">
        <f>HYPERLINK("http://ictvonline.org/taxonomyHistory.asp?taxnode_id=20161482","ICTVonline=20161482")</f>
        <v>ICTVonline=20161482</v>
      </c>
    </row>
    <row r="1700" spans="1:14" x14ac:dyDescent="0.15">
      <c r="A1700" s="3">
        <v>1699</v>
      </c>
      <c r="B1700" s="1" t="s">
        <v>1100</v>
      </c>
      <c r="C1700" s="1" t="s">
        <v>926</v>
      </c>
      <c r="E1700" s="1" t="s">
        <v>10</v>
      </c>
      <c r="F1700" s="1" t="s">
        <v>11</v>
      </c>
      <c r="G1700" s="3">
        <v>1</v>
      </c>
      <c r="H1700" s="20" t="s">
        <v>4634</v>
      </c>
      <c r="I1700" s="20" t="s">
        <v>4635</v>
      </c>
      <c r="J1700" s="20" t="s">
        <v>3160</v>
      </c>
      <c r="K1700" s="20" t="s">
        <v>10072</v>
      </c>
      <c r="L1700" s="3">
        <v>26</v>
      </c>
      <c r="M1700" s="3" t="s">
        <v>10168</v>
      </c>
      <c r="N1700" s="3" t="str">
        <f>HYPERLINK("http://ictvonline.org/taxonomyHistory.asp?taxnode_id=20161484","ICTVonline=20161484")</f>
        <v>ICTVonline=20161484</v>
      </c>
    </row>
    <row r="1701" spans="1:14" x14ac:dyDescent="0.15">
      <c r="A1701" s="3">
        <v>1700</v>
      </c>
      <c r="B1701" s="1" t="s">
        <v>1197</v>
      </c>
      <c r="C1701" s="1" t="s">
        <v>303</v>
      </c>
      <c r="E1701" s="1" t="s">
        <v>419</v>
      </c>
      <c r="F1701" s="1" t="s">
        <v>420</v>
      </c>
      <c r="G1701" s="3">
        <v>0</v>
      </c>
      <c r="J1701" s="20" t="s">
        <v>3160</v>
      </c>
      <c r="K1701" s="20" t="s">
        <v>10016</v>
      </c>
      <c r="L1701" s="3">
        <v>25</v>
      </c>
      <c r="M1701" s="3" t="s">
        <v>10169</v>
      </c>
      <c r="N1701" s="3" t="str">
        <f>HYPERLINK("http://ictvonline.org/taxonomyHistory.asp?taxnode_id=20161489","ICTVonline=20161489")</f>
        <v>ICTVonline=20161489</v>
      </c>
    </row>
    <row r="1702" spans="1:14" x14ac:dyDescent="0.15">
      <c r="A1702" s="3">
        <v>1701</v>
      </c>
      <c r="B1702" s="1" t="s">
        <v>1197</v>
      </c>
      <c r="C1702" s="1" t="s">
        <v>303</v>
      </c>
      <c r="E1702" s="1" t="s">
        <v>419</v>
      </c>
      <c r="F1702" s="1" t="s">
        <v>1551</v>
      </c>
      <c r="G1702" s="3">
        <v>0</v>
      </c>
      <c r="H1702" s="20" t="s">
        <v>4636</v>
      </c>
      <c r="I1702" s="20" t="s">
        <v>4637</v>
      </c>
      <c r="J1702" s="20" t="s">
        <v>3160</v>
      </c>
      <c r="K1702" s="20" t="s">
        <v>10016</v>
      </c>
      <c r="L1702" s="3">
        <v>25</v>
      </c>
      <c r="M1702" s="3" t="s">
        <v>10169</v>
      </c>
      <c r="N1702" s="3" t="str">
        <f>HYPERLINK("http://ictvonline.org/taxonomyHistory.asp?taxnode_id=20161490","ICTVonline=20161490")</f>
        <v>ICTVonline=20161490</v>
      </c>
    </row>
    <row r="1703" spans="1:14" x14ac:dyDescent="0.15">
      <c r="A1703" s="3">
        <v>1702</v>
      </c>
      <c r="B1703" s="1" t="s">
        <v>1197</v>
      </c>
      <c r="C1703" s="1" t="s">
        <v>303</v>
      </c>
      <c r="E1703" s="1" t="s">
        <v>419</v>
      </c>
      <c r="F1703" s="1" t="s">
        <v>1552</v>
      </c>
      <c r="G1703" s="3">
        <v>0</v>
      </c>
      <c r="H1703" s="20" t="s">
        <v>4638</v>
      </c>
      <c r="I1703" s="20" t="s">
        <v>4639</v>
      </c>
      <c r="J1703" s="20" t="s">
        <v>3160</v>
      </c>
      <c r="K1703" s="20" t="s">
        <v>10016</v>
      </c>
      <c r="L1703" s="3">
        <v>25</v>
      </c>
      <c r="M1703" s="3" t="s">
        <v>10169</v>
      </c>
      <c r="N1703" s="3" t="str">
        <f>HYPERLINK("http://ictvonline.org/taxonomyHistory.asp?taxnode_id=20161491","ICTVonline=20161491")</f>
        <v>ICTVonline=20161491</v>
      </c>
    </row>
    <row r="1704" spans="1:14" x14ac:dyDescent="0.15">
      <c r="A1704" s="3">
        <v>1703</v>
      </c>
      <c r="B1704" s="1" t="s">
        <v>1197</v>
      </c>
      <c r="C1704" s="1" t="s">
        <v>303</v>
      </c>
      <c r="E1704" s="1" t="s">
        <v>419</v>
      </c>
      <c r="F1704" s="1" t="s">
        <v>1553</v>
      </c>
      <c r="G1704" s="3">
        <v>0</v>
      </c>
      <c r="H1704" s="20" t="s">
        <v>4640</v>
      </c>
      <c r="I1704" s="20" t="s">
        <v>4637</v>
      </c>
      <c r="J1704" s="20" t="s">
        <v>3160</v>
      </c>
      <c r="K1704" s="20" t="s">
        <v>10016</v>
      </c>
      <c r="L1704" s="3">
        <v>25</v>
      </c>
      <c r="M1704" s="3" t="s">
        <v>10169</v>
      </c>
      <c r="N1704" s="3" t="str">
        <f>HYPERLINK("http://ictvonline.org/taxonomyHistory.asp?taxnode_id=20161492","ICTVonline=20161492")</f>
        <v>ICTVonline=20161492</v>
      </c>
    </row>
    <row r="1705" spans="1:14" x14ac:dyDescent="0.15">
      <c r="A1705" s="3">
        <v>1704</v>
      </c>
      <c r="B1705" s="1" t="s">
        <v>1197</v>
      </c>
      <c r="C1705" s="1" t="s">
        <v>303</v>
      </c>
      <c r="E1705" s="1" t="s">
        <v>419</v>
      </c>
      <c r="F1705" s="1" t="s">
        <v>422</v>
      </c>
      <c r="G1705" s="3">
        <v>0</v>
      </c>
      <c r="H1705" s="20" t="s">
        <v>4641</v>
      </c>
      <c r="I1705" s="20" t="s">
        <v>4642</v>
      </c>
      <c r="J1705" s="20" t="s">
        <v>3160</v>
      </c>
      <c r="K1705" s="20" t="s">
        <v>10016</v>
      </c>
      <c r="L1705" s="3">
        <v>25</v>
      </c>
      <c r="M1705" s="3" t="s">
        <v>10169</v>
      </c>
      <c r="N1705" s="3" t="str">
        <f>HYPERLINK("http://ictvonline.org/taxonomyHistory.asp?taxnode_id=20161493","ICTVonline=20161493")</f>
        <v>ICTVonline=20161493</v>
      </c>
    </row>
    <row r="1706" spans="1:14" x14ac:dyDescent="0.15">
      <c r="A1706" s="3">
        <v>1705</v>
      </c>
      <c r="B1706" s="1" t="s">
        <v>1197</v>
      </c>
      <c r="C1706" s="1" t="s">
        <v>303</v>
      </c>
      <c r="E1706" s="1" t="s">
        <v>419</v>
      </c>
      <c r="F1706" s="1" t="s">
        <v>423</v>
      </c>
      <c r="G1706" s="3">
        <v>0</v>
      </c>
      <c r="H1706" s="20" t="s">
        <v>4643</v>
      </c>
      <c r="I1706" s="20" t="s">
        <v>4644</v>
      </c>
      <c r="J1706" s="20" t="s">
        <v>3160</v>
      </c>
      <c r="K1706" s="20" t="s">
        <v>10016</v>
      </c>
      <c r="L1706" s="3">
        <v>25</v>
      </c>
      <c r="M1706" s="3" t="s">
        <v>10169</v>
      </c>
      <c r="N1706" s="3" t="str">
        <f>HYPERLINK("http://ictvonline.org/taxonomyHistory.asp?taxnode_id=20161494","ICTVonline=20161494")</f>
        <v>ICTVonline=20161494</v>
      </c>
    </row>
    <row r="1707" spans="1:14" x14ac:dyDescent="0.15">
      <c r="A1707" s="3">
        <v>1706</v>
      </c>
      <c r="B1707" s="1" t="s">
        <v>1197</v>
      </c>
      <c r="C1707" s="1" t="s">
        <v>303</v>
      </c>
      <c r="E1707" s="1" t="s">
        <v>419</v>
      </c>
      <c r="F1707" s="1" t="s">
        <v>424</v>
      </c>
      <c r="G1707" s="3">
        <v>0</v>
      </c>
      <c r="H1707" s="20" t="s">
        <v>4645</v>
      </c>
      <c r="I1707" s="20" t="s">
        <v>4646</v>
      </c>
      <c r="J1707" s="20" t="s">
        <v>3160</v>
      </c>
      <c r="K1707" s="20" t="s">
        <v>10016</v>
      </c>
      <c r="L1707" s="3">
        <v>25</v>
      </c>
      <c r="M1707" s="3" t="s">
        <v>10169</v>
      </c>
      <c r="N1707" s="3" t="str">
        <f>HYPERLINK("http://ictvonline.org/taxonomyHistory.asp?taxnode_id=20161495","ICTVonline=20161495")</f>
        <v>ICTVonline=20161495</v>
      </c>
    </row>
    <row r="1708" spans="1:14" x14ac:dyDescent="0.15">
      <c r="A1708" s="3">
        <v>1707</v>
      </c>
      <c r="B1708" s="1" t="s">
        <v>1197</v>
      </c>
      <c r="C1708" s="1" t="s">
        <v>303</v>
      </c>
      <c r="E1708" s="1" t="s">
        <v>419</v>
      </c>
      <c r="F1708" s="1" t="s">
        <v>425</v>
      </c>
      <c r="G1708" s="3">
        <v>1</v>
      </c>
      <c r="H1708" s="20" t="s">
        <v>4647</v>
      </c>
      <c r="I1708" s="20" t="s">
        <v>4648</v>
      </c>
      <c r="J1708" s="20" t="s">
        <v>3160</v>
      </c>
      <c r="K1708" s="20" t="s">
        <v>10016</v>
      </c>
      <c r="L1708" s="3">
        <v>25</v>
      </c>
      <c r="M1708" s="3" t="s">
        <v>10169</v>
      </c>
      <c r="N1708" s="3" t="str">
        <f>HYPERLINK("http://ictvonline.org/taxonomyHistory.asp?taxnode_id=20161496","ICTVonline=20161496")</f>
        <v>ICTVonline=20161496</v>
      </c>
    </row>
    <row r="1709" spans="1:14" x14ac:dyDescent="0.15">
      <c r="A1709" s="3">
        <v>1708</v>
      </c>
      <c r="B1709" s="1" t="s">
        <v>1197</v>
      </c>
      <c r="C1709" s="1" t="s">
        <v>303</v>
      </c>
      <c r="E1709" s="1" t="s">
        <v>725</v>
      </c>
      <c r="F1709" s="1" t="s">
        <v>1196</v>
      </c>
      <c r="G1709" s="3">
        <v>1</v>
      </c>
      <c r="H1709" s="20" t="s">
        <v>4649</v>
      </c>
      <c r="I1709" s="20" t="s">
        <v>4650</v>
      </c>
      <c r="J1709" s="20" t="s">
        <v>3160</v>
      </c>
      <c r="K1709" s="20" t="s">
        <v>10072</v>
      </c>
      <c r="L1709" s="3">
        <v>25</v>
      </c>
      <c r="M1709" s="3" t="s">
        <v>10170</v>
      </c>
      <c r="N1709" s="3" t="str">
        <f>HYPERLINK("http://ictvonline.org/taxonomyHistory.asp?taxnode_id=20161498","ICTVonline=20161498")</f>
        <v>ICTVonline=20161498</v>
      </c>
    </row>
    <row r="1710" spans="1:14" x14ac:dyDescent="0.15">
      <c r="A1710" s="3">
        <v>1709</v>
      </c>
      <c r="B1710" s="1" t="s">
        <v>1197</v>
      </c>
      <c r="C1710" s="1" t="s">
        <v>303</v>
      </c>
      <c r="E1710" s="1" t="s">
        <v>2202</v>
      </c>
      <c r="F1710" s="1" t="s">
        <v>2203</v>
      </c>
      <c r="G1710" s="3">
        <v>1</v>
      </c>
      <c r="H1710" s="20" t="s">
        <v>4651</v>
      </c>
      <c r="I1710" s="20" t="s">
        <v>4652</v>
      </c>
      <c r="J1710" s="20" t="s">
        <v>3160</v>
      </c>
      <c r="K1710" s="20" t="s">
        <v>10072</v>
      </c>
      <c r="L1710" s="3">
        <v>25</v>
      </c>
      <c r="M1710" s="3" t="s">
        <v>10171</v>
      </c>
      <c r="N1710" s="3" t="str">
        <f>HYPERLINK("http://ictvonline.org/taxonomyHistory.asp?taxnode_id=20161500","ICTVonline=20161500")</f>
        <v>ICTVonline=20161500</v>
      </c>
    </row>
    <row r="1711" spans="1:14" x14ac:dyDescent="0.15">
      <c r="A1711" s="3">
        <v>1710</v>
      </c>
      <c r="B1711" s="1" t="s">
        <v>1197</v>
      </c>
      <c r="C1711" s="1" t="s">
        <v>303</v>
      </c>
      <c r="E1711" s="1" t="s">
        <v>352</v>
      </c>
      <c r="F1711" s="4" t="s">
        <v>2412</v>
      </c>
      <c r="G1711" s="3">
        <v>0</v>
      </c>
      <c r="H1711" s="21" t="s">
        <v>4653</v>
      </c>
      <c r="I1711" s="21" t="s">
        <v>4654</v>
      </c>
      <c r="J1711" s="21" t="s">
        <v>3160</v>
      </c>
      <c r="K1711" s="21" t="s">
        <v>10013</v>
      </c>
      <c r="L1711" s="3">
        <v>28</v>
      </c>
      <c r="M1711" s="3" t="s">
        <v>10172</v>
      </c>
      <c r="N1711" s="3" t="str">
        <f>HYPERLINK("http://ictvonline.org/taxonomyHistory.asp?taxnode_id=20161502","ICTVonline=20161502")</f>
        <v>ICTVonline=20161502</v>
      </c>
    </row>
    <row r="1712" spans="1:14" x14ac:dyDescent="0.15">
      <c r="A1712" s="3">
        <v>1711</v>
      </c>
      <c r="B1712" s="1" t="s">
        <v>1197</v>
      </c>
      <c r="C1712" s="1" t="s">
        <v>303</v>
      </c>
      <c r="E1712" s="1" t="s">
        <v>352</v>
      </c>
      <c r="F1712" s="1" t="s">
        <v>1249</v>
      </c>
      <c r="G1712" s="3">
        <v>1</v>
      </c>
      <c r="H1712" s="20" t="s">
        <v>4655</v>
      </c>
      <c r="I1712" s="20" t="s">
        <v>4656</v>
      </c>
      <c r="J1712" s="20" t="s">
        <v>3160</v>
      </c>
      <c r="K1712" s="20" t="s">
        <v>10016</v>
      </c>
      <c r="L1712" s="3">
        <v>25</v>
      </c>
      <c r="M1712" s="3" t="s">
        <v>10169</v>
      </c>
      <c r="N1712" s="3" t="str">
        <f>HYPERLINK("http://ictvonline.org/taxonomyHistory.asp?taxnode_id=20161503","ICTVonline=20161503")</f>
        <v>ICTVonline=20161503</v>
      </c>
    </row>
    <row r="1713" spans="1:14" x14ac:dyDescent="0.15">
      <c r="A1713" s="3">
        <v>1712</v>
      </c>
      <c r="B1713" s="1" t="s">
        <v>1197</v>
      </c>
      <c r="C1713" s="1" t="s">
        <v>303</v>
      </c>
      <c r="E1713" s="1" t="s">
        <v>4657</v>
      </c>
      <c r="F1713" s="1" t="s">
        <v>4658</v>
      </c>
      <c r="G1713" s="3">
        <v>1</v>
      </c>
      <c r="H1713" s="20" t="s">
        <v>6803</v>
      </c>
      <c r="I1713" s="20" t="s">
        <v>4659</v>
      </c>
      <c r="J1713" s="20" t="s">
        <v>3160</v>
      </c>
      <c r="K1713" s="20" t="s">
        <v>10013</v>
      </c>
      <c r="L1713" s="3">
        <v>30</v>
      </c>
      <c r="M1713" s="3" t="s">
        <v>10173</v>
      </c>
      <c r="N1713" s="3" t="str">
        <f>HYPERLINK("http://ictvonline.org/taxonomyHistory.asp?taxnode_id=20161505","ICTVonline=20161505")</f>
        <v>ICTVonline=20161505</v>
      </c>
    </row>
    <row r="1714" spans="1:14" x14ac:dyDescent="0.15">
      <c r="A1714" s="3">
        <v>1713</v>
      </c>
      <c r="B1714" s="1" t="s">
        <v>1197</v>
      </c>
      <c r="C1714" s="1" t="s">
        <v>303</v>
      </c>
      <c r="E1714" s="1" t="s">
        <v>1250</v>
      </c>
      <c r="F1714" s="1" t="s">
        <v>2281</v>
      </c>
      <c r="G1714" s="3">
        <v>0</v>
      </c>
      <c r="H1714" s="20" t="s">
        <v>4660</v>
      </c>
      <c r="I1714" s="20" t="s">
        <v>4661</v>
      </c>
      <c r="J1714" s="20" t="s">
        <v>3160</v>
      </c>
      <c r="K1714" s="20" t="s">
        <v>10013</v>
      </c>
      <c r="L1714" s="3">
        <v>27</v>
      </c>
      <c r="M1714" s="3" t="s">
        <v>10174</v>
      </c>
      <c r="N1714" s="3" t="str">
        <f>HYPERLINK("http://ictvonline.org/taxonomyHistory.asp?taxnode_id=20161507","ICTVonline=20161507")</f>
        <v>ICTVonline=20161507</v>
      </c>
    </row>
    <row r="1715" spans="1:14" x14ac:dyDescent="0.15">
      <c r="A1715" s="3">
        <v>1714</v>
      </c>
      <c r="B1715" s="1" t="s">
        <v>1197</v>
      </c>
      <c r="C1715" s="1" t="s">
        <v>303</v>
      </c>
      <c r="E1715" s="1" t="s">
        <v>1250</v>
      </c>
      <c r="F1715" s="1" t="s">
        <v>232</v>
      </c>
      <c r="G1715" s="3">
        <v>0</v>
      </c>
      <c r="H1715" s="20" t="s">
        <v>4662</v>
      </c>
      <c r="I1715" s="20" t="s">
        <v>4663</v>
      </c>
      <c r="J1715" s="20" t="s">
        <v>3160</v>
      </c>
      <c r="K1715" s="20" t="s">
        <v>10016</v>
      </c>
      <c r="L1715" s="3">
        <v>25</v>
      </c>
      <c r="M1715" s="3" t="s">
        <v>10169</v>
      </c>
      <c r="N1715" s="3" t="str">
        <f>HYPERLINK("http://ictvonline.org/taxonomyHistory.asp?taxnode_id=20161508","ICTVonline=20161508")</f>
        <v>ICTVonline=20161508</v>
      </c>
    </row>
    <row r="1716" spans="1:14" x14ac:dyDescent="0.15">
      <c r="A1716" s="3">
        <v>1715</v>
      </c>
      <c r="B1716" s="1" t="s">
        <v>1197</v>
      </c>
      <c r="C1716" s="1" t="s">
        <v>303</v>
      </c>
      <c r="E1716" s="1" t="s">
        <v>1250</v>
      </c>
      <c r="F1716" s="1" t="s">
        <v>233</v>
      </c>
      <c r="G1716" s="3">
        <v>0</v>
      </c>
      <c r="H1716" s="20" t="s">
        <v>4664</v>
      </c>
      <c r="I1716" s="20" t="s">
        <v>4665</v>
      </c>
      <c r="J1716" s="20" t="s">
        <v>3160</v>
      </c>
      <c r="K1716" s="20" t="s">
        <v>10016</v>
      </c>
      <c r="L1716" s="3">
        <v>25</v>
      </c>
      <c r="M1716" s="3" t="s">
        <v>10169</v>
      </c>
      <c r="N1716" s="3" t="str">
        <f>HYPERLINK("http://ictvonline.org/taxonomyHistory.asp?taxnode_id=20161509","ICTVonline=20161509")</f>
        <v>ICTVonline=20161509</v>
      </c>
    </row>
    <row r="1717" spans="1:14" x14ac:dyDescent="0.15">
      <c r="A1717" s="3">
        <v>1716</v>
      </c>
      <c r="B1717" s="1" t="s">
        <v>1197</v>
      </c>
      <c r="C1717" s="1" t="s">
        <v>303</v>
      </c>
      <c r="E1717" s="1" t="s">
        <v>1250</v>
      </c>
      <c r="F1717" s="1" t="s">
        <v>234</v>
      </c>
      <c r="G1717" s="3">
        <v>0</v>
      </c>
      <c r="H1717" s="20" t="s">
        <v>4666</v>
      </c>
      <c r="I1717" s="20" t="s">
        <v>4667</v>
      </c>
      <c r="J1717" s="20" t="s">
        <v>3160</v>
      </c>
      <c r="K1717" s="20" t="s">
        <v>10016</v>
      </c>
      <c r="L1717" s="3">
        <v>25</v>
      </c>
      <c r="M1717" s="3" t="s">
        <v>10169</v>
      </c>
      <c r="N1717" s="3" t="str">
        <f>HYPERLINK("http://ictvonline.org/taxonomyHistory.asp?taxnode_id=20161510","ICTVonline=20161510")</f>
        <v>ICTVonline=20161510</v>
      </c>
    </row>
    <row r="1718" spans="1:14" x14ac:dyDescent="0.15">
      <c r="A1718" s="3">
        <v>1717</v>
      </c>
      <c r="B1718" s="1" t="s">
        <v>1197</v>
      </c>
      <c r="C1718" s="1" t="s">
        <v>303</v>
      </c>
      <c r="E1718" s="1" t="s">
        <v>1250</v>
      </c>
      <c r="F1718" s="1" t="s">
        <v>235</v>
      </c>
      <c r="G1718" s="3">
        <v>0</v>
      </c>
      <c r="H1718" s="20" t="s">
        <v>4668</v>
      </c>
      <c r="I1718" s="20" t="s">
        <v>4669</v>
      </c>
      <c r="J1718" s="20" t="s">
        <v>3160</v>
      </c>
      <c r="K1718" s="20" t="s">
        <v>10016</v>
      </c>
      <c r="L1718" s="3">
        <v>25</v>
      </c>
      <c r="M1718" s="3" t="s">
        <v>10169</v>
      </c>
      <c r="N1718" s="3" t="str">
        <f>HYPERLINK("http://ictvonline.org/taxonomyHistory.asp?taxnode_id=20161511","ICTVonline=20161511")</f>
        <v>ICTVonline=20161511</v>
      </c>
    </row>
    <row r="1719" spans="1:14" x14ac:dyDescent="0.15">
      <c r="A1719" s="3">
        <v>1718</v>
      </c>
      <c r="B1719" s="1" t="s">
        <v>1197</v>
      </c>
      <c r="C1719" s="1" t="s">
        <v>303</v>
      </c>
      <c r="E1719" s="1" t="s">
        <v>1250</v>
      </c>
      <c r="F1719" s="1" t="s">
        <v>236</v>
      </c>
      <c r="G1719" s="3">
        <v>0</v>
      </c>
      <c r="H1719" s="20" t="s">
        <v>4670</v>
      </c>
      <c r="I1719" s="20" t="s">
        <v>4671</v>
      </c>
      <c r="J1719" s="20" t="s">
        <v>3160</v>
      </c>
      <c r="K1719" s="20" t="s">
        <v>10016</v>
      </c>
      <c r="L1719" s="3">
        <v>25</v>
      </c>
      <c r="M1719" s="3" t="s">
        <v>10169</v>
      </c>
      <c r="N1719" s="3" t="str">
        <f>HYPERLINK("http://ictvonline.org/taxonomyHistory.asp?taxnode_id=20161512","ICTVonline=20161512")</f>
        <v>ICTVonline=20161512</v>
      </c>
    </row>
    <row r="1720" spans="1:14" x14ac:dyDescent="0.15">
      <c r="A1720" s="3">
        <v>1719</v>
      </c>
      <c r="B1720" s="1" t="s">
        <v>1197</v>
      </c>
      <c r="C1720" s="1" t="s">
        <v>303</v>
      </c>
      <c r="E1720" s="1" t="s">
        <v>1250</v>
      </c>
      <c r="F1720" s="1" t="s">
        <v>237</v>
      </c>
      <c r="G1720" s="3">
        <v>0</v>
      </c>
      <c r="H1720" s="20" t="s">
        <v>4672</v>
      </c>
      <c r="I1720" s="20" t="s">
        <v>4673</v>
      </c>
      <c r="J1720" s="20" t="s">
        <v>3160</v>
      </c>
      <c r="K1720" s="20" t="s">
        <v>10016</v>
      </c>
      <c r="L1720" s="3">
        <v>25</v>
      </c>
      <c r="M1720" s="3" t="s">
        <v>10169</v>
      </c>
      <c r="N1720" s="3" t="str">
        <f>HYPERLINK("http://ictvonline.org/taxonomyHistory.asp?taxnode_id=20161513","ICTVonline=20161513")</f>
        <v>ICTVonline=20161513</v>
      </c>
    </row>
    <row r="1721" spans="1:14" x14ac:dyDescent="0.15">
      <c r="A1721" s="3">
        <v>1720</v>
      </c>
      <c r="B1721" s="1" t="s">
        <v>1197</v>
      </c>
      <c r="C1721" s="1" t="s">
        <v>303</v>
      </c>
      <c r="E1721" s="1" t="s">
        <v>1250</v>
      </c>
      <c r="F1721" s="1" t="s">
        <v>238</v>
      </c>
      <c r="G1721" s="3">
        <v>0</v>
      </c>
      <c r="J1721" s="20" t="s">
        <v>3160</v>
      </c>
      <c r="K1721" s="20" t="s">
        <v>10016</v>
      </c>
      <c r="L1721" s="3">
        <v>25</v>
      </c>
      <c r="M1721" s="3" t="s">
        <v>10169</v>
      </c>
      <c r="N1721" s="3" t="str">
        <f>HYPERLINK("http://ictvonline.org/taxonomyHistory.asp?taxnode_id=20161514","ICTVonline=20161514")</f>
        <v>ICTVonline=20161514</v>
      </c>
    </row>
    <row r="1722" spans="1:14" x14ac:dyDescent="0.15">
      <c r="A1722" s="3">
        <v>1721</v>
      </c>
      <c r="B1722" s="1" t="s">
        <v>1197</v>
      </c>
      <c r="C1722" s="1" t="s">
        <v>303</v>
      </c>
      <c r="E1722" s="1" t="s">
        <v>1250</v>
      </c>
      <c r="F1722" s="1" t="s">
        <v>239</v>
      </c>
      <c r="G1722" s="3">
        <v>0</v>
      </c>
      <c r="H1722" s="20" t="s">
        <v>4674</v>
      </c>
      <c r="I1722" s="20" t="s">
        <v>4675</v>
      </c>
      <c r="J1722" s="20" t="s">
        <v>3160</v>
      </c>
      <c r="K1722" s="20" t="s">
        <v>10016</v>
      </c>
      <c r="L1722" s="23">
        <v>25</v>
      </c>
      <c r="M1722" s="23" t="s">
        <v>10169</v>
      </c>
      <c r="N1722" s="23" t="str">
        <f>HYPERLINK("http://ictvonline.org/taxonomyHistory.asp?taxnode_id=20161515","ICTVonline=20161515")</f>
        <v>ICTVonline=20161515</v>
      </c>
    </row>
    <row r="1723" spans="1:14" x14ac:dyDescent="0.15">
      <c r="A1723" s="3">
        <v>1722</v>
      </c>
      <c r="B1723" s="1" t="s">
        <v>1197</v>
      </c>
      <c r="C1723" s="1" t="s">
        <v>303</v>
      </c>
      <c r="E1723" s="1" t="s">
        <v>1250</v>
      </c>
      <c r="F1723" s="1" t="s">
        <v>240</v>
      </c>
      <c r="G1723" s="3">
        <v>0</v>
      </c>
      <c r="H1723" s="20" t="s">
        <v>4676</v>
      </c>
      <c r="I1723" s="20" t="s">
        <v>4677</v>
      </c>
      <c r="J1723" s="20" t="s">
        <v>3160</v>
      </c>
      <c r="K1723" s="20" t="s">
        <v>10016</v>
      </c>
      <c r="L1723" s="3">
        <v>25</v>
      </c>
      <c r="M1723" s="3" t="s">
        <v>10169</v>
      </c>
      <c r="N1723" s="3" t="str">
        <f>HYPERLINK("http://ictvonline.org/taxonomyHistory.asp?taxnode_id=20161516","ICTVonline=20161516")</f>
        <v>ICTVonline=20161516</v>
      </c>
    </row>
    <row r="1724" spans="1:14" x14ac:dyDescent="0.15">
      <c r="A1724" s="3">
        <v>1723</v>
      </c>
      <c r="B1724" s="1" t="s">
        <v>1197</v>
      </c>
      <c r="C1724" s="1" t="s">
        <v>303</v>
      </c>
      <c r="E1724" s="1" t="s">
        <v>1250</v>
      </c>
      <c r="F1724" s="1" t="s">
        <v>241</v>
      </c>
      <c r="G1724" s="3">
        <v>0</v>
      </c>
      <c r="H1724" s="20" t="s">
        <v>4678</v>
      </c>
      <c r="I1724" s="20" t="s">
        <v>4679</v>
      </c>
      <c r="J1724" s="20" t="s">
        <v>3160</v>
      </c>
      <c r="K1724" s="20" t="s">
        <v>10016</v>
      </c>
      <c r="L1724" s="3">
        <v>25</v>
      </c>
      <c r="M1724" s="3" t="s">
        <v>10169</v>
      </c>
      <c r="N1724" s="3" t="str">
        <f>HYPERLINK("http://ictvonline.org/taxonomyHistory.asp?taxnode_id=20161517","ICTVonline=20161517")</f>
        <v>ICTVonline=20161517</v>
      </c>
    </row>
    <row r="1725" spans="1:14" x14ac:dyDescent="0.15">
      <c r="A1725" s="3">
        <v>1724</v>
      </c>
      <c r="B1725" s="1" t="s">
        <v>1197</v>
      </c>
      <c r="C1725" s="1" t="s">
        <v>303</v>
      </c>
      <c r="E1725" s="1" t="s">
        <v>1250</v>
      </c>
      <c r="F1725" s="1" t="s">
        <v>1494</v>
      </c>
      <c r="G1725" s="3">
        <v>0</v>
      </c>
      <c r="H1725" s="20" t="s">
        <v>4680</v>
      </c>
      <c r="I1725" s="20" t="s">
        <v>4681</v>
      </c>
      <c r="J1725" s="20" t="s">
        <v>3160</v>
      </c>
      <c r="K1725" s="20" t="s">
        <v>10016</v>
      </c>
      <c r="L1725" s="3">
        <v>25</v>
      </c>
      <c r="M1725" s="3" t="s">
        <v>10169</v>
      </c>
      <c r="N1725" s="3" t="str">
        <f>HYPERLINK("http://ictvonline.org/taxonomyHistory.asp?taxnode_id=20161518","ICTVonline=20161518")</f>
        <v>ICTVonline=20161518</v>
      </c>
    </row>
    <row r="1726" spans="1:14" x14ac:dyDescent="0.15">
      <c r="A1726" s="3">
        <v>1725</v>
      </c>
      <c r="B1726" s="1" t="s">
        <v>1197</v>
      </c>
      <c r="C1726" s="1" t="s">
        <v>303</v>
      </c>
      <c r="E1726" s="1" t="s">
        <v>1250</v>
      </c>
      <c r="F1726" s="1" t="s">
        <v>1495</v>
      </c>
      <c r="G1726" s="3">
        <v>0</v>
      </c>
      <c r="H1726" s="20" t="s">
        <v>4682</v>
      </c>
      <c r="I1726" s="20" t="s">
        <v>4683</v>
      </c>
      <c r="J1726" s="20" t="s">
        <v>3160</v>
      </c>
      <c r="K1726" s="20" t="s">
        <v>10016</v>
      </c>
      <c r="L1726" s="3">
        <v>25</v>
      </c>
      <c r="M1726" s="3" t="s">
        <v>10169</v>
      </c>
      <c r="N1726" s="3" t="str">
        <f>HYPERLINK("http://ictvonline.org/taxonomyHistory.asp?taxnode_id=20161519","ICTVonline=20161519")</f>
        <v>ICTVonline=20161519</v>
      </c>
    </row>
    <row r="1727" spans="1:14" x14ac:dyDescent="0.15">
      <c r="A1727" s="3">
        <v>1726</v>
      </c>
      <c r="B1727" s="1" t="s">
        <v>1197</v>
      </c>
      <c r="C1727" s="1" t="s">
        <v>303</v>
      </c>
      <c r="E1727" s="1" t="s">
        <v>1250</v>
      </c>
      <c r="F1727" s="1" t="s">
        <v>2282</v>
      </c>
      <c r="G1727" s="3">
        <v>0</v>
      </c>
      <c r="J1727" s="20" t="s">
        <v>3160</v>
      </c>
      <c r="K1727" s="20" t="s">
        <v>10013</v>
      </c>
      <c r="L1727" s="3">
        <v>27</v>
      </c>
      <c r="M1727" s="3" t="s">
        <v>10174</v>
      </c>
      <c r="N1727" s="3" t="str">
        <f>HYPERLINK("http://ictvonline.org/taxonomyHistory.asp?taxnode_id=20161520","ICTVonline=20161520")</f>
        <v>ICTVonline=20161520</v>
      </c>
    </row>
    <row r="1728" spans="1:14" x14ac:dyDescent="0.15">
      <c r="A1728" s="3">
        <v>1727</v>
      </c>
      <c r="B1728" s="1" t="s">
        <v>1197</v>
      </c>
      <c r="C1728" s="1" t="s">
        <v>303</v>
      </c>
      <c r="E1728" s="1" t="s">
        <v>1250</v>
      </c>
      <c r="F1728" s="1" t="s">
        <v>2100</v>
      </c>
      <c r="G1728" s="3">
        <v>0</v>
      </c>
      <c r="H1728" s="20" t="s">
        <v>4684</v>
      </c>
      <c r="I1728" s="20" t="s">
        <v>4685</v>
      </c>
      <c r="J1728" s="20" t="s">
        <v>3160</v>
      </c>
      <c r="K1728" s="20" t="s">
        <v>10013</v>
      </c>
      <c r="L1728" s="3">
        <v>25</v>
      </c>
      <c r="M1728" s="3" t="s">
        <v>10175</v>
      </c>
      <c r="N1728" s="3" t="str">
        <f>HYPERLINK("http://ictvonline.org/taxonomyHistory.asp?taxnode_id=20161521","ICTVonline=20161521")</f>
        <v>ICTVonline=20161521</v>
      </c>
    </row>
    <row r="1729" spans="1:14" x14ac:dyDescent="0.15">
      <c r="A1729" s="3">
        <v>1728</v>
      </c>
      <c r="B1729" s="1" t="s">
        <v>1197</v>
      </c>
      <c r="C1729" s="1" t="s">
        <v>303</v>
      </c>
      <c r="E1729" s="1" t="s">
        <v>1250</v>
      </c>
      <c r="F1729" s="1" t="s">
        <v>463</v>
      </c>
      <c r="G1729" s="3">
        <v>0</v>
      </c>
      <c r="H1729" s="20" t="s">
        <v>4686</v>
      </c>
      <c r="I1729" s="20" t="s">
        <v>4661</v>
      </c>
      <c r="J1729" s="20" t="s">
        <v>3160</v>
      </c>
      <c r="K1729" s="20" t="s">
        <v>10016</v>
      </c>
      <c r="L1729" s="3">
        <v>25</v>
      </c>
      <c r="M1729" s="3" t="s">
        <v>10169</v>
      </c>
      <c r="N1729" s="3" t="str">
        <f>HYPERLINK("http://ictvonline.org/taxonomyHistory.asp?taxnode_id=20161522","ICTVonline=20161522")</f>
        <v>ICTVonline=20161522</v>
      </c>
    </row>
    <row r="1730" spans="1:14" x14ac:dyDescent="0.15">
      <c r="A1730" s="3">
        <v>1729</v>
      </c>
      <c r="B1730" s="1" t="s">
        <v>1197</v>
      </c>
      <c r="C1730" s="1" t="s">
        <v>303</v>
      </c>
      <c r="E1730" s="1" t="s">
        <v>1250</v>
      </c>
      <c r="F1730" s="1" t="s">
        <v>2199</v>
      </c>
      <c r="G1730" s="3">
        <v>0</v>
      </c>
      <c r="H1730" s="20" t="s">
        <v>4687</v>
      </c>
      <c r="I1730" s="20" t="s">
        <v>4688</v>
      </c>
      <c r="J1730" s="20" t="s">
        <v>3160</v>
      </c>
      <c r="K1730" s="20" t="s">
        <v>10013</v>
      </c>
      <c r="L1730" s="3">
        <v>25</v>
      </c>
      <c r="M1730" s="3" t="s">
        <v>10176</v>
      </c>
      <c r="N1730" s="3" t="str">
        <f>HYPERLINK("http://ictvonline.org/taxonomyHistory.asp?taxnode_id=20161523","ICTVonline=20161523")</f>
        <v>ICTVonline=20161523</v>
      </c>
    </row>
    <row r="1731" spans="1:14" x14ac:dyDescent="0.15">
      <c r="A1731" s="3">
        <v>1730</v>
      </c>
      <c r="B1731" s="1" t="s">
        <v>1197</v>
      </c>
      <c r="C1731" s="1" t="s">
        <v>303</v>
      </c>
      <c r="E1731" s="1" t="s">
        <v>1250</v>
      </c>
      <c r="F1731" s="1" t="s">
        <v>464</v>
      </c>
      <c r="G1731" s="3">
        <v>0</v>
      </c>
      <c r="H1731" s="20" t="s">
        <v>4689</v>
      </c>
      <c r="I1731" s="20" t="s">
        <v>4690</v>
      </c>
      <c r="J1731" s="20" t="s">
        <v>3160</v>
      </c>
      <c r="K1731" s="20" t="s">
        <v>10016</v>
      </c>
      <c r="L1731" s="3">
        <v>25</v>
      </c>
      <c r="M1731" s="3" t="s">
        <v>10169</v>
      </c>
      <c r="N1731" s="3" t="str">
        <f>HYPERLINK("http://ictvonline.org/taxonomyHistory.asp?taxnode_id=20161524","ICTVonline=20161524")</f>
        <v>ICTVonline=20161524</v>
      </c>
    </row>
    <row r="1732" spans="1:14" x14ac:dyDescent="0.15">
      <c r="A1732" s="3">
        <v>1731</v>
      </c>
      <c r="B1732" s="1" t="s">
        <v>1197</v>
      </c>
      <c r="C1732" s="1" t="s">
        <v>303</v>
      </c>
      <c r="E1732" s="1" t="s">
        <v>1250</v>
      </c>
      <c r="F1732" s="1" t="s">
        <v>465</v>
      </c>
      <c r="G1732" s="3">
        <v>0</v>
      </c>
      <c r="H1732" s="20" t="s">
        <v>4691</v>
      </c>
      <c r="I1732" s="20" t="s">
        <v>4692</v>
      </c>
      <c r="J1732" s="20" t="s">
        <v>3160</v>
      </c>
      <c r="K1732" s="20" t="s">
        <v>10016</v>
      </c>
      <c r="L1732" s="3">
        <v>25</v>
      </c>
      <c r="M1732" s="3" t="s">
        <v>10169</v>
      </c>
      <c r="N1732" s="3" t="str">
        <f>HYPERLINK("http://ictvonline.org/taxonomyHistory.asp?taxnode_id=20161525","ICTVonline=20161525")</f>
        <v>ICTVonline=20161525</v>
      </c>
    </row>
    <row r="1733" spans="1:14" x14ac:dyDescent="0.15">
      <c r="A1733" s="3">
        <v>1732</v>
      </c>
      <c r="B1733" s="1" t="s">
        <v>1197</v>
      </c>
      <c r="C1733" s="1" t="s">
        <v>303</v>
      </c>
      <c r="E1733" s="1" t="s">
        <v>1250</v>
      </c>
      <c r="F1733" s="1" t="s">
        <v>466</v>
      </c>
      <c r="G1733" s="3">
        <v>0</v>
      </c>
      <c r="H1733" s="20" t="s">
        <v>4693</v>
      </c>
      <c r="I1733" s="20" t="s">
        <v>4694</v>
      </c>
      <c r="J1733" s="20" t="s">
        <v>3160</v>
      </c>
      <c r="K1733" s="20" t="s">
        <v>10016</v>
      </c>
      <c r="L1733" s="3">
        <v>25</v>
      </c>
      <c r="M1733" s="3" t="s">
        <v>10169</v>
      </c>
      <c r="N1733" s="3" t="str">
        <f>HYPERLINK("http://ictvonline.org/taxonomyHistory.asp?taxnode_id=20161526","ICTVonline=20161526")</f>
        <v>ICTVonline=20161526</v>
      </c>
    </row>
    <row r="1734" spans="1:14" x14ac:dyDescent="0.15">
      <c r="A1734" s="3">
        <v>1733</v>
      </c>
      <c r="B1734" s="1" t="s">
        <v>1197</v>
      </c>
      <c r="C1734" s="1" t="s">
        <v>303</v>
      </c>
      <c r="E1734" s="1" t="s">
        <v>1250</v>
      </c>
      <c r="F1734" s="1" t="s">
        <v>467</v>
      </c>
      <c r="G1734" s="3">
        <v>0</v>
      </c>
      <c r="H1734" s="20" t="s">
        <v>4695</v>
      </c>
      <c r="I1734" s="20" t="s">
        <v>4696</v>
      </c>
      <c r="J1734" s="20" t="s">
        <v>3160</v>
      </c>
      <c r="K1734" s="20" t="s">
        <v>10016</v>
      </c>
      <c r="L1734" s="3">
        <v>25</v>
      </c>
      <c r="M1734" s="3" t="s">
        <v>10169</v>
      </c>
      <c r="N1734" s="3" t="str">
        <f>HYPERLINK("http://ictvonline.org/taxonomyHistory.asp?taxnode_id=20161527","ICTVonline=20161527")</f>
        <v>ICTVonline=20161527</v>
      </c>
    </row>
    <row r="1735" spans="1:14" x14ac:dyDescent="0.15">
      <c r="A1735" s="3">
        <v>1734</v>
      </c>
      <c r="B1735" s="1" t="s">
        <v>1197</v>
      </c>
      <c r="C1735" s="1" t="s">
        <v>303</v>
      </c>
      <c r="E1735" s="1" t="s">
        <v>1250</v>
      </c>
      <c r="F1735" s="1" t="s">
        <v>468</v>
      </c>
      <c r="G1735" s="3">
        <v>0</v>
      </c>
      <c r="H1735" s="20" t="s">
        <v>4697</v>
      </c>
      <c r="I1735" s="20" t="s">
        <v>4675</v>
      </c>
      <c r="J1735" s="20" t="s">
        <v>3160</v>
      </c>
      <c r="K1735" s="20" t="s">
        <v>10016</v>
      </c>
      <c r="L1735" s="3">
        <v>25</v>
      </c>
      <c r="M1735" s="3" t="s">
        <v>10169</v>
      </c>
      <c r="N1735" s="3" t="str">
        <f>HYPERLINK("http://ictvonline.org/taxonomyHistory.asp?taxnode_id=20161528","ICTVonline=20161528")</f>
        <v>ICTVonline=20161528</v>
      </c>
    </row>
    <row r="1736" spans="1:14" x14ac:dyDescent="0.15">
      <c r="A1736" s="3">
        <v>1735</v>
      </c>
      <c r="B1736" s="1" t="s">
        <v>1197</v>
      </c>
      <c r="C1736" s="1" t="s">
        <v>303</v>
      </c>
      <c r="E1736" s="1" t="s">
        <v>1250</v>
      </c>
      <c r="F1736" s="1" t="s">
        <v>1487</v>
      </c>
      <c r="G1736" s="3">
        <v>0</v>
      </c>
      <c r="H1736" s="20" t="s">
        <v>4698</v>
      </c>
      <c r="I1736" s="20" t="s">
        <v>4699</v>
      </c>
      <c r="J1736" s="20" t="s">
        <v>3160</v>
      </c>
      <c r="K1736" s="20" t="s">
        <v>10016</v>
      </c>
      <c r="L1736" s="3">
        <v>25</v>
      </c>
      <c r="M1736" s="3" t="s">
        <v>10169</v>
      </c>
      <c r="N1736" s="3" t="str">
        <f>HYPERLINK("http://ictvonline.org/taxonomyHistory.asp?taxnode_id=20161529","ICTVonline=20161529")</f>
        <v>ICTVonline=20161529</v>
      </c>
    </row>
    <row r="1737" spans="1:14" x14ac:dyDescent="0.15">
      <c r="A1737" s="3">
        <v>1736</v>
      </c>
      <c r="B1737" s="1" t="s">
        <v>1197</v>
      </c>
      <c r="C1737" s="1" t="s">
        <v>303</v>
      </c>
      <c r="E1737" s="1" t="s">
        <v>1250</v>
      </c>
      <c r="F1737" s="1" t="s">
        <v>2200</v>
      </c>
      <c r="G1737" s="3">
        <v>0</v>
      </c>
      <c r="H1737" s="20" t="s">
        <v>4700</v>
      </c>
      <c r="I1737" s="20" t="s">
        <v>4663</v>
      </c>
      <c r="J1737" s="20" t="s">
        <v>3160</v>
      </c>
      <c r="K1737" s="20" t="s">
        <v>10013</v>
      </c>
      <c r="L1737" s="3">
        <v>25</v>
      </c>
      <c r="M1737" s="3" t="s">
        <v>10176</v>
      </c>
      <c r="N1737" s="3" t="str">
        <f>HYPERLINK("http://ictvonline.org/taxonomyHistory.asp?taxnode_id=20161530","ICTVonline=20161530")</f>
        <v>ICTVonline=20161530</v>
      </c>
    </row>
    <row r="1738" spans="1:14" x14ac:dyDescent="0.15">
      <c r="A1738" s="3">
        <v>1737</v>
      </c>
      <c r="B1738" s="1" t="s">
        <v>1197</v>
      </c>
      <c r="C1738" s="1" t="s">
        <v>303</v>
      </c>
      <c r="E1738" s="1" t="s">
        <v>1250</v>
      </c>
      <c r="F1738" s="1" t="s">
        <v>1488</v>
      </c>
      <c r="G1738" s="3">
        <v>0</v>
      </c>
      <c r="H1738" s="20" t="s">
        <v>4701</v>
      </c>
      <c r="I1738" s="20" t="s">
        <v>4702</v>
      </c>
      <c r="J1738" s="20" t="s">
        <v>3160</v>
      </c>
      <c r="K1738" s="20" t="s">
        <v>10016</v>
      </c>
      <c r="L1738" s="3">
        <v>25</v>
      </c>
      <c r="M1738" s="3" t="s">
        <v>10169</v>
      </c>
      <c r="N1738" s="3" t="str">
        <f>HYPERLINK("http://ictvonline.org/taxonomyHistory.asp?taxnode_id=20161531","ICTVonline=20161531")</f>
        <v>ICTVonline=20161531</v>
      </c>
    </row>
    <row r="1739" spans="1:14" x14ac:dyDescent="0.15">
      <c r="A1739" s="3">
        <v>1738</v>
      </c>
      <c r="B1739" s="1" t="s">
        <v>1197</v>
      </c>
      <c r="C1739" s="1" t="s">
        <v>303</v>
      </c>
      <c r="E1739" s="1" t="s">
        <v>1250</v>
      </c>
      <c r="F1739" s="1" t="s">
        <v>1489</v>
      </c>
      <c r="G1739" s="3">
        <v>0</v>
      </c>
      <c r="J1739" s="20" t="s">
        <v>3160</v>
      </c>
      <c r="K1739" s="20" t="s">
        <v>10016</v>
      </c>
      <c r="L1739" s="3">
        <v>25</v>
      </c>
      <c r="M1739" s="3" t="s">
        <v>10169</v>
      </c>
      <c r="N1739" s="3" t="str">
        <f>HYPERLINK("http://ictvonline.org/taxonomyHistory.asp?taxnode_id=20161532","ICTVonline=20161532")</f>
        <v>ICTVonline=20161532</v>
      </c>
    </row>
    <row r="1740" spans="1:14" x14ac:dyDescent="0.15">
      <c r="A1740" s="3">
        <v>1739</v>
      </c>
      <c r="B1740" s="1" t="s">
        <v>1197</v>
      </c>
      <c r="C1740" s="1" t="s">
        <v>303</v>
      </c>
      <c r="E1740" s="1" t="s">
        <v>1250</v>
      </c>
      <c r="F1740" s="1" t="s">
        <v>1490</v>
      </c>
      <c r="G1740" s="3">
        <v>0</v>
      </c>
      <c r="H1740" s="20" t="s">
        <v>4703</v>
      </c>
      <c r="I1740" s="20" t="s">
        <v>4704</v>
      </c>
      <c r="J1740" s="20" t="s">
        <v>3160</v>
      </c>
      <c r="K1740" s="20" t="s">
        <v>10016</v>
      </c>
      <c r="L1740" s="3">
        <v>25</v>
      </c>
      <c r="M1740" s="3" t="s">
        <v>10169</v>
      </c>
      <c r="N1740" s="3" t="str">
        <f>HYPERLINK("http://ictvonline.org/taxonomyHistory.asp?taxnode_id=20161533","ICTVonline=20161533")</f>
        <v>ICTVonline=20161533</v>
      </c>
    </row>
    <row r="1741" spans="1:14" x14ac:dyDescent="0.15">
      <c r="A1741" s="3">
        <v>1740</v>
      </c>
      <c r="B1741" s="1" t="s">
        <v>1197</v>
      </c>
      <c r="C1741" s="1" t="s">
        <v>303</v>
      </c>
      <c r="E1741" s="1" t="s">
        <v>1250</v>
      </c>
      <c r="F1741" s="1" t="s">
        <v>1491</v>
      </c>
      <c r="G1741" s="3">
        <v>1</v>
      </c>
      <c r="H1741" s="20" t="s">
        <v>4705</v>
      </c>
      <c r="I1741" s="20" t="s">
        <v>4706</v>
      </c>
      <c r="J1741" s="20" t="s">
        <v>3160</v>
      </c>
      <c r="K1741" s="20" t="s">
        <v>10016</v>
      </c>
      <c r="L1741" s="3">
        <v>25</v>
      </c>
      <c r="M1741" s="3" t="s">
        <v>10169</v>
      </c>
      <c r="N1741" s="3" t="str">
        <f>HYPERLINK("http://ictvonline.org/taxonomyHistory.asp?taxnode_id=20161534","ICTVonline=20161534")</f>
        <v>ICTVonline=20161534</v>
      </c>
    </row>
    <row r="1742" spans="1:14" x14ac:dyDescent="0.15">
      <c r="A1742" s="3">
        <v>1741</v>
      </c>
      <c r="B1742" s="1" t="s">
        <v>1197</v>
      </c>
      <c r="C1742" s="1" t="s">
        <v>303</v>
      </c>
      <c r="E1742" s="1" t="s">
        <v>1250</v>
      </c>
      <c r="F1742" s="1" t="s">
        <v>1492</v>
      </c>
      <c r="G1742" s="3">
        <v>0</v>
      </c>
      <c r="H1742" s="20" t="s">
        <v>4707</v>
      </c>
      <c r="I1742" s="20" t="s">
        <v>4708</v>
      </c>
      <c r="J1742" s="20" t="s">
        <v>3160</v>
      </c>
      <c r="K1742" s="20" t="s">
        <v>10016</v>
      </c>
      <c r="L1742" s="3">
        <v>25</v>
      </c>
      <c r="M1742" s="3" t="s">
        <v>10169</v>
      </c>
      <c r="N1742" s="3" t="str">
        <f>HYPERLINK("http://ictvonline.org/taxonomyHistory.asp?taxnode_id=20161535","ICTVonline=20161535")</f>
        <v>ICTVonline=20161535</v>
      </c>
    </row>
    <row r="1743" spans="1:14" x14ac:dyDescent="0.15">
      <c r="A1743" s="3">
        <v>1742</v>
      </c>
      <c r="B1743" s="1" t="s">
        <v>1197</v>
      </c>
      <c r="C1743" s="1" t="s">
        <v>303</v>
      </c>
      <c r="E1743" s="1" t="s">
        <v>1250</v>
      </c>
      <c r="F1743" s="1" t="s">
        <v>1499</v>
      </c>
      <c r="G1743" s="3">
        <v>0</v>
      </c>
      <c r="H1743" s="20" t="s">
        <v>4709</v>
      </c>
      <c r="I1743" s="20" t="s">
        <v>4710</v>
      </c>
      <c r="J1743" s="20" t="s">
        <v>3160</v>
      </c>
      <c r="K1743" s="20" t="s">
        <v>10016</v>
      </c>
      <c r="L1743" s="3">
        <v>25</v>
      </c>
      <c r="M1743" s="3" t="s">
        <v>10169</v>
      </c>
      <c r="N1743" s="3" t="str">
        <f>HYPERLINK("http://ictvonline.org/taxonomyHistory.asp?taxnode_id=20161536","ICTVonline=20161536")</f>
        <v>ICTVonline=20161536</v>
      </c>
    </row>
    <row r="1744" spans="1:14" x14ac:dyDescent="0.15">
      <c r="A1744" s="3">
        <v>1743</v>
      </c>
      <c r="B1744" s="1" t="s">
        <v>1197</v>
      </c>
      <c r="C1744" s="1" t="s">
        <v>303</v>
      </c>
      <c r="E1744" s="1" t="s">
        <v>1250</v>
      </c>
      <c r="F1744" s="1" t="s">
        <v>1500</v>
      </c>
      <c r="G1744" s="3">
        <v>0</v>
      </c>
      <c r="H1744" s="20" t="s">
        <v>4711</v>
      </c>
      <c r="I1744" s="20" t="s">
        <v>4712</v>
      </c>
      <c r="J1744" s="20" t="s">
        <v>3160</v>
      </c>
      <c r="K1744" s="20" t="s">
        <v>10016</v>
      </c>
      <c r="L1744" s="3">
        <v>25</v>
      </c>
      <c r="M1744" s="3" t="s">
        <v>10169</v>
      </c>
      <c r="N1744" s="3" t="str">
        <f>HYPERLINK("http://ictvonline.org/taxonomyHistory.asp?taxnode_id=20161537","ICTVonline=20161537")</f>
        <v>ICTVonline=20161537</v>
      </c>
    </row>
    <row r="1745" spans="1:14" x14ac:dyDescent="0.15">
      <c r="A1745" s="3">
        <v>1744</v>
      </c>
      <c r="B1745" s="1" t="s">
        <v>1197</v>
      </c>
      <c r="C1745" s="1" t="s">
        <v>303</v>
      </c>
      <c r="E1745" s="1" t="s">
        <v>1250</v>
      </c>
      <c r="F1745" s="1" t="s">
        <v>1496</v>
      </c>
      <c r="G1745" s="3">
        <v>0</v>
      </c>
      <c r="H1745" s="20" t="s">
        <v>4713</v>
      </c>
      <c r="I1745" s="20" t="s">
        <v>4694</v>
      </c>
      <c r="J1745" s="20" t="s">
        <v>3160</v>
      </c>
      <c r="K1745" s="20" t="s">
        <v>10016</v>
      </c>
      <c r="L1745" s="3">
        <v>25</v>
      </c>
      <c r="M1745" s="3" t="s">
        <v>10169</v>
      </c>
      <c r="N1745" s="3" t="str">
        <f>HYPERLINK("http://ictvonline.org/taxonomyHistory.asp?taxnode_id=20161538","ICTVonline=20161538")</f>
        <v>ICTVonline=20161538</v>
      </c>
    </row>
    <row r="1746" spans="1:14" x14ac:dyDescent="0.15">
      <c r="A1746" s="3">
        <v>1745</v>
      </c>
      <c r="B1746" s="1" t="s">
        <v>1197</v>
      </c>
      <c r="C1746" s="1" t="s">
        <v>303</v>
      </c>
      <c r="E1746" s="1" t="s">
        <v>1250</v>
      </c>
      <c r="F1746" s="1" t="s">
        <v>1497</v>
      </c>
      <c r="G1746" s="3">
        <v>0</v>
      </c>
      <c r="H1746" s="20" t="s">
        <v>4714</v>
      </c>
      <c r="I1746" s="20" t="s">
        <v>4715</v>
      </c>
      <c r="J1746" s="20" t="s">
        <v>3160</v>
      </c>
      <c r="K1746" s="20" t="s">
        <v>10016</v>
      </c>
      <c r="L1746" s="3">
        <v>25</v>
      </c>
      <c r="M1746" s="3" t="s">
        <v>10169</v>
      </c>
      <c r="N1746" s="3" t="str">
        <f>HYPERLINK("http://ictvonline.org/taxonomyHistory.asp?taxnode_id=20161539","ICTVonline=20161539")</f>
        <v>ICTVonline=20161539</v>
      </c>
    </row>
    <row r="1747" spans="1:14" x14ac:dyDescent="0.15">
      <c r="A1747" s="3">
        <v>1746</v>
      </c>
      <c r="B1747" s="1" t="s">
        <v>1197</v>
      </c>
      <c r="C1747" s="1" t="s">
        <v>303</v>
      </c>
      <c r="E1747" s="1" t="s">
        <v>1250</v>
      </c>
      <c r="F1747" s="1" t="s">
        <v>4716</v>
      </c>
      <c r="G1747" s="3">
        <v>0</v>
      </c>
      <c r="H1747" s="20" t="s">
        <v>6804</v>
      </c>
      <c r="I1747" s="20" t="s">
        <v>4717</v>
      </c>
      <c r="J1747" s="20" t="s">
        <v>3160</v>
      </c>
      <c r="K1747" s="20" t="s">
        <v>10013</v>
      </c>
      <c r="L1747" s="3">
        <v>30</v>
      </c>
      <c r="M1747" s="3" t="s">
        <v>10177</v>
      </c>
      <c r="N1747" s="3" t="str">
        <f>HYPERLINK("http://ictvonline.org/taxonomyHistory.asp?taxnode_id=20161540","ICTVonline=20161540")</f>
        <v>ICTVonline=20161540</v>
      </c>
    </row>
    <row r="1748" spans="1:14" x14ac:dyDescent="0.15">
      <c r="A1748" s="3">
        <v>1747</v>
      </c>
      <c r="B1748" s="1" t="s">
        <v>1197</v>
      </c>
      <c r="C1748" s="1" t="s">
        <v>303</v>
      </c>
      <c r="E1748" s="1" t="s">
        <v>1250</v>
      </c>
      <c r="F1748" s="1" t="s">
        <v>1498</v>
      </c>
      <c r="G1748" s="3">
        <v>0</v>
      </c>
      <c r="H1748" s="20" t="s">
        <v>4718</v>
      </c>
      <c r="I1748" s="20" t="s">
        <v>4719</v>
      </c>
      <c r="J1748" s="20" t="s">
        <v>3160</v>
      </c>
      <c r="K1748" s="20" t="s">
        <v>10016</v>
      </c>
      <c r="L1748" s="3">
        <v>25</v>
      </c>
      <c r="M1748" s="3" t="s">
        <v>10169</v>
      </c>
      <c r="N1748" s="3" t="str">
        <f>HYPERLINK("http://ictvonline.org/taxonomyHistory.asp?taxnode_id=20161541","ICTVonline=20161541")</f>
        <v>ICTVonline=20161541</v>
      </c>
    </row>
    <row r="1749" spans="1:14" x14ac:dyDescent="0.15">
      <c r="A1749" s="3">
        <v>1748</v>
      </c>
      <c r="B1749" s="1" t="s">
        <v>1197</v>
      </c>
      <c r="C1749" s="1" t="s">
        <v>303</v>
      </c>
      <c r="E1749" s="1" t="s">
        <v>1751</v>
      </c>
      <c r="F1749" s="1" t="s">
        <v>1557</v>
      </c>
      <c r="G1749" s="3">
        <v>1</v>
      </c>
      <c r="H1749" s="20" t="s">
        <v>4720</v>
      </c>
      <c r="I1749" s="20" t="s">
        <v>4721</v>
      </c>
      <c r="J1749" s="20" t="s">
        <v>3160</v>
      </c>
      <c r="K1749" s="20" t="s">
        <v>10072</v>
      </c>
      <c r="L1749" s="3">
        <v>25</v>
      </c>
      <c r="M1749" s="3" t="s">
        <v>10178</v>
      </c>
      <c r="N1749" s="3" t="str">
        <f>HYPERLINK("http://ictvonline.org/taxonomyHistory.asp?taxnode_id=20161543","ICTVonline=20161543")</f>
        <v>ICTVonline=20161543</v>
      </c>
    </row>
    <row r="1750" spans="1:14" x14ac:dyDescent="0.15">
      <c r="A1750" s="3">
        <v>1749</v>
      </c>
      <c r="B1750" s="1" t="s">
        <v>1197</v>
      </c>
      <c r="C1750" s="1" t="s">
        <v>303</v>
      </c>
      <c r="E1750" s="1" t="s">
        <v>926</v>
      </c>
      <c r="F1750" s="1" t="s">
        <v>2283</v>
      </c>
      <c r="G1750" s="3">
        <v>0</v>
      </c>
      <c r="H1750" s="20" t="s">
        <v>4722</v>
      </c>
      <c r="I1750" s="20" t="s">
        <v>4723</v>
      </c>
      <c r="J1750" s="20" t="s">
        <v>3160</v>
      </c>
      <c r="K1750" s="20" t="s">
        <v>10013</v>
      </c>
      <c r="L1750" s="3">
        <v>27</v>
      </c>
      <c r="M1750" s="3" t="s">
        <v>10174</v>
      </c>
      <c r="N1750" s="3" t="str">
        <f>HYPERLINK("http://ictvonline.org/taxonomyHistory.asp?taxnode_id=20161545","ICTVonline=20161545")</f>
        <v>ICTVonline=20161545</v>
      </c>
    </row>
    <row r="1751" spans="1:14" x14ac:dyDescent="0.15">
      <c r="A1751" s="3">
        <v>1750</v>
      </c>
      <c r="B1751" s="1" t="s">
        <v>1197</v>
      </c>
      <c r="C1751" s="1" t="s">
        <v>1198</v>
      </c>
      <c r="D1751" s="1" t="s">
        <v>4724</v>
      </c>
      <c r="E1751" s="1" t="s">
        <v>429</v>
      </c>
      <c r="F1751" s="1" t="s">
        <v>430</v>
      </c>
      <c r="G1751" s="3">
        <v>0</v>
      </c>
      <c r="H1751" s="20" t="s">
        <v>4725</v>
      </c>
      <c r="I1751" s="20" t="s">
        <v>4726</v>
      </c>
      <c r="J1751" s="20" t="s">
        <v>3160</v>
      </c>
      <c r="K1751" s="20" t="s">
        <v>10016</v>
      </c>
      <c r="L1751" s="3">
        <v>30</v>
      </c>
      <c r="M1751" s="3" t="s">
        <v>10179</v>
      </c>
      <c r="N1751" s="3" t="str">
        <f>HYPERLINK("http://ictvonline.org/taxonomyHistory.asp?taxnode_id=20161549","ICTVonline=20161549")</f>
        <v>ICTVonline=20161549</v>
      </c>
    </row>
    <row r="1752" spans="1:14" x14ac:dyDescent="0.15">
      <c r="A1752" s="3">
        <v>1751</v>
      </c>
      <c r="B1752" s="1" t="s">
        <v>1197</v>
      </c>
      <c r="C1752" s="1" t="s">
        <v>1198</v>
      </c>
      <c r="D1752" s="1" t="s">
        <v>4724</v>
      </c>
      <c r="E1752" s="1" t="s">
        <v>429</v>
      </c>
      <c r="F1752" s="1" t="s">
        <v>431</v>
      </c>
      <c r="G1752" s="3">
        <v>0</v>
      </c>
      <c r="H1752" s="20" t="s">
        <v>4727</v>
      </c>
      <c r="I1752" s="20" t="s">
        <v>4728</v>
      </c>
      <c r="J1752" s="20" t="s">
        <v>3160</v>
      </c>
      <c r="K1752" s="20" t="s">
        <v>10016</v>
      </c>
      <c r="L1752" s="3">
        <v>30</v>
      </c>
      <c r="M1752" s="3" t="s">
        <v>10179</v>
      </c>
      <c r="N1752" s="3" t="str">
        <f>HYPERLINK("http://ictvonline.org/taxonomyHistory.asp?taxnode_id=20161550","ICTVonline=20161550")</f>
        <v>ICTVonline=20161550</v>
      </c>
    </row>
    <row r="1753" spans="1:14" x14ac:dyDescent="0.15">
      <c r="A1753" s="3">
        <v>1752</v>
      </c>
      <c r="B1753" s="1" t="s">
        <v>1197</v>
      </c>
      <c r="C1753" s="1" t="s">
        <v>1198</v>
      </c>
      <c r="D1753" s="1" t="s">
        <v>4724</v>
      </c>
      <c r="E1753" s="1" t="s">
        <v>429</v>
      </c>
      <c r="F1753" s="1" t="s">
        <v>432</v>
      </c>
      <c r="G1753" s="3">
        <v>0</v>
      </c>
      <c r="H1753" s="20" t="s">
        <v>4729</v>
      </c>
      <c r="I1753" s="20" t="s">
        <v>4730</v>
      </c>
      <c r="J1753" s="20" t="s">
        <v>3160</v>
      </c>
      <c r="K1753" s="20" t="s">
        <v>10016</v>
      </c>
      <c r="L1753" s="3">
        <v>30</v>
      </c>
      <c r="M1753" s="3" t="s">
        <v>10179</v>
      </c>
      <c r="N1753" s="3" t="str">
        <f>HYPERLINK("http://ictvonline.org/taxonomyHistory.asp?taxnode_id=20161551","ICTVonline=20161551")</f>
        <v>ICTVonline=20161551</v>
      </c>
    </row>
    <row r="1754" spans="1:14" x14ac:dyDescent="0.15">
      <c r="A1754" s="3">
        <v>1753</v>
      </c>
      <c r="B1754" s="1" t="s">
        <v>1197</v>
      </c>
      <c r="C1754" s="1" t="s">
        <v>1198</v>
      </c>
      <c r="D1754" s="1" t="s">
        <v>4724</v>
      </c>
      <c r="E1754" s="1" t="s">
        <v>429</v>
      </c>
      <c r="F1754" s="1" t="s">
        <v>2284</v>
      </c>
      <c r="G1754" s="3">
        <v>0</v>
      </c>
      <c r="J1754" s="20" t="s">
        <v>3160</v>
      </c>
      <c r="K1754" s="20" t="s">
        <v>10016</v>
      </c>
      <c r="L1754" s="3">
        <v>30</v>
      </c>
      <c r="M1754" s="3" t="s">
        <v>10179</v>
      </c>
      <c r="N1754" s="3" t="str">
        <f>HYPERLINK("http://ictvonline.org/taxonomyHistory.asp?taxnode_id=20161552","ICTVonline=20161552")</f>
        <v>ICTVonline=20161552</v>
      </c>
    </row>
    <row r="1755" spans="1:14" x14ac:dyDescent="0.15">
      <c r="A1755" s="3">
        <v>1754</v>
      </c>
      <c r="B1755" s="1" t="s">
        <v>1197</v>
      </c>
      <c r="C1755" s="1" t="s">
        <v>1198</v>
      </c>
      <c r="D1755" s="1" t="s">
        <v>4724</v>
      </c>
      <c r="E1755" s="1" t="s">
        <v>429</v>
      </c>
      <c r="F1755" s="1" t="s">
        <v>433</v>
      </c>
      <c r="G1755" s="3">
        <v>0</v>
      </c>
      <c r="J1755" s="20" t="s">
        <v>3160</v>
      </c>
      <c r="K1755" s="20" t="s">
        <v>10016</v>
      </c>
      <c r="L1755" s="3">
        <v>30</v>
      </c>
      <c r="M1755" s="3" t="s">
        <v>10179</v>
      </c>
      <c r="N1755" s="3" t="str">
        <f>HYPERLINK("http://ictvonline.org/taxonomyHistory.asp?taxnode_id=20161553","ICTVonline=20161553")</f>
        <v>ICTVonline=20161553</v>
      </c>
    </row>
    <row r="1756" spans="1:14" x14ac:dyDescent="0.15">
      <c r="A1756" s="3">
        <v>1755</v>
      </c>
      <c r="B1756" s="1" t="s">
        <v>1197</v>
      </c>
      <c r="C1756" s="1" t="s">
        <v>1198</v>
      </c>
      <c r="D1756" s="1" t="s">
        <v>4724</v>
      </c>
      <c r="E1756" s="1" t="s">
        <v>429</v>
      </c>
      <c r="F1756" s="1" t="s">
        <v>434</v>
      </c>
      <c r="G1756" s="3">
        <v>0</v>
      </c>
      <c r="J1756" s="20" t="s">
        <v>3160</v>
      </c>
      <c r="K1756" s="20" t="s">
        <v>10016</v>
      </c>
      <c r="L1756" s="3">
        <v>30</v>
      </c>
      <c r="M1756" s="3" t="s">
        <v>10179</v>
      </c>
      <c r="N1756" s="3" t="str">
        <f>HYPERLINK("http://ictvonline.org/taxonomyHistory.asp?taxnode_id=20161554","ICTVonline=20161554")</f>
        <v>ICTVonline=20161554</v>
      </c>
    </row>
    <row r="1757" spans="1:14" x14ac:dyDescent="0.15">
      <c r="A1757" s="3">
        <v>1756</v>
      </c>
      <c r="B1757" s="1" t="s">
        <v>1197</v>
      </c>
      <c r="C1757" s="1" t="s">
        <v>1198</v>
      </c>
      <c r="D1757" s="1" t="s">
        <v>4724</v>
      </c>
      <c r="E1757" s="1" t="s">
        <v>429</v>
      </c>
      <c r="F1757" s="1" t="s">
        <v>300</v>
      </c>
      <c r="G1757" s="3">
        <v>1</v>
      </c>
      <c r="J1757" s="20" t="s">
        <v>3160</v>
      </c>
      <c r="K1757" s="20" t="s">
        <v>10016</v>
      </c>
      <c r="L1757" s="3">
        <v>30</v>
      </c>
      <c r="M1757" s="3" t="s">
        <v>10179</v>
      </c>
      <c r="N1757" s="3" t="str">
        <f>HYPERLINK("http://ictvonline.org/taxonomyHistory.asp?taxnode_id=20161555","ICTVonline=20161555")</f>
        <v>ICTVonline=20161555</v>
      </c>
    </row>
    <row r="1758" spans="1:14" x14ac:dyDescent="0.15">
      <c r="A1758" s="3">
        <v>1757</v>
      </c>
      <c r="B1758" s="1" t="s">
        <v>1197</v>
      </c>
      <c r="C1758" s="1" t="s">
        <v>1198</v>
      </c>
      <c r="D1758" s="1" t="s">
        <v>4724</v>
      </c>
      <c r="E1758" s="1" t="s">
        <v>429</v>
      </c>
      <c r="F1758" s="1" t="s">
        <v>2113</v>
      </c>
      <c r="G1758" s="3">
        <v>0</v>
      </c>
      <c r="H1758" s="20" t="s">
        <v>4731</v>
      </c>
      <c r="I1758" s="20" t="s">
        <v>4732</v>
      </c>
      <c r="J1758" s="20" t="s">
        <v>3160</v>
      </c>
      <c r="K1758" s="20" t="s">
        <v>10016</v>
      </c>
      <c r="L1758" s="3">
        <v>30</v>
      </c>
      <c r="M1758" s="3" t="s">
        <v>10179</v>
      </c>
      <c r="N1758" s="3" t="str">
        <f>HYPERLINK("http://ictvonline.org/taxonomyHistory.asp?taxnode_id=20161556","ICTVonline=20161556")</f>
        <v>ICTVonline=20161556</v>
      </c>
    </row>
    <row r="1759" spans="1:14" x14ac:dyDescent="0.15">
      <c r="A1759" s="3">
        <v>1758</v>
      </c>
      <c r="B1759" s="1" t="s">
        <v>1197</v>
      </c>
      <c r="C1759" s="1" t="s">
        <v>1198</v>
      </c>
      <c r="D1759" s="1" t="s">
        <v>4724</v>
      </c>
      <c r="E1759" s="1" t="s">
        <v>429</v>
      </c>
      <c r="F1759" s="1" t="s">
        <v>2114</v>
      </c>
      <c r="G1759" s="3">
        <v>0</v>
      </c>
      <c r="J1759" s="20" t="s">
        <v>3160</v>
      </c>
      <c r="K1759" s="20" t="s">
        <v>10016</v>
      </c>
      <c r="L1759" s="3">
        <v>30</v>
      </c>
      <c r="M1759" s="3" t="s">
        <v>10179</v>
      </c>
      <c r="N1759" s="3" t="str">
        <f>HYPERLINK("http://ictvonline.org/taxonomyHistory.asp?taxnode_id=20161557","ICTVonline=20161557")</f>
        <v>ICTVonline=20161557</v>
      </c>
    </row>
    <row r="1760" spans="1:14" x14ac:dyDescent="0.15">
      <c r="A1760" s="3">
        <v>1759</v>
      </c>
      <c r="B1760" s="1" t="s">
        <v>1197</v>
      </c>
      <c r="C1760" s="1" t="s">
        <v>1198</v>
      </c>
      <c r="D1760" s="1" t="s">
        <v>4724</v>
      </c>
      <c r="E1760" s="1" t="s">
        <v>429</v>
      </c>
      <c r="F1760" s="1" t="s">
        <v>2197</v>
      </c>
      <c r="G1760" s="3">
        <v>0</v>
      </c>
      <c r="H1760" s="20" t="s">
        <v>4733</v>
      </c>
      <c r="I1760" s="20" t="s">
        <v>4610</v>
      </c>
      <c r="J1760" s="20" t="s">
        <v>3160</v>
      </c>
      <c r="K1760" s="20" t="s">
        <v>10016</v>
      </c>
      <c r="L1760" s="3">
        <v>30</v>
      </c>
      <c r="M1760" s="3" t="s">
        <v>10179</v>
      </c>
      <c r="N1760" s="3" t="str">
        <f>HYPERLINK("http://ictvonline.org/taxonomyHistory.asp?taxnode_id=20161558","ICTVonline=20161558")</f>
        <v>ICTVonline=20161558</v>
      </c>
    </row>
    <row r="1761" spans="1:14" x14ac:dyDescent="0.15">
      <c r="A1761" s="3">
        <v>1760</v>
      </c>
      <c r="B1761" s="1" t="s">
        <v>1197</v>
      </c>
      <c r="C1761" s="1" t="s">
        <v>1198</v>
      </c>
      <c r="D1761" s="1" t="s">
        <v>4724</v>
      </c>
      <c r="E1761" s="1" t="s">
        <v>429</v>
      </c>
      <c r="F1761" s="1" t="s">
        <v>2018</v>
      </c>
      <c r="G1761" s="3">
        <v>0</v>
      </c>
      <c r="H1761" s="20" t="s">
        <v>4734</v>
      </c>
      <c r="I1761" s="20" t="s">
        <v>4735</v>
      </c>
      <c r="J1761" s="20" t="s">
        <v>3160</v>
      </c>
      <c r="K1761" s="20" t="s">
        <v>10016</v>
      </c>
      <c r="L1761" s="3">
        <v>30</v>
      </c>
      <c r="M1761" s="3" t="s">
        <v>10179</v>
      </c>
      <c r="N1761" s="3" t="str">
        <f>HYPERLINK("http://ictvonline.org/taxonomyHistory.asp?taxnode_id=20161559","ICTVonline=20161559")</f>
        <v>ICTVonline=20161559</v>
      </c>
    </row>
    <row r="1762" spans="1:14" x14ac:dyDescent="0.15">
      <c r="A1762" s="3">
        <v>1761</v>
      </c>
      <c r="B1762" s="1" t="s">
        <v>1197</v>
      </c>
      <c r="C1762" s="1" t="s">
        <v>1198</v>
      </c>
      <c r="D1762" s="1" t="s">
        <v>4724</v>
      </c>
      <c r="E1762" s="1" t="s">
        <v>429</v>
      </c>
      <c r="F1762" s="1" t="s">
        <v>2285</v>
      </c>
      <c r="G1762" s="3">
        <v>0</v>
      </c>
      <c r="J1762" s="20" t="s">
        <v>3160</v>
      </c>
      <c r="K1762" s="20" t="s">
        <v>10016</v>
      </c>
      <c r="L1762" s="3">
        <v>30</v>
      </c>
      <c r="M1762" s="3" t="s">
        <v>10179</v>
      </c>
      <c r="N1762" s="3" t="str">
        <f>HYPERLINK("http://ictvonline.org/taxonomyHistory.asp?taxnode_id=20161560","ICTVonline=20161560")</f>
        <v>ICTVonline=20161560</v>
      </c>
    </row>
    <row r="1763" spans="1:14" x14ac:dyDescent="0.15">
      <c r="A1763" s="3">
        <v>1762</v>
      </c>
      <c r="B1763" s="1" t="s">
        <v>1197</v>
      </c>
      <c r="C1763" s="1" t="s">
        <v>1198</v>
      </c>
      <c r="D1763" s="1" t="s">
        <v>4724</v>
      </c>
      <c r="E1763" s="1" t="s">
        <v>429</v>
      </c>
      <c r="F1763" s="1" t="s">
        <v>2019</v>
      </c>
      <c r="G1763" s="3">
        <v>0</v>
      </c>
      <c r="H1763" s="20" t="s">
        <v>4736</v>
      </c>
      <c r="I1763" s="20" t="s">
        <v>4737</v>
      </c>
      <c r="J1763" s="20" t="s">
        <v>3160</v>
      </c>
      <c r="K1763" s="20" t="s">
        <v>10016</v>
      </c>
      <c r="L1763" s="3">
        <v>30</v>
      </c>
      <c r="M1763" s="3" t="s">
        <v>10179</v>
      </c>
      <c r="N1763" s="3" t="str">
        <f>HYPERLINK("http://ictvonline.org/taxonomyHistory.asp?taxnode_id=20161561","ICTVonline=20161561")</f>
        <v>ICTVonline=20161561</v>
      </c>
    </row>
    <row r="1764" spans="1:14" x14ac:dyDescent="0.15">
      <c r="A1764" s="3">
        <v>1763</v>
      </c>
      <c r="B1764" s="1" t="s">
        <v>1197</v>
      </c>
      <c r="C1764" s="1" t="s">
        <v>1198</v>
      </c>
      <c r="D1764" s="1" t="s">
        <v>4724</v>
      </c>
      <c r="E1764" s="1" t="s">
        <v>429</v>
      </c>
      <c r="F1764" s="1" t="s">
        <v>4738</v>
      </c>
      <c r="G1764" s="3">
        <v>0</v>
      </c>
      <c r="H1764" s="20" t="s">
        <v>6805</v>
      </c>
      <c r="I1764" s="20" t="s">
        <v>4739</v>
      </c>
      <c r="J1764" s="20" t="s">
        <v>3160</v>
      </c>
      <c r="K1764" s="20" t="s">
        <v>10013</v>
      </c>
      <c r="L1764" s="3">
        <v>30</v>
      </c>
      <c r="M1764" s="3" t="s">
        <v>10179</v>
      </c>
      <c r="N1764" s="3" t="str">
        <f>HYPERLINK("http://ictvonline.org/taxonomyHistory.asp?taxnode_id=20161562","ICTVonline=20161562")</f>
        <v>ICTVonline=20161562</v>
      </c>
    </row>
    <row r="1765" spans="1:14" x14ac:dyDescent="0.15">
      <c r="A1765" s="3">
        <v>1764</v>
      </c>
      <c r="B1765" s="1" t="s">
        <v>1197</v>
      </c>
      <c r="C1765" s="1" t="s">
        <v>1198</v>
      </c>
      <c r="D1765" s="1" t="s">
        <v>4724</v>
      </c>
      <c r="E1765" s="1" t="s">
        <v>429</v>
      </c>
      <c r="F1765" s="1" t="s">
        <v>1669</v>
      </c>
      <c r="G1765" s="3">
        <v>0</v>
      </c>
      <c r="H1765" s="20" t="s">
        <v>4740</v>
      </c>
      <c r="I1765" s="20" t="s">
        <v>4741</v>
      </c>
      <c r="J1765" s="20" t="s">
        <v>3160</v>
      </c>
      <c r="K1765" s="20" t="s">
        <v>10016</v>
      </c>
      <c r="L1765" s="3">
        <v>30</v>
      </c>
      <c r="M1765" s="3" t="s">
        <v>10179</v>
      </c>
      <c r="N1765" s="3" t="str">
        <f>HYPERLINK("http://ictvonline.org/taxonomyHistory.asp?taxnode_id=20161563","ICTVonline=20161563")</f>
        <v>ICTVonline=20161563</v>
      </c>
    </row>
    <row r="1766" spans="1:14" x14ac:dyDescent="0.15">
      <c r="A1766" s="3">
        <v>1765</v>
      </c>
      <c r="B1766" s="1" t="s">
        <v>1197</v>
      </c>
      <c r="C1766" s="1" t="s">
        <v>1198</v>
      </c>
      <c r="D1766" s="1" t="s">
        <v>4724</v>
      </c>
      <c r="E1766" s="1" t="s">
        <v>429</v>
      </c>
      <c r="F1766" s="1" t="s">
        <v>1670</v>
      </c>
      <c r="G1766" s="3">
        <v>0</v>
      </c>
      <c r="J1766" s="20" t="s">
        <v>3160</v>
      </c>
      <c r="K1766" s="20" t="s">
        <v>10016</v>
      </c>
      <c r="L1766" s="3">
        <v>30</v>
      </c>
      <c r="M1766" s="3" t="s">
        <v>10179</v>
      </c>
      <c r="N1766" s="3" t="str">
        <f>HYPERLINK("http://ictvonline.org/taxonomyHistory.asp?taxnode_id=20161564","ICTVonline=20161564")</f>
        <v>ICTVonline=20161564</v>
      </c>
    </row>
    <row r="1767" spans="1:14" x14ac:dyDescent="0.15">
      <c r="A1767" s="3">
        <v>1766</v>
      </c>
      <c r="B1767" s="1" t="s">
        <v>1197</v>
      </c>
      <c r="C1767" s="1" t="s">
        <v>1198</v>
      </c>
      <c r="D1767" s="1" t="s">
        <v>4724</v>
      </c>
      <c r="E1767" s="1" t="s">
        <v>429</v>
      </c>
      <c r="F1767" s="1" t="s">
        <v>2286</v>
      </c>
      <c r="G1767" s="3">
        <v>0</v>
      </c>
      <c r="J1767" s="20" t="s">
        <v>3160</v>
      </c>
      <c r="K1767" s="20" t="s">
        <v>10016</v>
      </c>
      <c r="L1767" s="3">
        <v>30</v>
      </c>
      <c r="M1767" s="3" t="s">
        <v>10179</v>
      </c>
      <c r="N1767" s="3" t="str">
        <f>HYPERLINK("http://ictvonline.org/taxonomyHistory.asp?taxnode_id=20161565","ICTVonline=20161565")</f>
        <v>ICTVonline=20161565</v>
      </c>
    </row>
    <row r="1768" spans="1:14" x14ac:dyDescent="0.15">
      <c r="A1768" s="3">
        <v>1767</v>
      </c>
      <c r="B1768" s="1" t="s">
        <v>1197</v>
      </c>
      <c r="C1768" s="1" t="s">
        <v>1198</v>
      </c>
      <c r="D1768" s="1" t="s">
        <v>4724</v>
      </c>
      <c r="E1768" s="1" t="s">
        <v>429</v>
      </c>
      <c r="F1768" s="1" t="s">
        <v>1954</v>
      </c>
      <c r="G1768" s="3">
        <v>0</v>
      </c>
      <c r="H1768" s="20" t="s">
        <v>4742</v>
      </c>
      <c r="I1768" s="20" t="s">
        <v>4743</v>
      </c>
      <c r="J1768" s="20" t="s">
        <v>3160</v>
      </c>
      <c r="K1768" s="20" t="s">
        <v>10016</v>
      </c>
      <c r="L1768" s="3">
        <v>30</v>
      </c>
      <c r="M1768" s="3" t="s">
        <v>10179</v>
      </c>
      <c r="N1768" s="3" t="str">
        <f>HYPERLINK("http://ictvonline.org/taxonomyHistory.asp?taxnode_id=20161566","ICTVonline=20161566")</f>
        <v>ICTVonline=20161566</v>
      </c>
    </row>
    <row r="1769" spans="1:14" x14ac:dyDescent="0.15">
      <c r="A1769" s="3">
        <v>1768</v>
      </c>
      <c r="B1769" s="1" t="s">
        <v>1197</v>
      </c>
      <c r="C1769" s="1" t="s">
        <v>1198</v>
      </c>
      <c r="D1769" s="1" t="s">
        <v>4724</v>
      </c>
      <c r="E1769" s="1" t="s">
        <v>429</v>
      </c>
      <c r="F1769" s="1" t="s">
        <v>2287</v>
      </c>
      <c r="G1769" s="3">
        <v>0</v>
      </c>
      <c r="H1769" s="20" t="s">
        <v>4744</v>
      </c>
      <c r="I1769" s="20" t="s">
        <v>4671</v>
      </c>
      <c r="J1769" s="20" t="s">
        <v>3160</v>
      </c>
      <c r="K1769" s="20" t="s">
        <v>10016</v>
      </c>
      <c r="L1769" s="3">
        <v>30</v>
      </c>
      <c r="M1769" s="3" t="s">
        <v>10179</v>
      </c>
      <c r="N1769" s="3" t="str">
        <f>HYPERLINK("http://ictvonline.org/taxonomyHistory.asp?taxnode_id=20161567","ICTVonline=20161567")</f>
        <v>ICTVonline=20161567</v>
      </c>
    </row>
    <row r="1770" spans="1:14" x14ac:dyDescent="0.15">
      <c r="A1770" s="3">
        <v>1769</v>
      </c>
      <c r="B1770" s="1" t="s">
        <v>1197</v>
      </c>
      <c r="C1770" s="1" t="s">
        <v>1198</v>
      </c>
      <c r="D1770" s="1" t="s">
        <v>4724</v>
      </c>
      <c r="E1770" s="1" t="s">
        <v>429</v>
      </c>
      <c r="F1770" s="1" t="s">
        <v>1671</v>
      </c>
      <c r="G1770" s="3">
        <v>0</v>
      </c>
      <c r="H1770" s="20" t="s">
        <v>4745</v>
      </c>
      <c r="I1770" s="20" t="s">
        <v>4663</v>
      </c>
      <c r="J1770" s="20" t="s">
        <v>3160</v>
      </c>
      <c r="K1770" s="20" t="s">
        <v>10016</v>
      </c>
      <c r="L1770" s="3">
        <v>30</v>
      </c>
      <c r="M1770" s="3" t="s">
        <v>10179</v>
      </c>
      <c r="N1770" s="3" t="str">
        <f>HYPERLINK("http://ictvonline.org/taxonomyHistory.asp?taxnode_id=20161568","ICTVonline=20161568")</f>
        <v>ICTVonline=20161568</v>
      </c>
    </row>
    <row r="1771" spans="1:14" x14ac:dyDescent="0.15">
      <c r="A1771" s="3">
        <v>1770</v>
      </c>
      <c r="B1771" s="1" t="s">
        <v>1197</v>
      </c>
      <c r="C1771" s="1" t="s">
        <v>1198</v>
      </c>
      <c r="D1771" s="1" t="s">
        <v>4724</v>
      </c>
      <c r="E1771" s="1" t="s">
        <v>429</v>
      </c>
      <c r="F1771" s="1" t="s">
        <v>1672</v>
      </c>
      <c r="G1771" s="3">
        <v>0</v>
      </c>
      <c r="H1771" s="20" t="s">
        <v>4746</v>
      </c>
      <c r="I1771" s="20" t="s">
        <v>4747</v>
      </c>
      <c r="J1771" s="20" t="s">
        <v>3160</v>
      </c>
      <c r="K1771" s="20" t="s">
        <v>10016</v>
      </c>
      <c r="L1771" s="3">
        <v>30</v>
      </c>
      <c r="M1771" s="3" t="s">
        <v>10179</v>
      </c>
      <c r="N1771" s="3" t="str">
        <f>HYPERLINK("http://ictvonline.org/taxonomyHistory.asp?taxnode_id=20161569","ICTVonline=20161569")</f>
        <v>ICTVonline=20161569</v>
      </c>
    </row>
    <row r="1772" spans="1:14" x14ac:dyDescent="0.15">
      <c r="A1772" s="3">
        <v>1771</v>
      </c>
      <c r="B1772" s="1" t="s">
        <v>1197</v>
      </c>
      <c r="C1772" s="1" t="s">
        <v>1198</v>
      </c>
      <c r="D1772" s="1" t="s">
        <v>4724</v>
      </c>
      <c r="E1772" s="1" t="s">
        <v>429</v>
      </c>
      <c r="F1772" s="1" t="s">
        <v>2288</v>
      </c>
      <c r="G1772" s="3">
        <v>0</v>
      </c>
      <c r="H1772" s="20" t="s">
        <v>4748</v>
      </c>
      <c r="I1772" s="20" t="s">
        <v>4749</v>
      </c>
      <c r="J1772" s="20" t="s">
        <v>3160</v>
      </c>
      <c r="K1772" s="20" t="s">
        <v>10016</v>
      </c>
      <c r="L1772" s="3">
        <v>30</v>
      </c>
      <c r="M1772" s="3" t="s">
        <v>10179</v>
      </c>
      <c r="N1772" s="3" t="str">
        <f>HYPERLINK("http://ictvonline.org/taxonomyHistory.asp?taxnode_id=20161570","ICTVonline=20161570")</f>
        <v>ICTVonline=20161570</v>
      </c>
    </row>
    <row r="1773" spans="1:14" x14ac:dyDescent="0.15">
      <c r="A1773" s="3">
        <v>1772</v>
      </c>
      <c r="B1773" s="1" t="s">
        <v>1197</v>
      </c>
      <c r="C1773" s="1" t="s">
        <v>1198</v>
      </c>
      <c r="D1773" s="1" t="s">
        <v>4724</v>
      </c>
      <c r="E1773" s="1" t="s">
        <v>429</v>
      </c>
      <c r="F1773" s="1" t="s">
        <v>6438</v>
      </c>
      <c r="G1773" s="3">
        <v>0</v>
      </c>
      <c r="J1773" s="20" t="s">
        <v>3160</v>
      </c>
      <c r="K1773" s="20" t="s">
        <v>10016</v>
      </c>
      <c r="L1773" s="3">
        <v>30</v>
      </c>
      <c r="M1773" s="3" t="s">
        <v>10179</v>
      </c>
      <c r="N1773" s="3" t="str">
        <f>HYPERLINK("http://ictvonline.org/taxonomyHistory.asp?taxnode_id=20161571","ICTVonline=20161571")</f>
        <v>ICTVonline=20161571</v>
      </c>
    </row>
    <row r="1774" spans="1:14" x14ac:dyDescent="0.15">
      <c r="A1774" s="3">
        <v>1773</v>
      </c>
      <c r="B1774" s="1" t="s">
        <v>1197</v>
      </c>
      <c r="C1774" s="1" t="s">
        <v>1198</v>
      </c>
      <c r="D1774" s="1" t="s">
        <v>4724</v>
      </c>
      <c r="E1774" s="1" t="s">
        <v>429</v>
      </c>
      <c r="F1774" s="1" t="s">
        <v>2198</v>
      </c>
      <c r="G1774" s="3">
        <v>0</v>
      </c>
      <c r="H1774" s="20" t="s">
        <v>4750</v>
      </c>
      <c r="I1774" s="20" t="s">
        <v>4610</v>
      </c>
      <c r="J1774" s="20" t="s">
        <v>3160</v>
      </c>
      <c r="K1774" s="20" t="s">
        <v>10016</v>
      </c>
      <c r="L1774" s="3">
        <v>30</v>
      </c>
      <c r="M1774" s="3" t="s">
        <v>10179</v>
      </c>
      <c r="N1774" s="3" t="str">
        <f>HYPERLINK("http://ictvonline.org/taxonomyHistory.asp?taxnode_id=20161572","ICTVonline=20161572")</f>
        <v>ICTVonline=20161572</v>
      </c>
    </row>
    <row r="1775" spans="1:14" x14ac:dyDescent="0.15">
      <c r="A1775" s="3">
        <v>1774</v>
      </c>
      <c r="B1775" s="1" t="s">
        <v>1197</v>
      </c>
      <c r="C1775" s="1" t="s">
        <v>1198</v>
      </c>
      <c r="D1775" s="1" t="s">
        <v>4724</v>
      </c>
      <c r="E1775" s="1" t="s">
        <v>429</v>
      </c>
      <c r="F1775" s="1" t="s">
        <v>2115</v>
      </c>
      <c r="G1775" s="3">
        <v>0</v>
      </c>
      <c r="H1775" s="20" t="s">
        <v>4751</v>
      </c>
      <c r="I1775" s="20" t="s">
        <v>4752</v>
      </c>
      <c r="J1775" s="20" t="s">
        <v>3160</v>
      </c>
      <c r="K1775" s="20" t="s">
        <v>10016</v>
      </c>
      <c r="L1775" s="3">
        <v>30</v>
      </c>
      <c r="M1775" s="3" t="s">
        <v>10179</v>
      </c>
      <c r="N1775" s="3" t="str">
        <f>HYPERLINK("http://ictvonline.org/taxonomyHistory.asp?taxnode_id=20161573","ICTVonline=20161573")</f>
        <v>ICTVonline=20161573</v>
      </c>
    </row>
    <row r="1776" spans="1:14" x14ac:dyDescent="0.15">
      <c r="A1776" s="3">
        <v>1775</v>
      </c>
      <c r="B1776" s="1" t="s">
        <v>1197</v>
      </c>
      <c r="C1776" s="1" t="s">
        <v>1198</v>
      </c>
      <c r="D1776" s="1" t="s">
        <v>4724</v>
      </c>
      <c r="E1776" s="1" t="s">
        <v>429</v>
      </c>
      <c r="F1776" s="1" t="s">
        <v>2116</v>
      </c>
      <c r="G1776" s="3">
        <v>0</v>
      </c>
      <c r="J1776" s="20" t="s">
        <v>3160</v>
      </c>
      <c r="K1776" s="20" t="s">
        <v>10016</v>
      </c>
      <c r="L1776" s="3">
        <v>30</v>
      </c>
      <c r="M1776" s="3" t="s">
        <v>10179</v>
      </c>
      <c r="N1776" s="3" t="str">
        <f>HYPERLINK("http://ictvonline.org/taxonomyHistory.asp?taxnode_id=20161574","ICTVonline=20161574")</f>
        <v>ICTVonline=20161574</v>
      </c>
    </row>
    <row r="1777" spans="1:14" x14ac:dyDescent="0.15">
      <c r="A1777" s="3">
        <v>1776</v>
      </c>
      <c r="B1777" s="1" t="s">
        <v>1197</v>
      </c>
      <c r="C1777" s="1" t="s">
        <v>1198</v>
      </c>
      <c r="D1777" s="1" t="s">
        <v>4724</v>
      </c>
      <c r="E1777" s="1" t="s">
        <v>429</v>
      </c>
      <c r="F1777" s="1" t="s">
        <v>2289</v>
      </c>
      <c r="G1777" s="3">
        <v>0</v>
      </c>
      <c r="H1777" s="20" t="s">
        <v>4753</v>
      </c>
      <c r="I1777" s="20" t="s">
        <v>4610</v>
      </c>
      <c r="J1777" s="20" t="s">
        <v>3160</v>
      </c>
      <c r="K1777" s="20" t="s">
        <v>10016</v>
      </c>
      <c r="L1777" s="3">
        <v>30</v>
      </c>
      <c r="M1777" s="3" t="s">
        <v>10179</v>
      </c>
      <c r="N1777" s="3" t="str">
        <f>HYPERLINK("http://ictvonline.org/taxonomyHistory.asp?taxnode_id=20161575","ICTVonline=20161575")</f>
        <v>ICTVonline=20161575</v>
      </c>
    </row>
    <row r="1778" spans="1:14" x14ac:dyDescent="0.15">
      <c r="A1778" s="3">
        <v>1777</v>
      </c>
      <c r="B1778" s="1" t="s">
        <v>1197</v>
      </c>
      <c r="C1778" s="1" t="s">
        <v>1198</v>
      </c>
      <c r="D1778" s="1" t="s">
        <v>4724</v>
      </c>
      <c r="E1778" s="1" t="s">
        <v>429</v>
      </c>
      <c r="F1778" s="1" t="s">
        <v>2020</v>
      </c>
      <c r="G1778" s="3">
        <v>0</v>
      </c>
      <c r="H1778" s="20" t="s">
        <v>4754</v>
      </c>
      <c r="I1778" s="20" t="s">
        <v>4755</v>
      </c>
      <c r="J1778" s="20" t="s">
        <v>3160</v>
      </c>
      <c r="K1778" s="20" t="s">
        <v>10016</v>
      </c>
      <c r="L1778" s="3">
        <v>30</v>
      </c>
      <c r="M1778" s="3" t="s">
        <v>10179</v>
      </c>
      <c r="N1778" s="3" t="str">
        <f>HYPERLINK("http://ictvonline.org/taxonomyHistory.asp?taxnode_id=20161576","ICTVonline=20161576")</f>
        <v>ICTVonline=20161576</v>
      </c>
    </row>
    <row r="1779" spans="1:14" x14ac:dyDescent="0.15">
      <c r="A1779" s="3">
        <v>1778</v>
      </c>
      <c r="B1779" s="1" t="s">
        <v>1197</v>
      </c>
      <c r="C1779" s="1" t="s">
        <v>1198</v>
      </c>
      <c r="D1779" s="1" t="s">
        <v>4724</v>
      </c>
      <c r="E1779" s="1" t="s">
        <v>429</v>
      </c>
      <c r="F1779" s="1" t="s">
        <v>2021</v>
      </c>
      <c r="G1779" s="3">
        <v>0</v>
      </c>
      <c r="H1779" s="20" t="s">
        <v>4756</v>
      </c>
      <c r="I1779" s="20" t="s">
        <v>4757</v>
      </c>
      <c r="J1779" s="20" t="s">
        <v>3160</v>
      </c>
      <c r="K1779" s="20" t="s">
        <v>10016</v>
      </c>
      <c r="L1779" s="3">
        <v>30</v>
      </c>
      <c r="M1779" s="3" t="s">
        <v>10179</v>
      </c>
      <c r="N1779" s="3" t="str">
        <f>HYPERLINK("http://ictvonline.org/taxonomyHistory.asp?taxnode_id=20161577","ICTVonline=20161577")</f>
        <v>ICTVonline=20161577</v>
      </c>
    </row>
    <row r="1780" spans="1:14" x14ac:dyDescent="0.15">
      <c r="A1780" s="3">
        <v>1779</v>
      </c>
      <c r="B1780" s="1" t="s">
        <v>1197</v>
      </c>
      <c r="C1780" s="1" t="s">
        <v>1198</v>
      </c>
      <c r="D1780" s="1" t="s">
        <v>4724</v>
      </c>
      <c r="E1780" s="1" t="s">
        <v>429</v>
      </c>
      <c r="F1780" s="1" t="s">
        <v>2022</v>
      </c>
      <c r="G1780" s="3">
        <v>0</v>
      </c>
      <c r="H1780" s="20" t="s">
        <v>4758</v>
      </c>
      <c r="I1780" s="20" t="s">
        <v>4759</v>
      </c>
      <c r="J1780" s="20" t="s">
        <v>3160</v>
      </c>
      <c r="K1780" s="20" t="s">
        <v>10016</v>
      </c>
      <c r="L1780" s="3">
        <v>30</v>
      </c>
      <c r="M1780" s="3" t="s">
        <v>10179</v>
      </c>
      <c r="N1780" s="3" t="str">
        <f>HYPERLINK("http://ictvonline.org/taxonomyHistory.asp?taxnode_id=20161578","ICTVonline=20161578")</f>
        <v>ICTVonline=20161578</v>
      </c>
    </row>
    <row r="1781" spans="1:14" x14ac:dyDescent="0.15">
      <c r="A1781" s="3">
        <v>1780</v>
      </c>
      <c r="B1781" s="1" t="s">
        <v>1197</v>
      </c>
      <c r="C1781" s="1" t="s">
        <v>1198</v>
      </c>
      <c r="D1781" s="1" t="s">
        <v>4724</v>
      </c>
      <c r="E1781" s="1" t="s">
        <v>429</v>
      </c>
      <c r="F1781" s="1" t="s">
        <v>2023</v>
      </c>
      <c r="G1781" s="3">
        <v>0</v>
      </c>
      <c r="H1781" s="20" t="s">
        <v>4760</v>
      </c>
      <c r="I1781" s="20" t="s">
        <v>4761</v>
      </c>
      <c r="J1781" s="20" t="s">
        <v>3160</v>
      </c>
      <c r="K1781" s="20" t="s">
        <v>10016</v>
      </c>
      <c r="L1781" s="3">
        <v>30</v>
      </c>
      <c r="M1781" s="3" t="s">
        <v>10179</v>
      </c>
      <c r="N1781" s="3" t="str">
        <f>HYPERLINK("http://ictvonline.org/taxonomyHistory.asp?taxnode_id=20161579","ICTVonline=20161579")</f>
        <v>ICTVonline=20161579</v>
      </c>
    </row>
    <row r="1782" spans="1:14" x14ac:dyDescent="0.15">
      <c r="A1782" s="3">
        <v>1781</v>
      </c>
      <c r="B1782" s="1" t="s">
        <v>1197</v>
      </c>
      <c r="C1782" s="1" t="s">
        <v>1198</v>
      </c>
      <c r="D1782" s="1" t="s">
        <v>4724</v>
      </c>
      <c r="E1782" s="1" t="s">
        <v>429</v>
      </c>
      <c r="F1782" s="1" t="s">
        <v>2290</v>
      </c>
      <c r="G1782" s="3">
        <v>0</v>
      </c>
      <c r="H1782" s="20" t="s">
        <v>4762</v>
      </c>
      <c r="I1782" s="20" t="s">
        <v>4763</v>
      </c>
      <c r="J1782" s="20" t="s">
        <v>3160</v>
      </c>
      <c r="K1782" s="20" t="s">
        <v>10016</v>
      </c>
      <c r="L1782" s="3">
        <v>30</v>
      </c>
      <c r="M1782" s="3" t="s">
        <v>10179</v>
      </c>
      <c r="N1782" s="3" t="str">
        <f>HYPERLINK("http://ictvonline.org/taxonomyHistory.asp?taxnode_id=20161580","ICTVonline=20161580")</f>
        <v>ICTVonline=20161580</v>
      </c>
    </row>
    <row r="1783" spans="1:14" x14ac:dyDescent="0.15">
      <c r="A1783" s="3">
        <v>1782</v>
      </c>
      <c r="B1783" s="1" t="s">
        <v>1197</v>
      </c>
      <c r="C1783" s="1" t="s">
        <v>1198</v>
      </c>
      <c r="D1783" s="1" t="s">
        <v>4724</v>
      </c>
      <c r="E1783" s="1" t="s">
        <v>429</v>
      </c>
      <c r="F1783" s="1" t="s">
        <v>2291</v>
      </c>
      <c r="G1783" s="3">
        <v>0</v>
      </c>
      <c r="J1783" s="20" t="s">
        <v>3160</v>
      </c>
      <c r="K1783" s="20" t="s">
        <v>10016</v>
      </c>
      <c r="L1783" s="3">
        <v>30</v>
      </c>
      <c r="M1783" s="3" t="s">
        <v>10179</v>
      </c>
      <c r="N1783" s="3" t="str">
        <f>HYPERLINK("http://ictvonline.org/taxonomyHistory.asp?taxnode_id=20161581","ICTVonline=20161581")</f>
        <v>ICTVonline=20161581</v>
      </c>
    </row>
    <row r="1784" spans="1:14" x14ac:dyDescent="0.15">
      <c r="A1784" s="3">
        <v>1783</v>
      </c>
      <c r="B1784" s="1" t="s">
        <v>1197</v>
      </c>
      <c r="C1784" s="1" t="s">
        <v>1198</v>
      </c>
      <c r="D1784" s="1" t="s">
        <v>4724</v>
      </c>
      <c r="E1784" s="1" t="s">
        <v>429</v>
      </c>
      <c r="F1784" s="1" t="s">
        <v>2292</v>
      </c>
      <c r="G1784" s="3">
        <v>0</v>
      </c>
      <c r="H1784" s="20" t="s">
        <v>4764</v>
      </c>
      <c r="I1784" s="20" t="s">
        <v>4765</v>
      </c>
      <c r="J1784" s="20" t="s">
        <v>3160</v>
      </c>
      <c r="K1784" s="20" t="s">
        <v>10016</v>
      </c>
      <c r="L1784" s="3">
        <v>30</v>
      </c>
      <c r="M1784" s="3" t="s">
        <v>10179</v>
      </c>
      <c r="N1784" s="3" t="str">
        <f>HYPERLINK("http://ictvonline.org/taxonomyHistory.asp?taxnode_id=20161582","ICTVonline=20161582")</f>
        <v>ICTVonline=20161582</v>
      </c>
    </row>
    <row r="1785" spans="1:14" x14ac:dyDescent="0.15">
      <c r="A1785" s="3">
        <v>1784</v>
      </c>
      <c r="B1785" s="1" t="s">
        <v>1197</v>
      </c>
      <c r="C1785" s="1" t="s">
        <v>1198</v>
      </c>
      <c r="D1785" s="1" t="s">
        <v>4724</v>
      </c>
      <c r="E1785" s="1" t="s">
        <v>429</v>
      </c>
      <c r="F1785" s="1" t="s">
        <v>2024</v>
      </c>
      <c r="G1785" s="3">
        <v>0</v>
      </c>
      <c r="H1785" s="20" t="s">
        <v>4766</v>
      </c>
      <c r="I1785" s="20" t="s">
        <v>4767</v>
      </c>
      <c r="J1785" s="20" t="s">
        <v>3160</v>
      </c>
      <c r="K1785" s="20" t="s">
        <v>10016</v>
      </c>
      <c r="L1785" s="3">
        <v>30</v>
      </c>
      <c r="M1785" s="3" t="s">
        <v>10179</v>
      </c>
      <c r="N1785" s="3" t="str">
        <f>HYPERLINK("http://ictvonline.org/taxonomyHistory.asp?taxnode_id=20161583","ICTVonline=20161583")</f>
        <v>ICTVonline=20161583</v>
      </c>
    </row>
    <row r="1786" spans="1:14" x14ac:dyDescent="0.15">
      <c r="A1786" s="3">
        <v>1785</v>
      </c>
      <c r="B1786" s="1" t="s">
        <v>1197</v>
      </c>
      <c r="C1786" s="1" t="s">
        <v>1198</v>
      </c>
      <c r="D1786" s="1" t="s">
        <v>4724</v>
      </c>
      <c r="E1786" s="1" t="s">
        <v>429</v>
      </c>
      <c r="F1786" s="1" t="s">
        <v>2025</v>
      </c>
      <c r="G1786" s="3">
        <v>0</v>
      </c>
      <c r="H1786" s="20" t="s">
        <v>4768</v>
      </c>
      <c r="I1786" s="20" t="s">
        <v>4769</v>
      </c>
      <c r="J1786" s="20" t="s">
        <v>3160</v>
      </c>
      <c r="K1786" s="20" t="s">
        <v>10016</v>
      </c>
      <c r="L1786" s="3">
        <v>30</v>
      </c>
      <c r="M1786" s="3" t="s">
        <v>10179</v>
      </c>
      <c r="N1786" s="3" t="str">
        <f>HYPERLINK("http://ictvonline.org/taxonomyHistory.asp?taxnode_id=20161584","ICTVonline=20161584")</f>
        <v>ICTVonline=20161584</v>
      </c>
    </row>
    <row r="1787" spans="1:14" x14ac:dyDescent="0.15">
      <c r="A1787" s="3">
        <v>1786</v>
      </c>
      <c r="B1787" s="1" t="s">
        <v>1197</v>
      </c>
      <c r="C1787" s="1" t="s">
        <v>1198</v>
      </c>
      <c r="D1787" s="1" t="s">
        <v>4724</v>
      </c>
      <c r="E1787" s="1" t="s">
        <v>429</v>
      </c>
      <c r="F1787" s="1" t="s">
        <v>4770</v>
      </c>
      <c r="G1787" s="3">
        <v>0</v>
      </c>
      <c r="H1787" s="20" t="s">
        <v>6806</v>
      </c>
      <c r="I1787" s="20" t="s">
        <v>4771</v>
      </c>
      <c r="J1787" s="20" t="s">
        <v>3160</v>
      </c>
      <c r="K1787" s="20" t="s">
        <v>10013</v>
      </c>
      <c r="L1787" s="3">
        <v>30</v>
      </c>
      <c r="M1787" s="3" t="s">
        <v>10179</v>
      </c>
      <c r="N1787" s="3" t="str">
        <f>HYPERLINK("http://ictvonline.org/taxonomyHistory.asp?taxnode_id=20161585","ICTVonline=20161585")</f>
        <v>ICTVonline=20161585</v>
      </c>
    </row>
    <row r="1788" spans="1:14" x14ac:dyDescent="0.15">
      <c r="A1788" s="3">
        <v>1787</v>
      </c>
      <c r="B1788" s="1" t="s">
        <v>1197</v>
      </c>
      <c r="C1788" s="1" t="s">
        <v>1198</v>
      </c>
      <c r="D1788" s="1" t="s">
        <v>4724</v>
      </c>
      <c r="E1788" s="1" t="s">
        <v>429</v>
      </c>
      <c r="F1788" s="1" t="s">
        <v>2026</v>
      </c>
      <c r="G1788" s="3">
        <v>0</v>
      </c>
      <c r="H1788" s="20" t="s">
        <v>4772</v>
      </c>
      <c r="I1788" s="20" t="s">
        <v>4773</v>
      </c>
      <c r="J1788" s="20" t="s">
        <v>3160</v>
      </c>
      <c r="K1788" s="20" t="s">
        <v>10016</v>
      </c>
      <c r="L1788" s="3">
        <v>30</v>
      </c>
      <c r="M1788" s="3" t="s">
        <v>10179</v>
      </c>
      <c r="N1788" s="3" t="str">
        <f>HYPERLINK("http://ictvonline.org/taxonomyHistory.asp?taxnode_id=20161586","ICTVonline=20161586")</f>
        <v>ICTVonline=20161586</v>
      </c>
    </row>
    <row r="1789" spans="1:14" x14ac:dyDescent="0.15">
      <c r="A1789" s="3">
        <v>1788</v>
      </c>
      <c r="B1789" s="1" t="s">
        <v>1197</v>
      </c>
      <c r="C1789" s="1" t="s">
        <v>1198</v>
      </c>
      <c r="D1789" s="1" t="s">
        <v>4724</v>
      </c>
      <c r="E1789" s="1" t="s">
        <v>429</v>
      </c>
      <c r="F1789" s="1" t="s">
        <v>2027</v>
      </c>
      <c r="G1789" s="3">
        <v>0</v>
      </c>
      <c r="H1789" s="20" t="s">
        <v>4774</v>
      </c>
      <c r="I1789" s="20" t="s">
        <v>4775</v>
      </c>
      <c r="J1789" s="20" t="s">
        <v>3160</v>
      </c>
      <c r="K1789" s="20" t="s">
        <v>10016</v>
      </c>
      <c r="L1789" s="3">
        <v>30</v>
      </c>
      <c r="M1789" s="3" t="s">
        <v>10179</v>
      </c>
      <c r="N1789" s="3" t="str">
        <f>HYPERLINK("http://ictvonline.org/taxonomyHistory.asp?taxnode_id=20161587","ICTVonline=20161587")</f>
        <v>ICTVonline=20161587</v>
      </c>
    </row>
    <row r="1790" spans="1:14" x14ac:dyDescent="0.15">
      <c r="A1790" s="3">
        <v>1789</v>
      </c>
      <c r="B1790" s="1" t="s">
        <v>1197</v>
      </c>
      <c r="C1790" s="1" t="s">
        <v>1198</v>
      </c>
      <c r="D1790" s="1" t="s">
        <v>4724</v>
      </c>
      <c r="E1790" s="1" t="s">
        <v>429</v>
      </c>
      <c r="F1790" s="1" t="s">
        <v>2028</v>
      </c>
      <c r="G1790" s="3">
        <v>0</v>
      </c>
      <c r="H1790" s="20" t="s">
        <v>4776</v>
      </c>
      <c r="I1790" s="20" t="s">
        <v>4777</v>
      </c>
      <c r="J1790" s="20" t="s">
        <v>3160</v>
      </c>
      <c r="K1790" s="20" t="s">
        <v>10016</v>
      </c>
      <c r="L1790" s="3">
        <v>30</v>
      </c>
      <c r="M1790" s="3" t="s">
        <v>10179</v>
      </c>
      <c r="N1790" s="3" t="str">
        <f>HYPERLINK("http://ictvonline.org/taxonomyHistory.asp?taxnode_id=20161588","ICTVonline=20161588")</f>
        <v>ICTVonline=20161588</v>
      </c>
    </row>
    <row r="1791" spans="1:14" x14ac:dyDescent="0.15">
      <c r="A1791" s="3">
        <v>1790</v>
      </c>
      <c r="B1791" s="1" t="s">
        <v>1197</v>
      </c>
      <c r="C1791" s="1" t="s">
        <v>1198</v>
      </c>
      <c r="D1791" s="1" t="s">
        <v>4724</v>
      </c>
      <c r="E1791" s="1" t="s">
        <v>429</v>
      </c>
      <c r="F1791" s="1" t="s">
        <v>2029</v>
      </c>
      <c r="G1791" s="3">
        <v>0</v>
      </c>
      <c r="H1791" s="20" t="s">
        <v>4778</v>
      </c>
      <c r="I1791" s="20" t="s">
        <v>4779</v>
      </c>
      <c r="J1791" s="20" t="s">
        <v>3160</v>
      </c>
      <c r="K1791" s="20" t="s">
        <v>10016</v>
      </c>
      <c r="L1791" s="3">
        <v>30</v>
      </c>
      <c r="M1791" s="3" t="s">
        <v>10179</v>
      </c>
      <c r="N1791" s="3" t="str">
        <f>HYPERLINK("http://ictvonline.org/taxonomyHistory.asp?taxnode_id=20161589","ICTVonline=20161589")</f>
        <v>ICTVonline=20161589</v>
      </c>
    </row>
    <row r="1792" spans="1:14" x14ac:dyDescent="0.15">
      <c r="A1792" s="3">
        <v>1791</v>
      </c>
      <c r="B1792" s="1" t="s">
        <v>1197</v>
      </c>
      <c r="C1792" s="1" t="s">
        <v>1198</v>
      </c>
      <c r="D1792" s="1" t="s">
        <v>4724</v>
      </c>
      <c r="E1792" s="1" t="s">
        <v>429</v>
      </c>
      <c r="F1792" s="1" t="s">
        <v>2030</v>
      </c>
      <c r="G1792" s="3">
        <v>0</v>
      </c>
      <c r="H1792" s="20" t="s">
        <v>4780</v>
      </c>
      <c r="I1792" s="20" t="s">
        <v>4781</v>
      </c>
      <c r="J1792" s="20" t="s">
        <v>3160</v>
      </c>
      <c r="K1792" s="20" t="s">
        <v>10016</v>
      </c>
      <c r="L1792" s="3">
        <v>30</v>
      </c>
      <c r="M1792" s="3" t="s">
        <v>10179</v>
      </c>
      <c r="N1792" s="3" t="str">
        <f>HYPERLINK("http://ictvonline.org/taxonomyHistory.asp?taxnode_id=20161590","ICTVonline=20161590")</f>
        <v>ICTVonline=20161590</v>
      </c>
    </row>
    <row r="1793" spans="1:14" x14ac:dyDescent="0.15">
      <c r="A1793" s="3">
        <v>1792</v>
      </c>
      <c r="B1793" s="1" t="s">
        <v>1197</v>
      </c>
      <c r="C1793" s="1" t="s">
        <v>1198</v>
      </c>
      <c r="D1793" s="1" t="s">
        <v>4724</v>
      </c>
      <c r="E1793" s="1" t="s">
        <v>429</v>
      </c>
      <c r="F1793" s="1" t="s">
        <v>2031</v>
      </c>
      <c r="G1793" s="3">
        <v>0</v>
      </c>
      <c r="J1793" s="20" t="s">
        <v>3160</v>
      </c>
      <c r="K1793" s="20" t="s">
        <v>10016</v>
      </c>
      <c r="L1793" s="3">
        <v>30</v>
      </c>
      <c r="M1793" s="3" t="s">
        <v>10179</v>
      </c>
      <c r="N1793" s="3" t="str">
        <f>HYPERLINK("http://ictvonline.org/taxonomyHistory.asp?taxnode_id=20161591","ICTVonline=20161591")</f>
        <v>ICTVonline=20161591</v>
      </c>
    </row>
    <row r="1794" spans="1:14" x14ac:dyDescent="0.15">
      <c r="A1794" s="3">
        <v>1793</v>
      </c>
      <c r="B1794" s="1" t="s">
        <v>1197</v>
      </c>
      <c r="C1794" s="1" t="s">
        <v>1198</v>
      </c>
      <c r="D1794" s="1" t="s">
        <v>4724</v>
      </c>
      <c r="E1794" s="1" t="s">
        <v>429</v>
      </c>
      <c r="F1794" s="1" t="s">
        <v>220</v>
      </c>
      <c r="G1794" s="3">
        <v>0</v>
      </c>
      <c r="J1794" s="20" t="s">
        <v>3160</v>
      </c>
      <c r="K1794" s="20" t="s">
        <v>10016</v>
      </c>
      <c r="L1794" s="3">
        <v>30</v>
      </c>
      <c r="M1794" s="3" t="s">
        <v>10179</v>
      </c>
      <c r="N1794" s="3" t="str">
        <f>HYPERLINK("http://ictvonline.org/taxonomyHistory.asp?taxnode_id=20161592","ICTVonline=20161592")</f>
        <v>ICTVonline=20161592</v>
      </c>
    </row>
    <row r="1795" spans="1:14" x14ac:dyDescent="0.15">
      <c r="A1795" s="3">
        <v>1794</v>
      </c>
      <c r="B1795" s="1" t="s">
        <v>1197</v>
      </c>
      <c r="C1795" s="1" t="s">
        <v>1198</v>
      </c>
      <c r="D1795" s="1" t="s">
        <v>4724</v>
      </c>
      <c r="E1795" s="1" t="s">
        <v>429</v>
      </c>
      <c r="F1795" s="1" t="s">
        <v>2293</v>
      </c>
      <c r="G1795" s="3">
        <v>0</v>
      </c>
      <c r="H1795" s="20" t="s">
        <v>4782</v>
      </c>
      <c r="I1795" s="20" t="s">
        <v>4783</v>
      </c>
      <c r="J1795" s="20" t="s">
        <v>3160</v>
      </c>
      <c r="K1795" s="20" t="s">
        <v>10016</v>
      </c>
      <c r="L1795" s="3">
        <v>30</v>
      </c>
      <c r="M1795" s="3" t="s">
        <v>10179</v>
      </c>
      <c r="N1795" s="3" t="str">
        <f>HYPERLINK("http://ictvonline.org/taxonomyHistory.asp?taxnode_id=20161593","ICTVonline=20161593")</f>
        <v>ICTVonline=20161593</v>
      </c>
    </row>
    <row r="1796" spans="1:14" x14ac:dyDescent="0.15">
      <c r="A1796" s="3">
        <v>1795</v>
      </c>
      <c r="B1796" s="1" t="s">
        <v>1197</v>
      </c>
      <c r="C1796" s="1" t="s">
        <v>1198</v>
      </c>
      <c r="D1796" s="1" t="s">
        <v>4724</v>
      </c>
      <c r="E1796" s="1" t="s">
        <v>429</v>
      </c>
      <c r="F1796" s="1" t="s">
        <v>221</v>
      </c>
      <c r="G1796" s="3">
        <v>0</v>
      </c>
      <c r="H1796" s="20" t="s">
        <v>4784</v>
      </c>
      <c r="I1796" s="20" t="s">
        <v>4785</v>
      </c>
      <c r="J1796" s="20" t="s">
        <v>3160</v>
      </c>
      <c r="K1796" s="20" t="s">
        <v>10016</v>
      </c>
      <c r="L1796" s="3">
        <v>30</v>
      </c>
      <c r="M1796" s="3" t="s">
        <v>10179</v>
      </c>
      <c r="N1796" s="3" t="str">
        <f>HYPERLINK("http://ictvonline.org/taxonomyHistory.asp?taxnode_id=20161594","ICTVonline=20161594")</f>
        <v>ICTVonline=20161594</v>
      </c>
    </row>
    <row r="1797" spans="1:14" x14ac:dyDescent="0.15">
      <c r="A1797" s="3">
        <v>1796</v>
      </c>
      <c r="B1797" s="1" t="s">
        <v>1197</v>
      </c>
      <c r="C1797" s="1" t="s">
        <v>1198</v>
      </c>
      <c r="D1797" s="1" t="s">
        <v>4724</v>
      </c>
      <c r="E1797" s="1" t="s">
        <v>429</v>
      </c>
      <c r="F1797" s="1" t="s">
        <v>222</v>
      </c>
      <c r="G1797" s="3">
        <v>0</v>
      </c>
      <c r="J1797" s="20" t="s">
        <v>3160</v>
      </c>
      <c r="K1797" s="20" t="s">
        <v>10016</v>
      </c>
      <c r="L1797" s="3">
        <v>30</v>
      </c>
      <c r="M1797" s="3" t="s">
        <v>10179</v>
      </c>
      <c r="N1797" s="3" t="str">
        <f>HYPERLINK("http://ictvonline.org/taxonomyHistory.asp?taxnode_id=20161595","ICTVonline=20161595")</f>
        <v>ICTVonline=20161595</v>
      </c>
    </row>
    <row r="1798" spans="1:14" x14ac:dyDescent="0.15">
      <c r="A1798" s="3">
        <v>1797</v>
      </c>
      <c r="B1798" s="1" t="s">
        <v>1197</v>
      </c>
      <c r="C1798" s="1" t="s">
        <v>1198</v>
      </c>
      <c r="D1798" s="1" t="s">
        <v>4724</v>
      </c>
      <c r="E1798" s="1" t="s">
        <v>225</v>
      </c>
      <c r="F1798" s="1" t="s">
        <v>226</v>
      </c>
      <c r="G1798" s="3">
        <v>1</v>
      </c>
      <c r="H1798" s="20" t="s">
        <v>4786</v>
      </c>
      <c r="I1798" s="20" t="s">
        <v>4787</v>
      </c>
      <c r="J1798" s="20" t="s">
        <v>3160</v>
      </c>
      <c r="K1798" s="20" t="s">
        <v>10016</v>
      </c>
      <c r="L1798" s="3">
        <v>30</v>
      </c>
      <c r="M1798" s="3" t="s">
        <v>10179</v>
      </c>
      <c r="N1798" s="3" t="str">
        <f>HYPERLINK("http://ictvonline.org/taxonomyHistory.asp?taxnode_id=20161597","ICTVonline=20161597")</f>
        <v>ICTVonline=20161597</v>
      </c>
    </row>
    <row r="1799" spans="1:14" x14ac:dyDescent="0.15">
      <c r="A1799" s="3">
        <v>1798</v>
      </c>
      <c r="B1799" s="1" t="s">
        <v>1197</v>
      </c>
      <c r="C1799" s="1" t="s">
        <v>1198</v>
      </c>
      <c r="D1799" s="1" t="s">
        <v>4724</v>
      </c>
      <c r="E1799" s="1" t="s">
        <v>225</v>
      </c>
      <c r="F1799" s="1" t="s">
        <v>227</v>
      </c>
      <c r="G1799" s="3">
        <v>0</v>
      </c>
      <c r="H1799" s="20" t="s">
        <v>4788</v>
      </c>
      <c r="I1799" s="20" t="s">
        <v>4789</v>
      </c>
      <c r="J1799" s="20" t="s">
        <v>3160</v>
      </c>
      <c r="K1799" s="20" t="s">
        <v>10016</v>
      </c>
      <c r="L1799" s="3">
        <v>30</v>
      </c>
      <c r="M1799" s="3" t="s">
        <v>10179</v>
      </c>
      <c r="N1799" s="3" t="str">
        <f>HYPERLINK("http://ictvonline.org/taxonomyHistory.asp?taxnode_id=20161598","ICTVonline=20161598")</f>
        <v>ICTVonline=20161598</v>
      </c>
    </row>
    <row r="1800" spans="1:14" x14ac:dyDescent="0.15">
      <c r="A1800" s="3">
        <v>1799</v>
      </c>
      <c r="B1800" s="1" t="s">
        <v>1197</v>
      </c>
      <c r="C1800" s="1" t="s">
        <v>1198</v>
      </c>
      <c r="D1800" s="1" t="s">
        <v>4724</v>
      </c>
      <c r="E1800" s="1" t="s">
        <v>225</v>
      </c>
      <c r="F1800" s="1" t="s">
        <v>2294</v>
      </c>
      <c r="G1800" s="3">
        <v>0</v>
      </c>
      <c r="H1800" s="20" t="s">
        <v>4790</v>
      </c>
      <c r="I1800" s="20" t="s">
        <v>4791</v>
      </c>
      <c r="J1800" s="20" t="s">
        <v>3160</v>
      </c>
      <c r="K1800" s="20" t="s">
        <v>10016</v>
      </c>
      <c r="L1800" s="3">
        <v>30</v>
      </c>
      <c r="M1800" s="3" t="s">
        <v>10179</v>
      </c>
      <c r="N1800" s="3" t="str">
        <f>HYPERLINK("http://ictvonline.org/taxonomyHistory.asp?taxnode_id=20161599","ICTVonline=20161599")</f>
        <v>ICTVonline=20161599</v>
      </c>
    </row>
    <row r="1801" spans="1:14" x14ac:dyDescent="0.15">
      <c r="A1801" s="3">
        <v>1800</v>
      </c>
      <c r="B1801" s="1" t="s">
        <v>1197</v>
      </c>
      <c r="C1801" s="1" t="s">
        <v>1198</v>
      </c>
      <c r="D1801" s="1" t="s">
        <v>4724</v>
      </c>
      <c r="E1801" s="1" t="s">
        <v>225</v>
      </c>
      <c r="F1801" s="1" t="s">
        <v>351</v>
      </c>
      <c r="G1801" s="3">
        <v>0</v>
      </c>
      <c r="H1801" s="20" t="s">
        <v>4792</v>
      </c>
      <c r="I1801" s="20" t="s">
        <v>4793</v>
      </c>
      <c r="J1801" s="20" t="s">
        <v>3160</v>
      </c>
      <c r="K1801" s="20" t="s">
        <v>10016</v>
      </c>
      <c r="L1801" s="3">
        <v>30</v>
      </c>
      <c r="M1801" s="3" t="s">
        <v>10179</v>
      </c>
      <c r="N1801" s="3" t="str">
        <f>HYPERLINK("http://ictvonline.org/taxonomyHistory.asp?taxnode_id=20161600","ICTVonline=20161600")</f>
        <v>ICTVonline=20161600</v>
      </c>
    </row>
    <row r="1802" spans="1:14" x14ac:dyDescent="0.15">
      <c r="A1802" s="3">
        <v>1801</v>
      </c>
      <c r="B1802" s="1" t="s">
        <v>1197</v>
      </c>
      <c r="C1802" s="1" t="s">
        <v>1198</v>
      </c>
      <c r="D1802" s="1" t="s">
        <v>4724</v>
      </c>
      <c r="E1802" s="1" t="s">
        <v>225</v>
      </c>
      <c r="F1802" s="1" t="s">
        <v>2195</v>
      </c>
      <c r="G1802" s="3">
        <v>0</v>
      </c>
      <c r="H1802" s="20" t="s">
        <v>4794</v>
      </c>
      <c r="I1802" s="20" t="s">
        <v>4795</v>
      </c>
      <c r="J1802" s="20" t="s">
        <v>3160</v>
      </c>
      <c r="K1802" s="20" t="s">
        <v>10016</v>
      </c>
      <c r="L1802" s="3">
        <v>30</v>
      </c>
      <c r="M1802" s="3" t="s">
        <v>10179</v>
      </c>
      <c r="N1802" s="3" t="str">
        <f>HYPERLINK("http://ictvonline.org/taxonomyHistory.asp?taxnode_id=20161601","ICTVonline=20161601")</f>
        <v>ICTVonline=20161601</v>
      </c>
    </row>
    <row r="1803" spans="1:14" x14ac:dyDescent="0.15">
      <c r="A1803" s="3">
        <v>1802</v>
      </c>
      <c r="B1803" s="1" t="s">
        <v>1197</v>
      </c>
      <c r="C1803" s="1" t="s">
        <v>1198</v>
      </c>
      <c r="D1803" s="1" t="s">
        <v>4724</v>
      </c>
      <c r="E1803" s="1" t="s">
        <v>225</v>
      </c>
      <c r="F1803" s="1" t="s">
        <v>2413</v>
      </c>
      <c r="G1803" s="3">
        <v>0</v>
      </c>
      <c r="H1803" s="20" t="s">
        <v>4796</v>
      </c>
      <c r="I1803" s="20" t="s">
        <v>4797</v>
      </c>
      <c r="J1803" s="20" t="s">
        <v>3160</v>
      </c>
      <c r="K1803" s="20" t="s">
        <v>10016</v>
      </c>
      <c r="L1803" s="3">
        <v>30</v>
      </c>
      <c r="M1803" s="3" t="s">
        <v>10179</v>
      </c>
      <c r="N1803" s="3" t="str">
        <f>HYPERLINK("http://ictvonline.org/taxonomyHistory.asp?taxnode_id=20161602","ICTVonline=20161602")</f>
        <v>ICTVonline=20161602</v>
      </c>
    </row>
    <row r="1804" spans="1:14" x14ac:dyDescent="0.15">
      <c r="A1804" s="3">
        <v>1803</v>
      </c>
      <c r="B1804" s="1" t="s">
        <v>1197</v>
      </c>
      <c r="C1804" s="1" t="s">
        <v>1198</v>
      </c>
      <c r="D1804" s="1" t="s">
        <v>4724</v>
      </c>
      <c r="E1804" s="1" t="s">
        <v>4798</v>
      </c>
      <c r="F1804" s="1" t="s">
        <v>1558</v>
      </c>
      <c r="G1804" s="3">
        <v>0</v>
      </c>
      <c r="H1804" s="20" t="s">
        <v>4799</v>
      </c>
      <c r="I1804" s="20" t="s">
        <v>4800</v>
      </c>
      <c r="J1804" s="20" t="s">
        <v>3160</v>
      </c>
      <c r="K1804" s="20" t="s">
        <v>10016</v>
      </c>
      <c r="L1804" s="3">
        <v>30</v>
      </c>
      <c r="M1804" s="3" t="s">
        <v>10179</v>
      </c>
      <c r="N1804" s="3" t="str">
        <f>HYPERLINK("http://ictvonline.org/taxonomyHistory.asp?taxnode_id=20161604","ICTVonline=20161604")</f>
        <v>ICTVonline=20161604</v>
      </c>
    </row>
    <row r="1805" spans="1:14" x14ac:dyDescent="0.15">
      <c r="A1805" s="3">
        <v>1804</v>
      </c>
      <c r="B1805" s="1" t="s">
        <v>1197</v>
      </c>
      <c r="C1805" s="1" t="s">
        <v>1198</v>
      </c>
      <c r="D1805" s="1" t="s">
        <v>4724</v>
      </c>
      <c r="E1805" s="1" t="s">
        <v>4798</v>
      </c>
      <c r="F1805" s="1" t="s">
        <v>2056</v>
      </c>
      <c r="G1805" s="3">
        <v>0</v>
      </c>
      <c r="H1805" s="20" t="s">
        <v>4801</v>
      </c>
      <c r="I1805" s="20" t="s">
        <v>4802</v>
      </c>
      <c r="J1805" s="20" t="s">
        <v>3160</v>
      </c>
      <c r="K1805" s="20" t="s">
        <v>10016</v>
      </c>
      <c r="L1805" s="3">
        <v>30</v>
      </c>
      <c r="M1805" s="3" t="s">
        <v>10179</v>
      </c>
      <c r="N1805" s="3" t="str">
        <f>HYPERLINK("http://ictvonline.org/taxonomyHistory.asp?taxnode_id=20161605","ICTVonline=20161605")</f>
        <v>ICTVonline=20161605</v>
      </c>
    </row>
    <row r="1806" spans="1:14" x14ac:dyDescent="0.15">
      <c r="A1806" s="3">
        <v>1805</v>
      </c>
      <c r="B1806" s="1" t="s">
        <v>1197</v>
      </c>
      <c r="C1806" s="1" t="s">
        <v>1198</v>
      </c>
      <c r="D1806" s="1" t="s">
        <v>4724</v>
      </c>
      <c r="E1806" s="1" t="s">
        <v>4798</v>
      </c>
      <c r="F1806" s="1" t="s">
        <v>2057</v>
      </c>
      <c r="G1806" s="3">
        <v>1</v>
      </c>
      <c r="H1806" s="20" t="s">
        <v>4803</v>
      </c>
      <c r="I1806" s="20" t="s">
        <v>4804</v>
      </c>
      <c r="J1806" s="20" t="s">
        <v>3160</v>
      </c>
      <c r="K1806" s="20" t="s">
        <v>10016</v>
      </c>
      <c r="L1806" s="3">
        <v>30</v>
      </c>
      <c r="M1806" s="3" t="s">
        <v>10179</v>
      </c>
      <c r="N1806" s="3" t="str">
        <f>HYPERLINK("http://ictvonline.org/taxonomyHistory.asp?taxnode_id=20161606","ICTVonline=20161606")</f>
        <v>ICTVonline=20161606</v>
      </c>
    </row>
    <row r="1807" spans="1:14" x14ac:dyDescent="0.15">
      <c r="A1807" s="3">
        <v>1806</v>
      </c>
      <c r="B1807" s="1" t="s">
        <v>1197</v>
      </c>
      <c r="C1807" s="1" t="s">
        <v>1198</v>
      </c>
      <c r="D1807" s="1" t="s">
        <v>4724</v>
      </c>
      <c r="E1807" s="1" t="s">
        <v>4798</v>
      </c>
      <c r="F1807" s="1" t="s">
        <v>4805</v>
      </c>
      <c r="G1807" s="3">
        <v>0</v>
      </c>
      <c r="H1807" s="20" t="s">
        <v>6807</v>
      </c>
      <c r="I1807" s="20" t="s">
        <v>4806</v>
      </c>
      <c r="J1807" s="20" t="s">
        <v>3160</v>
      </c>
      <c r="K1807" s="20" t="s">
        <v>10013</v>
      </c>
      <c r="L1807" s="3">
        <v>30</v>
      </c>
      <c r="M1807" s="3" t="s">
        <v>10179</v>
      </c>
      <c r="N1807" s="3" t="str">
        <f>HYPERLINK("http://ictvonline.org/taxonomyHistory.asp?taxnode_id=20161607","ICTVonline=20161607")</f>
        <v>ICTVonline=20161607</v>
      </c>
    </row>
    <row r="1808" spans="1:14" x14ac:dyDescent="0.15">
      <c r="A1808" s="3">
        <v>1807</v>
      </c>
      <c r="B1808" s="1" t="s">
        <v>1197</v>
      </c>
      <c r="C1808" s="1" t="s">
        <v>1198</v>
      </c>
      <c r="D1808" s="1" t="s">
        <v>4724</v>
      </c>
      <c r="E1808" s="1" t="s">
        <v>4798</v>
      </c>
      <c r="F1808" s="1" t="s">
        <v>4807</v>
      </c>
      <c r="G1808" s="3">
        <v>0</v>
      </c>
      <c r="H1808" s="20" t="s">
        <v>6808</v>
      </c>
      <c r="I1808" s="20" t="s">
        <v>4808</v>
      </c>
      <c r="J1808" s="20" t="s">
        <v>3160</v>
      </c>
      <c r="K1808" s="20" t="s">
        <v>10013</v>
      </c>
      <c r="L1808" s="3">
        <v>30</v>
      </c>
      <c r="M1808" s="3" t="s">
        <v>10179</v>
      </c>
      <c r="N1808" s="3" t="str">
        <f>HYPERLINK("http://ictvonline.org/taxonomyHistory.asp?taxnode_id=20161608","ICTVonline=20161608")</f>
        <v>ICTVonline=20161608</v>
      </c>
    </row>
    <row r="1809" spans="1:14" x14ac:dyDescent="0.15">
      <c r="A1809" s="3">
        <v>1808</v>
      </c>
      <c r="B1809" s="1" t="s">
        <v>1197</v>
      </c>
      <c r="C1809" s="1" t="s">
        <v>1198</v>
      </c>
      <c r="D1809" s="1" t="s">
        <v>4724</v>
      </c>
      <c r="E1809" s="1" t="s">
        <v>926</v>
      </c>
      <c r="F1809" s="1" t="s">
        <v>2167</v>
      </c>
      <c r="G1809" s="3">
        <v>0</v>
      </c>
      <c r="H1809" s="20" t="s">
        <v>4809</v>
      </c>
      <c r="I1809" s="20" t="s">
        <v>4810</v>
      </c>
      <c r="J1809" s="20" t="s">
        <v>3160</v>
      </c>
      <c r="K1809" s="20" t="s">
        <v>10016</v>
      </c>
      <c r="L1809" s="3">
        <v>30</v>
      </c>
      <c r="M1809" s="3" t="s">
        <v>10179</v>
      </c>
      <c r="N1809" s="3" t="str">
        <f>HYPERLINK("http://ictvonline.org/taxonomyHistory.asp?taxnode_id=20161610","ICTVonline=20161610")</f>
        <v>ICTVonline=20161610</v>
      </c>
    </row>
    <row r="1810" spans="1:14" x14ac:dyDescent="0.15">
      <c r="A1810" s="3">
        <v>1809</v>
      </c>
      <c r="B1810" s="1" t="s">
        <v>1197</v>
      </c>
      <c r="C1810" s="1" t="s">
        <v>1198</v>
      </c>
      <c r="D1810" s="1" t="s">
        <v>4724</v>
      </c>
      <c r="E1810" s="1" t="s">
        <v>926</v>
      </c>
      <c r="F1810" s="1" t="s">
        <v>2297</v>
      </c>
      <c r="G1810" s="3">
        <v>0</v>
      </c>
      <c r="J1810" s="20" t="s">
        <v>3160</v>
      </c>
      <c r="K1810" s="20" t="s">
        <v>10016</v>
      </c>
      <c r="L1810" s="3">
        <v>30</v>
      </c>
      <c r="M1810" s="3" t="s">
        <v>10179</v>
      </c>
      <c r="N1810" s="3" t="str">
        <f>HYPERLINK("http://ictvonline.org/taxonomyHistory.asp?taxnode_id=20161611","ICTVonline=20161611")</f>
        <v>ICTVonline=20161611</v>
      </c>
    </row>
    <row r="1811" spans="1:14" x14ac:dyDescent="0.15">
      <c r="A1811" s="3">
        <v>1810</v>
      </c>
      <c r="B1811" s="1" t="s">
        <v>1197</v>
      </c>
      <c r="C1811" s="1" t="s">
        <v>1198</v>
      </c>
      <c r="D1811" s="1" t="s">
        <v>4724</v>
      </c>
      <c r="E1811" s="1" t="s">
        <v>926</v>
      </c>
      <c r="F1811" s="1" t="s">
        <v>1559</v>
      </c>
      <c r="G1811" s="3">
        <v>0</v>
      </c>
      <c r="H1811" s="20" t="s">
        <v>4811</v>
      </c>
      <c r="I1811" s="20" t="s">
        <v>4623</v>
      </c>
      <c r="J1811" s="20" t="s">
        <v>3160</v>
      </c>
      <c r="K1811" s="20" t="s">
        <v>10016</v>
      </c>
      <c r="L1811" s="3">
        <v>30</v>
      </c>
      <c r="M1811" s="3" t="s">
        <v>10179</v>
      </c>
      <c r="N1811" s="3" t="str">
        <f>HYPERLINK("http://ictvonline.org/taxonomyHistory.asp?taxnode_id=20161612","ICTVonline=20161612")</f>
        <v>ICTVonline=20161612</v>
      </c>
    </row>
    <row r="1812" spans="1:14" x14ac:dyDescent="0.15">
      <c r="A1812" s="3">
        <v>1811</v>
      </c>
      <c r="B1812" s="1" t="s">
        <v>1197</v>
      </c>
      <c r="C1812" s="1" t="s">
        <v>1198</v>
      </c>
      <c r="D1812" s="1" t="s">
        <v>4812</v>
      </c>
      <c r="E1812" s="1" t="s">
        <v>293</v>
      </c>
      <c r="F1812" s="1" t="s">
        <v>427</v>
      </c>
      <c r="G1812" s="3">
        <v>1</v>
      </c>
      <c r="H1812" s="20" t="s">
        <v>4813</v>
      </c>
      <c r="I1812" s="20" t="s">
        <v>4814</v>
      </c>
      <c r="J1812" s="20" t="s">
        <v>3160</v>
      </c>
      <c r="K1812" s="20" t="s">
        <v>10016</v>
      </c>
      <c r="L1812" s="3">
        <v>30</v>
      </c>
      <c r="M1812" s="3" t="s">
        <v>10179</v>
      </c>
      <c r="N1812" s="3" t="str">
        <f>HYPERLINK("http://ictvonline.org/taxonomyHistory.asp?taxnode_id=20161615","ICTVonline=20161615")</f>
        <v>ICTVonline=20161615</v>
      </c>
    </row>
    <row r="1813" spans="1:14" x14ac:dyDescent="0.15">
      <c r="A1813" s="3">
        <v>1812</v>
      </c>
      <c r="B1813" s="1" t="s">
        <v>1197</v>
      </c>
      <c r="C1813" s="1" t="s">
        <v>1198</v>
      </c>
      <c r="D1813" s="1" t="s">
        <v>4812</v>
      </c>
      <c r="E1813" s="1" t="s">
        <v>293</v>
      </c>
      <c r="F1813" s="1" t="s">
        <v>428</v>
      </c>
      <c r="G1813" s="3">
        <v>0</v>
      </c>
      <c r="H1813" s="20" t="s">
        <v>4815</v>
      </c>
      <c r="I1813" s="20" t="s">
        <v>4816</v>
      </c>
      <c r="J1813" s="20" t="s">
        <v>3160</v>
      </c>
      <c r="K1813" s="20" t="s">
        <v>10016</v>
      </c>
      <c r="L1813" s="3">
        <v>30</v>
      </c>
      <c r="M1813" s="3" t="s">
        <v>10179</v>
      </c>
      <c r="N1813" s="3" t="str">
        <f>HYPERLINK("http://ictvonline.org/taxonomyHistory.asp?taxnode_id=20161616","ICTVonline=20161616")</f>
        <v>ICTVonline=20161616</v>
      </c>
    </row>
    <row r="1814" spans="1:14" x14ac:dyDescent="0.15">
      <c r="A1814" s="3">
        <v>1813</v>
      </c>
      <c r="B1814" s="1" t="s">
        <v>1197</v>
      </c>
      <c r="C1814" s="1" t="s">
        <v>1198</v>
      </c>
      <c r="D1814" s="1" t="s">
        <v>4812</v>
      </c>
      <c r="E1814" s="1" t="s">
        <v>4817</v>
      </c>
      <c r="F1814" s="1" t="s">
        <v>4818</v>
      </c>
      <c r="G1814" s="3">
        <v>1</v>
      </c>
      <c r="H1814" s="20" t="s">
        <v>6809</v>
      </c>
      <c r="I1814" s="20" t="s">
        <v>4819</v>
      </c>
      <c r="J1814" s="20" t="s">
        <v>3160</v>
      </c>
      <c r="K1814" s="20" t="s">
        <v>10013</v>
      </c>
      <c r="L1814" s="3">
        <v>30</v>
      </c>
      <c r="M1814" s="3" t="s">
        <v>10179</v>
      </c>
      <c r="N1814" s="3" t="str">
        <f>HYPERLINK("http://ictvonline.org/taxonomyHistory.asp?taxnode_id=20161618","ICTVonline=20161618")</f>
        <v>ICTVonline=20161618</v>
      </c>
    </row>
    <row r="1815" spans="1:14" x14ac:dyDescent="0.15">
      <c r="A1815" s="3">
        <v>1814</v>
      </c>
      <c r="B1815" s="1" t="s">
        <v>1197</v>
      </c>
      <c r="C1815" s="1" t="s">
        <v>1198</v>
      </c>
      <c r="D1815" s="1" t="s">
        <v>4812</v>
      </c>
      <c r="E1815" s="1" t="s">
        <v>4817</v>
      </c>
      <c r="F1815" s="1" t="s">
        <v>4820</v>
      </c>
      <c r="G1815" s="3">
        <v>0</v>
      </c>
      <c r="H1815" s="20" t="s">
        <v>6810</v>
      </c>
      <c r="I1815" s="20" t="s">
        <v>4821</v>
      </c>
      <c r="J1815" s="20" t="s">
        <v>3160</v>
      </c>
      <c r="K1815" s="20" t="s">
        <v>10013</v>
      </c>
      <c r="L1815" s="3">
        <v>30</v>
      </c>
      <c r="M1815" s="3" t="s">
        <v>10179</v>
      </c>
      <c r="N1815" s="3" t="str">
        <f>HYPERLINK("http://ictvonline.org/taxonomyHistory.asp?taxnode_id=20161619","ICTVonline=20161619")</f>
        <v>ICTVonline=20161619</v>
      </c>
    </row>
    <row r="1816" spans="1:14" x14ac:dyDescent="0.15">
      <c r="A1816" s="3">
        <v>1815</v>
      </c>
      <c r="B1816" s="1" t="s">
        <v>1197</v>
      </c>
      <c r="C1816" s="1" t="s">
        <v>1198</v>
      </c>
      <c r="D1816" s="1" t="s">
        <v>4812</v>
      </c>
      <c r="E1816" s="1" t="s">
        <v>223</v>
      </c>
      <c r="F1816" s="1" t="s">
        <v>224</v>
      </c>
      <c r="G1816" s="3">
        <v>1</v>
      </c>
      <c r="H1816" s="20" t="s">
        <v>4822</v>
      </c>
      <c r="I1816" s="20" t="s">
        <v>4823</v>
      </c>
      <c r="J1816" s="20" t="s">
        <v>3160</v>
      </c>
      <c r="K1816" s="20" t="s">
        <v>10016</v>
      </c>
      <c r="L1816" s="3">
        <v>30</v>
      </c>
      <c r="M1816" s="3" t="s">
        <v>10179</v>
      </c>
      <c r="N1816" s="3" t="str">
        <f>HYPERLINK("http://ictvonline.org/taxonomyHistory.asp?taxnode_id=20161621","ICTVonline=20161621")</f>
        <v>ICTVonline=20161621</v>
      </c>
    </row>
    <row r="1817" spans="1:14" x14ac:dyDescent="0.15">
      <c r="A1817" s="3">
        <v>1816</v>
      </c>
      <c r="B1817" s="1" t="s">
        <v>1197</v>
      </c>
      <c r="C1817" s="1" t="s">
        <v>1198</v>
      </c>
      <c r="D1817" s="1" t="s">
        <v>4812</v>
      </c>
      <c r="E1817" s="1" t="s">
        <v>4824</v>
      </c>
      <c r="F1817" s="1" t="s">
        <v>2414</v>
      </c>
      <c r="G1817" s="3">
        <v>1</v>
      </c>
      <c r="H1817" s="20" t="s">
        <v>4825</v>
      </c>
      <c r="I1817" s="20" t="s">
        <v>6811</v>
      </c>
      <c r="J1817" s="20" t="s">
        <v>3160</v>
      </c>
      <c r="K1817" s="20" t="s">
        <v>10016</v>
      </c>
      <c r="L1817" s="3">
        <v>30</v>
      </c>
      <c r="M1817" s="3" t="s">
        <v>10179</v>
      </c>
      <c r="N1817" s="3" t="str">
        <f>HYPERLINK("http://ictvonline.org/taxonomyHistory.asp?taxnode_id=20161623","ICTVonline=20161623")</f>
        <v>ICTVonline=20161623</v>
      </c>
    </row>
    <row r="1818" spans="1:14" x14ac:dyDescent="0.15">
      <c r="A1818" s="3">
        <v>1817</v>
      </c>
      <c r="B1818" s="1" t="s">
        <v>1197</v>
      </c>
      <c r="C1818" s="1" t="s">
        <v>1198</v>
      </c>
      <c r="D1818" s="1" t="s">
        <v>4812</v>
      </c>
      <c r="E1818" s="1" t="s">
        <v>4824</v>
      </c>
      <c r="F1818" s="1" t="s">
        <v>2415</v>
      </c>
      <c r="G1818" s="3">
        <v>0</v>
      </c>
      <c r="H1818" s="20" t="s">
        <v>4826</v>
      </c>
      <c r="I1818" s="20" t="s">
        <v>6811</v>
      </c>
      <c r="J1818" s="20" t="s">
        <v>3160</v>
      </c>
      <c r="K1818" s="20" t="s">
        <v>10016</v>
      </c>
      <c r="L1818" s="3">
        <v>30</v>
      </c>
      <c r="M1818" s="3" t="s">
        <v>10179</v>
      </c>
      <c r="N1818" s="3" t="str">
        <f>HYPERLINK("http://ictvonline.org/taxonomyHistory.asp?taxnode_id=20161624","ICTVonline=20161624")</f>
        <v>ICTVonline=20161624</v>
      </c>
    </row>
    <row r="1819" spans="1:14" x14ac:dyDescent="0.15">
      <c r="A1819" s="3">
        <v>1818</v>
      </c>
      <c r="B1819" s="1" t="s">
        <v>1197</v>
      </c>
      <c r="C1819" s="1" t="s">
        <v>1198</v>
      </c>
      <c r="D1819" s="1" t="s">
        <v>4812</v>
      </c>
      <c r="E1819" s="1" t="s">
        <v>4824</v>
      </c>
      <c r="F1819" s="1" t="s">
        <v>2298</v>
      </c>
      <c r="G1819" s="3">
        <v>0</v>
      </c>
      <c r="H1819" s="20" t="s">
        <v>4827</v>
      </c>
      <c r="I1819" s="20" t="s">
        <v>4828</v>
      </c>
      <c r="J1819" s="20" t="s">
        <v>3160</v>
      </c>
      <c r="K1819" s="20" t="s">
        <v>10016</v>
      </c>
      <c r="L1819" s="3">
        <v>30</v>
      </c>
      <c r="M1819" s="3" t="s">
        <v>10179</v>
      </c>
      <c r="N1819" s="3" t="str">
        <f>HYPERLINK("http://ictvonline.org/taxonomyHistory.asp?taxnode_id=20161625","ICTVonline=20161625")</f>
        <v>ICTVonline=20161625</v>
      </c>
    </row>
    <row r="1820" spans="1:14" x14ac:dyDescent="0.15">
      <c r="A1820" s="3">
        <v>1819</v>
      </c>
      <c r="B1820" s="1" t="s">
        <v>1197</v>
      </c>
      <c r="C1820" s="1" t="s">
        <v>1198</v>
      </c>
      <c r="D1820" s="1" t="s">
        <v>4812</v>
      </c>
      <c r="E1820" s="1" t="s">
        <v>4829</v>
      </c>
      <c r="F1820" s="1" t="s">
        <v>4830</v>
      </c>
      <c r="G1820" s="3">
        <v>1</v>
      </c>
      <c r="H1820" s="20" t="s">
        <v>6812</v>
      </c>
      <c r="I1820" s="20" t="s">
        <v>4831</v>
      </c>
      <c r="J1820" s="20" t="s">
        <v>3160</v>
      </c>
      <c r="K1820" s="20" t="s">
        <v>10013</v>
      </c>
      <c r="L1820" s="3">
        <v>30</v>
      </c>
      <c r="M1820" s="3" t="s">
        <v>10179</v>
      </c>
      <c r="N1820" s="3" t="str">
        <f>HYPERLINK("http://ictvonline.org/taxonomyHistory.asp?taxnode_id=20161627","ICTVonline=20161627")</f>
        <v>ICTVonline=20161627</v>
      </c>
    </row>
    <row r="1821" spans="1:14" x14ac:dyDescent="0.15">
      <c r="A1821" s="3">
        <v>1820</v>
      </c>
      <c r="B1821" s="1" t="s">
        <v>1197</v>
      </c>
      <c r="C1821" s="1" t="s">
        <v>1198</v>
      </c>
      <c r="D1821" s="1" t="s">
        <v>4812</v>
      </c>
      <c r="E1821" s="1" t="s">
        <v>4829</v>
      </c>
      <c r="F1821" s="1" t="s">
        <v>4832</v>
      </c>
      <c r="G1821" s="3">
        <v>0</v>
      </c>
      <c r="H1821" s="20" t="s">
        <v>6813</v>
      </c>
      <c r="I1821" s="20" t="s">
        <v>4833</v>
      </c>
      <c r="J1821" s="20" t="s">
        <v>3160</v>
      </c>
      <c r="K1821" s="20" t="s">
        <v>10013</v>
      </c>
      <c r="L1821" s="3">
        <v>30</v>
      </c>
      <c r="M1821" s="3" t="s">
        <v>10179</v>
      </c>
      <c r="N1821" s="3" t="str">
        <f>HYPERLINK("http://ictvonline.org/taxonomyHistory.asp?taxnode_id=20161628","ICTVonline=20161628")</f>
        <v>ICTVonline=20161628</v>
      </c>
    </row>
    <row r="1822" spans="1:14" x14ac:dyDescent="0.15">
      <c r="A1822" s="3">
        <v>1821</v>
      </c>
      <c r="B1822" s="1" t="s">
        <v>1197</v>
      </c>
      <c r="C1822" s="1" t="s">
        <v>1198</v>
      </c>
      <c r="D1822" s="1" t="s">
        <v>4812</v>
      </c>
      <c r="E1822" s="1" t="s">
        <v>12</v>
      </c>
      <c r="F1822" s="1" t="s">
        <v>2058</v>
      </c>
      <c r="G1822" s="3">
        <v>1</v>
      </c>
      <c r="H1822" s="20" t="s">
        <v>4834</v>
      </c>
      <c r="I1822" s="20" t="s">
        <v>4835</v>
      </c>
      <c r="J1822" s="20" t="s">
        <v>3160</v>
      </c>
      <c r="K1822" s="20" t="s">
        <v>10016</v>
      </c>
      <c r="L1822" s="3">
        <v>30</v>
      </c>
      <c r="M1822" s="3" t="s">
        <v>10179</v>
      </c>
      <c r="N1822" s="3" t="str">
        <f>HYPERLINK("http://ictvonline.org/taxonomyHistory.asp?taxnode_id=20161630","ICTVonline=20161630")</f>
        <v>ICTVonline=20161630</v>
      </c>
    </row>
    <row r="1823" spans="1:14" x14ac:dyDescent="0.15">
      <c r="A1823" s="3">
        <v>1822</v>
      </c>
      <c r="B1823" s="1" t="s">
        <v>1197</v>
      </c>
      <c r="C1823" s="1" t="s">
        <v>1198</v>
      </c>
      <c r="D1823" s="1" t="s">
        <v>4812</v>
      </c>
      <c r="E1823" s="1" t="s">
        <v>12</v>
      </c>
      <c r="F1823" s="1" t="s">
        <v>4836</v>
      </c>
      <c r="G1823" s="3">
        <v>0</v>
      </c>
      <c r="H1823" s="20" t="s">
        <v>6814</v>
      </c>
      <c r="I1823" s="20" t="s">
        <v>4837</v>
      </c>
      <c r="J1823" s="20" t="s">
        <v>3160</v>
      </c>
      <c r="K1823" s="20" t="s">
        <v>10013</v>
      </c>
      <c r="L1823" s="3">
        <v>30</v>
      </c>
      <c r="M1823" s="3" t="s">
        <v>10179</v>
      </c>
      <c r="N1823" s="3" t="str">
        <f>HYPERLINK("http://ictvonline.org/taxonomyHistory.asp?taxnode_id=20161631","ICTVonline=20161631")</f>
        <v>ICTVonline=20161631</v>
      </c>
    </row>
    <row r="1824" spans="1:14" x14ac:dyDescent="0.15">
      <c r="A1824" s="3">
        <v>1823</v>
      </c>
      <c r="B1824" s="1" t="s">
        <v>1197</v>
      </c>
      <c r="C1824" s="1" t="s">
        <v>1198</v>
      </c>
      <c r="D1824" s="1" t="s">
        <v>4812</v>
      </c>
      <c r="E1824" s="1" t="s">
        <v>356</v>
      </c>
      <c r="F1824" s="1" t="s">
        <v>1501</v>
      </c>
      <c r="G1824" s="3">
        <v>1</v>
      </c>
      <c r="H1824" s="20" t="s">
        <v>4838</v>
      </c>
      <c r="I1824" s="20" t="s">
        <v>4839</v>
      </c>
      <c r="J1824" s="20" t="s">
        <v>3160</v>
      </c>
      <c r="K1824" s="20" t="s">
        <v>10016</v>
      </c>
      <c r="L1824" s="3">
        <v>30</v>
      </c>
      <c r="M1824" s="3" t="s">
        <v>10179</v>
      </c>
      <c r="N1824" s="3" t="str">
        <f>HYPERLINK("http://ictvonline.org/taxonomyHistory.asp?taxnode_id=20161633","ICTVonline=20161633")</f>
        <v>ICTVonline=20161633</v>
      </c>
    </row>
    <row r="1825" spans="1:14" x14ac:dyDescent="0.15">
      <c r="A1825" s="3">
        <v>1824</v>
      </c>
      <c r="B1825" s="1" t="s">
        <v>1197</v>
      </c>
      <c r="C1825" s="1" t="s">
        <v>1198</v>
      </c>
      <c r="D1825" s="1" t="s">
        <v>4812</v>
      </c>
      <c r="E1825" s="1" t="s">
        <v>356</v>
      </c>
      <c r="F1825" s="1" t="s">
        <v>2163</v>
      </c>
      <c r="G1825" s="3">
        <v>0</v>
      </c>
      <c r="H1825" s="20" t="s">
        <v>4840</v>
      </c>
      <c r="I1825" s="20" t="s">
        <v>4841</v>
      </c>
      <c r="J1825" s="20" t="s">
        <v>3160</v>
      </c>
      <c r="K1825" s="20" t="s">
        <v>10016</v>
      </c>
      <c r="L1825" s="3">
        <v>30</v>
      </c>
      <c r="M1825" s="3" t="s">
        <v>10179</v>
      </c>
      <c r="N1825" s="3" t="str">
        <f>HYPERLINK("http://ictvonline.org/taxonomyHistory.asp?taxnode_id=20161634","ICTVonline=20161634")</f>
        <v>ICTVonline=20161634</v>
      </c>
    </row>
    <row r="1826" spans="1:14" x14ac:dyDescent="0.15">
      <c r="A1826" s="3">
        <v>1825</v>
      </c>
      <c r="B1826" s="1" t="s">
        <v>1197</v>
      </c>
      <c r="C1826" s="1" t="s">
        <v>1198</v>
      </c>
      <c r="D1826" s="1" t="s">
        <v>4812</v>
      </c>
      <c r="E1826" s="1" t="s">
        <v>356</v>
      </c>
      <c r="F1826" s="1" t="s">
        <v>2164</v>
      </c>
      <c r="G1826" s="3">
        <v>0</v>
      </c>
      <c r="H1826" s="20" t="s">
        <v>4842</v>
      </c>
      <c r="I1826" s="20" t="s">
        <v>4843</v>
      </c>
      <c r="J1826" s="20" t="s">
        <v>3160</v>
      </c>
      <c r="K1826" s="20" t="s">
        <v>10016</v>
      </c>
      <c r="L1826" s="3">
        <v>30</v>
      </c>
      <c r="M1826" s="3" t="s">
        <v>10179</v>
      </c>
      <c r="N1826" s="3" t="str">
        <f>HYPERLINK("http://ictvonline.org/taxonomyHistory.asp?taxnode_id=20161635","ICTVonline=20161635")</f>
        <v>ICTVonline=20161635</v>
      </c>
    </row>
    <row r="1827" spans="1:14" x14ac:dyDescent="0.15">
      <c r="A1827" s="3">
        <v>1826</v>
      </c>
      <c r="B1827" s="1" t="s">
        <v>1197</v>
      </c>
      <c r="C1827" s="1" t="s">
        <v>1198</v>
      </c>
      <c r="D1827" s="1" t="s">
        <v>4812</v>
      </c>
      <c r="E1827" s="1" t="s">
        <v>356</v>
      </c>
      <c r="F1827" s="1" t="s">
        <v>2165</v>
      </c>
      <c r="G1827" s="3">
        <v>0</v>
      </c>
      <c r="H1827" s="20" t="s">
        <v>4844</v>
      </c>
      <c r="I1827" s="20" t="s">
        <v>4608</v>
      </c>
      <c r="J1827" s="20" t="s">
        <v>3160</v>
      </c>
      <c r="K1827" s="20" t="s">
        <v>10016</v>
      </c>
      <c r="L1827" s="3">
        <v>30</v>
      </c>
      <c r="M1827" s="3" t="s">
        <v>10179</v>
      </c>
      <c r="N1827" s="3" t="str">
        <f>HYPERLINK("http://ictvonline.org/taxonomyHistory.asp?taxnode_id=20161636","ICTVonline=20161636")</f>
        <v>ICTVonline=20161636</v>
      </c>
    </row>
    <row r="1828" spans="1:14" x14ac:dyDescent="0.15">
      <c r="A1828" s="3">
        <v>1827</v>
      </c>
      <c r="B1828" s="1" t="s">
        <v>1197</v>
      </c>
      <c r="C1828" s="1" t="s">
        <v>1198</v>
      </c>
      <c r="D1828" s="1" t="s">
        <v>4812</v>
      </c>
      <c r="E1828" s="1" t="s">
        <v>356</v>
      </c>
      <c r="F1828" s="1" t="s">
        <v>2295</v>
      </c>
      <c r="G1828" s="3">
        <v>0</v>
      </c>
      <c r="H1828" s="20" t="s">
        <v>4845</v>
      </c>
      <c r="I1828" s="20" t="s">
        <v>4600</v>
      </c>
      <c r="J1828" s="20" t="s">
        <v>3160</v>
      </c>
      <c r="K1828" s="20" t="s">
        <v>10016</v>
      </c>
      <c r="L1828" s="3">
        <v>30</v>
      </c>
      <c r="M1828" s="3" t="s">
        <v>10179</v>
      </c>
      <c r="N1828" s="3" t="str">
        <f>HYPERLINK("http://ictvonline.org/taxonomyHistory.asp?taxnode_id=20161637","ICTVonline=20161637")</f>
        <v>ICTVonline=20161637</v>
      </c>
    </row>
    <row r="1829" spans="1:14" x14ac:dyDescent="0.15">
      <c r="A1829" s="3">
        <v>1828</v>
      </c>
      <c r="B1829" s="1" t="s">
        <v>1197</v>
      </c>
      <c r="C1829" s="1" t="s">
        <v>1198</v>
      </c>
      <c r="D1829" s="1" t="s">
        <v>4812</v>
      </c>
      <c r="E1829" s="1" t="s">
        <v>356</v>
      </c>
      <c r="F1829" s="1" t="s">
        <v>2166</v>
      </c>
      <c r="G1829" s="3">
        <v>0</v>
      </c>
      <c r="H1829" s="20" t="s">
        <v>4846</v>
      </c>
      <c r="I1829" s="20" t="s">
        <v>4847</v>
      </c>
      <c r="J1829" s="20" t="s">
        <v>3160</v>
      </c>
      <c r="K1829" s="20" t="s">
        <v>10016</v>
      </c>
      <c r="L1829" s="3">
        <v>30</v>
      </c>
      <c r="M1829" s="3" t="s">
        <v>10179</v>
      </c>
      <c r="N1829" s="3" t="str">
        <f>HYPERLINK("http://ictvonline.org/taxonomyHistory.asp?taxnode_id=20161638","ICTVonline=20161638")</f>
        <v>ICTVonline=20161638</v>
      </c>
    </row>
    <row r="1830" spans="1:14" x14ac:dyDescent="0.15">
      <c r="A1830" s="3">
        <v>1829</v>
      </c>
      <c r="B1830" s="1" t="s">
        <v>1197</v>
      </c>
      <c r="C1830" s="1" t="s">
        <v>1198</v>
      </c>
      <c r="D1830" s="1" t="s">
        <v>4812</v>
      </c>
      <c r="E1830" s="1" t="s">
        <v>356</v>
      </c>
      <c r="F1830" s="1" t="s">
        <v>2296</v>
      </c>
      <c r="G1830" s="3">
        <v>0</v>
      </c>
      <c r="J1830" s="20" t="s">
        <v>3160</v>
      </c>
      <c r="K1830" s="20" t="s">
        <v>10016</v>
      </c>
      <c r="L1830" s="3">
        <v>30</v>
      </c>
      <c r="M1830" s="3" t="s">
        <v>10179</v>
      </c>
      <c r="N1830" s="3" t="str">
        <f>HYPERLINK("http://ictvonline.org/taxonomyHistory.asp?taxnode_id=20161639","ICTVonline=20161639")</f>
        <v>ICTVonline=20161639</v>
      </c>
    </row>
    <row r="1831" spans="1:14" x14ac:dyDescent="0.15">
      <c r="A1831" s="3">
        <v>1830</v>
      </c>
      <c r="B1831" s="1" t="s">
        <v>1197</v>
      </c>
      <c r="C1831" s="1" t="s">
        <v>1198</v>
      </c>
      <c r="D1831" s="1" t="s">
        <v>4812</v>
      </c>
      <c r="E1831" s="1" t="s">
        <v>1703</v>
      </c>
      <c r="F1831" s="1" t="s">
        <v>2299</v>
      </c>
      <c r="G1831" s="3">
        <v>0</v>
      </c>
      <c r="J1831" s="20" t="s">
        <v>3160</v>
      </c>
      <c r="K1831" s="20" t="s">
        <v>10016</v>
      </c>
      <c r="L1831" s="3">
        <v>30</v>
      </c>
      <c r="M1831" s="3" t="s">
        <v>10179</v>
      </c>
      <c r="N1831" s="3" t="str">
        <f>HYPERLINK("http://ictvonline.org/taxonomyHistory.asp?taxnode_id=20161641","ICTVonline=20161641")</f>
        <v>ICTVonline=20161641</v>
      </c>
    </row>
    <row r="1832" spans="1:14" x14ac:dyDescent="0.15">
      <c r="A1832" s="3">
        <v>1831</v>
      </c>
      <c r="B1832" s="1" t="s">
        <v>1197</v>
      </c>
      <c r="C1832" s="1" t="s">
        <v>1198</v>
      </c>
      <c r="D1832" s="1" t="s">
        <v>4812</v>
      </c>
      <c r="E1832" s="1" t="s">
        <v>1703</v>
      </c>
      <c r="F1832" s="1" t="s">
        <v>2380</v>
      </c>
      <c r="G1832" s="3">
        <v>0</v>
      </c>
      <c r="H1832" s="20" t="s">
        <v>4848</v>
      </c>
      <c r="I1832" s="20" t="s">
        <v>4849</v>
      </c>
      <c r="J1832" s="20" t="s">
        <v>3160</v>
      </c>
      <c r="K1832" s="20" t="s">
        <v>10016</v>
      </c>
      <c r="L1832" s="3">
        <v>30</v>
      </c>
      <c r="M1832" s="3" t="s">
        <v>10179</v>
      </c>
      <c r="N1832" s="3" t="str">
        <f>HYPERLINK("http://ictvonline.org/taxonomyHistory.asp?taxnode_id=20161642","ICTVonline=20161642")</f>
        <v>ICTVonline=20161642</v>
      </c>
    </row>
    <row r="1833" spans="1:14" x14ac:dyDescent="0.15">
      <c r="A1833" s="3">
        <v>1832</v>
      </c>
      <c r="B1833" s="1" t="s">
        <v>1197</v>
      </c>
      <c r="C1833" s="1" t="s">
        <v>1198</v>
      </c>
      <c r="D1833" s="1" t="s">
        <v>4812</v>
      </c>
      <c r="E1833" s="1" t="s">
        <v>1703</v>
      </c>
      <c r="F1833" s="1" t="s">
        <v>1704</v>
      </c>
      <c r="G1833" s="3">
        <v>1</v>
      </c>
      <c r="H1833" s="20" t="s">
        <v>4850</v>
      </c>
      <c r="I1833" s="20" t="s">
        <v>4851</v>
      </c>
      <c r="J1833" s="20" t="s">
        <v>3160</v>
      </c>
      <c r="K1833" s="20" t="s">
        <v>10016</v>
      </c>
      <c r="L1833" s="3">
        <v>30</v>
      </c>
      <c r="M1833" s="3" t="s">
        <v>10179</v>
      </c>
      <c r="N1833" s="3" t="str">
        <f>HYPERLINK("http://ictvonline.org/taxonomyHistory.asp?taxnode_id=20161643","ICTVonline=20161643")</f>
        <v>ICTVonline=20161643</v>
      </c>
    </row>
    <row r="1834" spans="1:14" x14ac:dyDescent="0.15">
      <c r="A1834" s="3">
        <v>1833</v>
      </c>
      <c r="B1834" s="1" t="s">
        <v>1197</v>
      </c>
      <c r="C1834" s="1" t="s">
        <v>1198</v>
      </c>
      <c r="D1834" s="1" t="s">
        <v>4812</v>
      </c>
      <c r="E1834" s="1" t="s">
        <v>1703</v>
      </c>
      <c r="F1834" s="1" t="s">
        <v>521</v>
      </c>
      <c r="G1834" s="3">
        <v>0</v>
      </c>
      <c r="H1834" s="20" t="s">
        <v>4852</v>
      </c>
      <c r="I1834" s="20" t="s">
        <v>4853</v>
      </c>
      <c r="J1834" s="20" t="s">
        <v>3160</v>
      </c>
      <c r="K1834" s="20" t="s">
        <v>10016</v>
      </c>
      <c r="L1834" s="3">
        <v>30</v>
      </c>
      <c r="M1834" s="3" t="s">
        <v>10179</v>
      </c>
      <c r="N1834" s="3" t="str">
        <f>HYPERLINK("http://ictvonline.org/taxonomyHistory.asp?taxnode_id=20161644","ICTVonline=20161644")</f>
        <v>ICTVonline=20161644</v>
      </c>
    </row>
    <row r="1835" spans="1:14" x14ac:dyDescent="0.15">
      <c r="A1835" s="3">
        <v>1834</v>
      </c>
      <c r="B1835" s="1" t="s">
        <v>1197</v>
      </c>
      <c r="C1835" s="1" t="s">
        <v>1198</v>
      </c>
      <c r="D1835" s="1" t="s">
        <v>4812</v>
      </c>
      <c r="E1835" s="1" t="s">
        <v>1703</v>
      </c>
      <c r="F1835" s="1" t="s">
        <v>522</v>
      </c>
      <c r="G1835" s="3">
        <v>0</v>
      </c>
      <c r="J1835" s="20" t="s">
        <v>3160</v>
      </c>
      <c r="K1835" s="20" t="s">
        <v>10016</v>
      </c>
      <c r="L1835" s="3">
        <v>30</v>
      </c>
      <c r="M1835" s="3" t="s">
        <v>10179</v>
      </c>
      <c r="N1835" s="3" t="str">
        <f>HYPERLINK("http://ictvonline.org/taxonomyHistory.asp?taxnode_id=20161645","ICTVonline=20161645")</f>
        <v>ICTVonline=20161645</v>
      </c>
    </row>
    <row r="1836" spans="1:14" x14ac:dyDescent="0.15">
      <c r="A1836" s="3">
        <v>1835</v>
      </c>
      <c r="B1836" s="1" t="s">
        <v>1197</v>
      </c>
      <c r="C1836" s="1" t="s">
        <v>1198</v>
      </c>
      <c r="D1836" s="1" t="s">
        <v>4812</v>
      </c>
      <c r="E1836" s="1" t="s">
        <v>1703</v>
      </c>
      <c r="F1836" s="1" t="s">
        <v>1579</v>
      </c>
      <c r="G1836" s="3">
        <v>0</v>
      </c>
      <c r="H1836" s="20" t="s">
        <v>4854</v>
      </c>
      <c r="I1836" s="20" t="s">
        <v>4855</v>
      </c>
      <c r="J1836" s="20" t="s">
        <v>3160</v>
      </c>
      <c r="K1836" s="20" t="s">
        <v>10016</v>
      </c>
      <c r="L1836" s="3">
        <v>30</v>
      </c>
      <c r="M1836" s="3" t="s">
        <v>10179</v>
      </c>
      <c r="N1836" s="3" t="str">
        <f>HYPERLINK("http://ictvonline.org/taxonomyHistory.asp?taxnode_id=20161646","ICTVonline=20161646")</f>
        <v>ICTVonline=20161646</v>
      </c>
    </row>
    <row r="1837" spans="1:14" x14ac:dyDescent="0.15">
      <c r="A1837" s="3">
        <v>1836</v>
      </c>
      <c r="B1837" s="1" t="s">
        <v>1197</v>
      </c>
      <c r="C1837" s="1" t="s">
        <v>1198</v>
      </c>
      <c r="D1837" s="1" t="s">
        <v>4812</v>
      </c>
      <c r="E1837" s="1" t="s">
        <v>1703</v>
      </c>
      <c r="F1837" s="1" t="s">
        <v>2416</v>
      </c>
      <c r="G1837" s="3">
        <v>0</v>
      </c>
      <c r="H1837" s="20" t="s">
        <v>4856</v>
      </c>
      <c r="I1837" s="20" t="s">
        <v>4857</v>
      </c>
      <c r="J1837" s="20" t="s">
        <v>3160</v>
      </c>
      <c r="K1837" s="20" t="s">
        <v>10016</v>
      </c>
      <c r="L1837" s="3">
        <v>30</v>
      </c>
      <c r="M1837" s="3" t="s">
        <v>10179</v>
      </c>
      <c r="N1837" s="3" t="str">
        <f>HYPERLINK("http://ictvonline.org/taxonomyHistory.asp?taxnode_id=20161647","ICTVonline=20161647")</f>
        <v>ICTVonline=20161647</v>
      </c>
    </row>
    <row r="1838" spans="1:14" x14ac:dyDescent="0.15">
      <c r="A1838" s="3">
        <v>1837</v>
      </c>
      <c r="B1838" s="1" t="s">
        <v>1197</v>
      </c>
      <c r="C1838" s="1" t="s">
        <v>1198</v>
      </c>
      <c r="D1838" s="1" t="s">
        <v>4812</v>
      </c>
      <c r="E1838" s="1" t="s">
        <v>1703</v>
      </c>
      <c r="F1838" s="1" t="s">
        <v>2168</v>
      </c>
      <c r="G1838" s="3">
        <v>0</v>
      </c>
      <c r="J1838" s="20" t="s">
        <v>3160</v>
      </c>
      <c r="K1838" s="20" t="s">
        <v>10016</v>
      </c>
      <c r="L1838" s="3">
        <v>30</v>
      </c>
      <c r="M1838" s="3" t="s">
        <v>10179</v>
      </c>
      <c r="N1838" s="3" t="str">
        <f>HYPERLINK("http://ictvonline.org/taxonomyHistory.asp?taxnode_id=20161648","ICTVonline=20161648")</f>
        <v>ICTVonline=20161648</v>
      </c>
    </row>
    <row r="1839" spans="1:14" x14ac:dyDescent="0.15">
      <c r="A1839" s="3">
        <v>1838</v>
      </c>
      <c r="B1839" s="1" t="s">
        <v>1197</v>
      </c>
      <c r="C1839" s="1" t="s">
        <v>1198</v>
      </c>
      <c r="D1839" s="1" t="s">
        <v>4812</v>
      </c>
      <c r="E1839" s="1" t="s">
        <v>1703</v>
      </c>
      <c r="F1839" s="1" t="s">
        <v>2196</v>
      </c>
      <c r="G1839" s="3">
        <v>0</v>
      </c>
      <c r="J1839" s="20" t="s">
        <v>3160</v>
      </c>
      <c r="K1839" s="20" t="s">
        <v>10016</v>
      </c>
      <c r="L1839" s="3">
        <v>30</v>
      </c>
      <c r="M1839" s="3" t="s">
        <v>10179</v>
      </c>
      <c r="N1839" s="3" t="str">
        <f>HYPERLINK("http://ictvonline.org/taxonomyHistory.asp?taxnode_id=20161649","ICTVonline=20161649")</f>
        <v>ICTVonline=20161649</v>
      </c>
    </row>
    <row r="1840" spans="1:14" x14ac:dyDescent="0.15">
      <c r="A1840" s="3">
        <v>1839</v>
      </c>
      <c r="B1840" s="1" t="s">
        <v>1197</v>
      </c>
      <c r="C1840" s="1" t="s">
        <v>1750</v>
      </c>
      <c r="E1840" s="1" t="s">
        <v>302</v>
      </c>
      <c r="F1840" s="1" t="s">
        <v>299</v>
      </c>
      <c r="G1840" s="3">
        <v>1</v>
      </c>
      <c r="H1840" s="20" t="s">
        <v>4858</v>
      </c>
      <c r="I1840" s="20" t="s">
        <v>4650</v>
      </c>
      <c r="J1840" s="20" t="s">
        <v>3160</v>
      </c>
      <c r="K1840" s="20" t="s">
        <v>10072</v>
      </c>
      <c r="L1840" s="3">
        <v>25</v>
      </c>
      <c r="M1840" s="3" t="s">
        <v>10180</v>
      </c>
      <c r="N1840" s="3" t="str">
        <f>HYPERLINK("http://ictvonline.org/taxonomyHistory.asp?taxnode_id=20161655","ICTVonline=20161655")</f>
        <v>ICTVonline=20161655</v>
      </c>
    </row>
    <row r="1841" spans="1:14" x14ac:dyDescent="0.15">
      <c r="A1841" s="3">
        <v>1840</v>
      </c>
      <c r="B1841" s="1" t="s">
        <v>1197</v>
      </c>
      <c r="C1841" s="1" t="s">
        <v>1372</v>
      </c>
      <c r="E1841" s="1" t="s">
        <v>1373</v>
      </c>
      <c r="F1841" s="1" t="s">
        <v>1374</v>
      </c>
      <c r="G1841" s="3">
        <v>1</v>
      </c>
      <c r="H1841" s="20" t="s">
        <v>4901</v>
      </c>
      <c r="I1841" s="20" t="s">
        <v>4902</v>
      </c>
      <c r="J1841" s="20" t="s">
        <v>3160</v>
      </c>
      <c r="K1841" s="20" t="s">
        <v>10016</v>
      </c>
      <c r="L1841" s="3">
        <v>25</v>
      </c>
      <c r="M1841" s="3" t="s">
        <v>10181</v>
      </c>
      <c r="N1841" s="3" t="str">
        <f>HYPERLINK("http://ictvonline.org/taxonomyHistory.asp?taxnode_id=20161659","ICTVonline=20161659")</f>
        <v>ICTVonline=20161659</v>
      </c>
    </row>
    <row r="1842" spans="1:14" x14ac:dyDescent="0.15">
      <c r="A1842" s="3">
        <v>1841</v>
      </c>
      <c r="B1842" s="1" t="s">
        <v>1197</v>
      </c>
      <c r="C1842" s="1" t="s">
        <v>1372</v>
      </c>
      <c r="E1842" s="1" t="s">
        <v>1375</v>
      </c>
      <c r="F1842" s="1" t="s">
        <v>1362</v>
      </c>
      <c r="G1842" s="3">
        <v>0</v>
      </c>
      <c r="H1842" s="3"/>
      <c r="I1842" s="3"/>
      <c r="J1842" s="20" t="s">
        <v>3160</v>
      </c>
      <c r="K1842" s="20" t="s">
        <v>10016</v>
      </c>
      <c r="L1842" s="3">
        <v>25</v>
      </c>
      <c r="M1842" s="3" t="s">
        <v>10181</v>
      </c>
      <c r="N1842" s="3" t="str">
        <f>HYPERLINK("http://ictvonline.org/taxonomyHistory.asp?taxnode_id=20161661","ICTVonline=20161661")</f>
        <v>ICTVonline=20161661</v>
      </c>
    </row>
    <row r="1843" spans="1:14" x14ac:dyDescent="0.15">
      <c r="A1843" s="3">
        <v>1842</v>
      </c>
      <c r="B1843" s="1" t="s">
        <v>1197</v>
      </c>
      <c r="C1843" s="1" t="s">
        <v>1372</v>
      </c>
      <c r="E1843" s="1" t="s">
        <v>1375</v>
      </c>
      <c r="F1843" s="1" t="s">
        <v>15</v>
      </c>
      <c r="G1843" s="3">
        <v>0</v>
      </c>
      <c r="H1843" s="20" t="s">
        <v>4859</v>
      </c>
      <c r="I1843" s="20" t="s">
        <v>4860</v>
      </c>
      <c r="J1843" s="20" t="s">
        <v>3160</v>
      </c>
      <c r="K1843" s="20" t="s">
        <v>10013</v>
      </c>
      <c r="L1843" s="3">
        <v>26</v>
      </c>
      <c r="M1843" s="3" t="s">
        <v>10182</v>
      </c>
      <c r="N1843" s="3" t="str">
        <f>HYPERLINK("http://ictvonline.org/taxonomyHistory.asp?taxnode_id=20161662","ICTVonline=20161662")</f>
        <v>ICTVonline=20161662</v>
      </c>
    </row>
    <row r="1844" spans="1:14" x14ac:dyDescent="0.15">
      <c r="A1844" s="3">
        <v>1843</v>
      </c>
      <c r="B1844" s="1" t="s">
        <v>1197</v>
      </c>
      <c r="C1844" s="1" t="s">
        <v>1372</v>
      </c>
      <c r="E1844" s="1" t="s">
        <v>1375</v>
      </c>
      <c r="F1844" s="1" t="s">
        <v>1363</v>
      </c>
      <c r="G1844" s="3">
        <v>0</v>
      </c>
      <c r="H1844" s="20" t="s">
        <v>4861</v>
      </c>
      <c r="I1844" s="20" t="s">
        <v>4862</v>
      </c>
      <c r="J1844" s="20" t="s">
        <v>3160</v>
      </c>
      <c r="K1844" s="20" t="s">
        <v>10016</v>
      </c>
      <c r="L1844" s="3">
        <v>25</v>
      </c>
      <c r="M1844" s="3" t="s">
        <v>10181</v>
      </c>
      <c r="N1844" s="3" t="str">
        <f>HYPERLINK("http://ictvonline.org/taxonomyHistory.asp?taxnode_id=20161663","ICTVonline=20161663")</f>
        <v>ICTVonline=20161663</v>
      </c>
    </row>
    <row r="1845" spans="1:14" x14ac:dyDescent="0.15">
      <c r="A1845" s="3">
        <v>1844</v>
      </c>
      <c r="B1845" s="1" t="s">
        <v>1197</v>
      </c>
      <c r="C1845" s="1" t="s">
        <v>1372</v>
      </c>
      <c r="E1845" s="1" t="s">
        <v>1375</v>
      </c>
      <c r="F1845" s="1" t="s">
        <v>16</v>
      </c>
      <c r="G1845" s="3">
        <v>0</v>
      </c>
      <c r="H1845" s="20" t="s">
        <v>4863</v>
      </c>
      <c r="I1845" s="20" t="s">
        <v>4610</v>
      </c>
      <c r="J1845" s="20" t="s">
        <v>3160</v>
      </c>
      <c r="K1845" s="20" t="s">
        <v>10013</v>
      </c>
      <c r="L1845" s="3">
        <v>26</v>
      </c>
      <c r="M1845" s="3" t="s">
        <v>10183</v>
      </c>
      <c r="N1845" s="3" t="str">
        <f>HYPERLINK("http://ictvonline.org/taxonomyHistory.asp?taxnode_id=20161664","ICTVonline=20161664")</f>
        <v>ICTVonline=20161664</v>
      </c>
    </row>
    <row r="1846" spans="1:14" x14ac:dyDescent="0.15">
      <c r="A1846" s="3">
        <v>1845</v>
      </c>
      <c r="B1846" s="1" t="s">
        <v>1197</v>
      </c>
      <c r="C1846" s="1" t="s">
        <v>1372</v>
      </c>
      <c r="E1846" s="1" t="s">
        <v>1375</v>
      </c>
      <c r="F1846" s="1" t="s">
        <v>1364</v>
      </c>
      <c r="G1846" s="3">
        <v>1</v>
      </c>
      <c r="H1846" s="20" t="s">
        <v>4864</v>
      </c>
      <c r="I1846" s="20" t="s">
        <v>4865</v>
      </c>
      <c r="J1846" s="20" t="s">
        <v>3160</v>
      </c>
      <c r="K1846" s="20" t="s">
        <v>10016</v>
      </c>
      <c r="L1846" s="3">
        <v>25</v>
      </c>
      <c r="M1846" s="3" t="s">
        <v>10181</v>
      </c>
      <c r="N1846" s="3" t="str">
        <f>HYPERLINK("http://ictvonline.org/taxonomyHistory.asp?taxnode_id=20161665","ICTVonline=20161665")</f>
        <v>ICTVonline=20161665</v>
      </c>
    </row>
    <row r="1847" spans="1:14" x14ac:dyDescent="0.15">
      <c r="A1847" s="3">
        <v>1846</v>
      </c>
      <c r="B1847" s="1" t="s">
        <v>1197</v>
      </c>
      <c r="C1847" s="1" t="s">
        <v>1372</v>
      </c>
      <c r="E1847" s="1" t="s">
        <v>1375</v>
      </c>
      <c r="F1847" s="1" t="s">
        <v>9068</v>
      </c>
      <c r="G1847" s="3">
        <v>0</v>
      </c>
      <c r="H1847" s="20" t="s">
        <v>9069</v>
      </c>
      <c r="I1847" s="20" t="s">
        <v>9070</v>
      </c>
      <c r="J1847" s="20" t="s">
        <v>3160</v>
      </c>
      <c r="K1847" s="20" t="s">
        <v>10013</v>
      </c>
      <c r="L1847" s="3">
        <v>31</v>
      </c>
      <c r="M1847" s="3" t="s">
        <v>9071</v>
      </c>
      <c r="N1847" s="3" t="str">
        <f>HYPERLINK("http://ictvonline.org/taxonomyHistory.asp?taxnode_id=20165217","ICTVonline=20165217")</f>
        <v>ICTVonline=20165217</v>
      </c>
    </row>
    <row r="1848" spans="1:14" x14ac:dyDescent="0.15">
      <c r="A1848" s="3">
        <v>1847</v>
      </c>
      <c r="B1848" s="1" t="s">
        <v>1197</v>
      </c>
      <c r="C1848" s="1" t="s">
        <v>1372</v>
      </c>
      <c r="E1848" s="1" t="s">
        <v>1375</v>
      </c>
      <c r="F1848" s="1" t="s">
        <v>1365</v>
      </c>
      <c r="G1848" s="3">
        <v>0</v>
      </c>
      <c r="H1848" s="20" t="s">
        <v>4866</v>
      </c>
      <c r="I1848" s="20" t="s">
        <v>4867</v>
      </c>
      <c r="J1848" s="20" t="s">
        <v>3160</v>
      </c>
      <c r="K1848" s="20" t="s">
        <v>10016</v>
      </c>
      <c r="L1848" s="3">
        <v>25</v>
      </c>
      <c r="M1848" s="3" t="s">
        <v>10181</v>
      </c>
      <c r="N1848" s="3" t="str">
        <f>HYPERLINK("http://ictvonline.org/taxonomyHistory.asp?taxnode_id=20161666","ICTVonline=20161666")</f>
        <v>ICTVonline=20161666</v>
      </c>
    </row>
    <row r="1849" spans="1:14" x14ac:dyDescent="0.15">
      <c r="A1849" s="3">
        <v>1848</v>
      </c>
      <c r="B1849" s="1" t="s">
        <v>1197</v>
      </c>
      <c r="C1849" s="1" t="s">
        <v>1372</v>
      </c>
      <c r="E1849" s="1" t="s">
        <v>1375</v>
      </c>
      <c r="F1849" s="1" t="s">
        <v>17</v>
      </c>
      <c r="G1849" s="3">
        <v>0</v>
      </c>
      <c r="H1849" s="20" t="s">
        <v>4868</v>
      </c>
      <c r="I1849" s="20" t="s">
        <v>4869</v>
      </c>
      <c r="J1849" s="20" t="s">
        <v>3160</v>
      </c>
      <c r="K1849" s="20" t="s">
        <v>10013</v>
      </c>
      <c r="L1849" s="3">
        <v>26</v>
      </c>
      <c r="M1849" s="3" t="s">
        <v>10184</v>
      </c>
      <c r="N1849" s="3" t="str">
        <f>HYPERLINK("http://ictvonline.org/taxonomyHistory.asp?taxnode_id=20161667","ICTVonline=20161667")</f>
        <v>ICTVonline=20161667</v>
      </c>
    </row>
    <row r="1850" spans="1:14" x14ac:dyDescent="0.15">
      <c r="A1850" s="3">
        <v>1849</v>
      </c>
      <c r="B1850" s="1" t="s">
        <v>1197</v>
      </c>
      <c r="C1850" s="1" t="s">
        <v>1372</v>
      </c>
      <c r="E1850" s="1" t="s">
        <v>1524</v>
      </c>
      <c r="F1850" s="1" t="s">
        <v>1525</v>
      </c>
      <c r="G1850" s="3">
        <v>0</v>
      </c>
      <c r="H1850" s="20" t="s">
        <v>4870</v>
      </c>
      <c r="I1850" s="20" t="s">
        <v>4871</v>
      </c>
      <c r="J1850" s="20" t="s">
        <v>3160</v>
      </c>
      <c r="K1850" s="20" t="s">
        <v>10016</v>
      </c>
      <c r="L1850" s="3">
        <v>25</v>
      </c>
      <c r="M1850" s="3" t="s">
        <v>10181</v>
      </c>
      <c r="N1850" s="3" t="str">
        <f>HYPERLINK("http://ictvonline.org/taxonomyHistory.asp?taxnode_id=20161669","ICTVonline=20161669")</f>
        <v>ICTVonline=20161669</v>
      </c>
    </row>
    <row r="1851" spans="1:14" x14ac:dyDescent="0.15">
      <c r="A1851" s="3">
        <v>1850</v>
      </c>
      <c r="B1851" s="1" t="s">
        <v>1197</v>
      </c>
      <c r="C1851" s="1" t="s">
        <v>1372</v>
      </c>
      <c r="E1851" s="1" t="s">
        <v>1524</v>
      </c>
      <c r="F1851" s="1" t="s">
        <v>1526</v>
      </c>
      <c r="G1851" s="3">
        <v>0</v>
      </c>
      <c r="H1851" s="20" t="s">
        <v>4872</v>
      </c>
      <c r="I1851" s="20" t="s">
        <v>4873</v>
      </c>
      <c r="J1851" s="20" t="s">
        <v>3160</v>
      </c>
      <c r="K1851" s="20" t="s">
        <v>10016</v>
      </c>
      <c r="L1851" s="3">
        <v>25</v>
      </c>
      <c r="M1851" s="3" t="s">
        <v>10181</v>
      </c>
      <c r="N1851" s="3" t="str">
        <f>HYPERLINK("http://ictvonline.org/taxonomyHistory.asp?taxnode_id=20161670","ICTVonline=20161670")</f>
        <v>ICTVonline=20161670</v>
      </c>
    </row>
    <row r="1852" spans="1:14" x14ac:dyDescent="0.15">
      <c r="A1852" s="3">
        <v>1851</v>
      </c>
      <c r="B1852" s="1" t="s">
        <v>1197</v>
      </c>
      <c r="C1852" s="1" t="s">
        <v>1372</v>
      </c>
      <c r="E1852" s="1" t="s">
        <v>1524</v>
      </c>
      <c r="F1852" s="1" t="s">
        <v>2417</v>
      </c>
      <c r="G1852" s="3">
        <v>0</v>
      </c>
      <c r="H1852" s="20" t="s">
        <v>4874</v>
      </c>
      <c r="I1852" s="20" t="s">
        <v>4875</v>
      </c>
      <c r="J1852" s="20" t="s">
        <v>3160</v>
      </c>
      <c r="K1852" s="20" t="s">
        <v>10013</v>
      </c>
      <c r="L1852" s="3">
        <v>28</v>
      </c>
      <c r="M1852" s="3" t="s">
        <v>10185</v>
      </c>
      <c r="N1852" s="3" t="str">
        <f>HYPERLINK("http://ictvonline.org/taxonomyHistory.asp?taxnode_id=20161671","ICTVonline=20161671")</f>
        <v>ICTVonline=20161671</v>
      </c>
    </row>
    <row r="1853" spans="1:14" x14ac:dyDescent="0.15">
      <c r="A1853" s="3">
        <v>1852</v>
      </c>
      <c r="B1853" s="1" t="s">
        <v>1197</v>
      </c>
      <c r="C1853" s="1" t="s">
        <v>1372</v>
      </c>
      <c r="E1853" s="1" t="s">
        <v>1524</v>
      </c>
      <c r="F1853" s="1" t="s">
        <v>1527</v>
      </c>
      <c r="G1853" s="3">
        <v>0</v>
      </c>
      <c r="H1853" s="3"/>
      <c r="I1853" s="3"/>
      <c r="J1853" s="20" t="s">
        <v>3160</v>
      </c>
      <c r="K1853" s="20" t="s">
        <v>10016</v>
      </c>
      <c r="L1853" s="3">
        <v>25</v>
      </c>
      <c r="M1853" s="3" t="s">
        <v>10181</v>
      </c>
      <c r="N1853" s="3" t="str">
        <f>HYPERLINK("http://ictvonline.org/taxonomyHistory.asp?taxnode_id=20161672","ICTVonline=20161672")</f>
        <v>ICTVonline=20161672</v>
      </c>
    </row>
    <row r="1854" spans="1:14" x14ac:dyDescent="0.15">
      <c r="A1854" s="3">
        <v>1853</v>
      </c>
      <c r="B1854" s="1" t="s">
        <v>1197</v>
      </c>
      <c r="C1854" s="1" t="s">
        <v>1372</v>
      </c>
      <c r="E1854" s="1" t="s">
        <v>1524</v>
      </c>
      <c r="F1854" s="1" t="s">
        <v>1528</v>
      </c>
      <c r="G1854" s="3">
        <v>0</v>
      </c>
      <c r="H1854" s="3"/>
      <c r="I1854" s="3"/>
      <c r="J1854" s="20" t="s">
        <v>3160</v>
      </c>
      <c r="K1854" s="20" t="s">
        <v>10016</v>
      </c>
      <c r="L1854" s="3">
        <v>25</v>
      </c>
      <c r="M1854" s="3" t="s">
        <v>10181</v>
      </c>
      <c r="N1854" s="3" t="str">
        <f>HYPERLINK("http://ictvonline.org/taxonomyHistory.asp?taxnode_id=20161673","ICTVonline=20161673")</f>
        <v>ICTVonline=20161673</v>
      </c>
    </row>
    <row r="1855" spans="1:14" x14ac:dyDescent="0.15">
      <c r="A1855" s="3">
        <v>1854</v>
      </c>
      <c r="B1855" s="1" t="s">
        <v>1197</v>
      </c>
      <c r="C1855" s="1" t="s">
        <v>1372</v>
      </c>
      <c r="E1855" s="1" t="s">
        <v>1524</v>
      </c>
      <c r="F1855" s="1" t="s">
        <v>1529</v>
      </c>
      <c r="G1855" s="3">
        <v>0</v>
      </c>
      <c r="H1855" s="3"/>
      <c r="I1855" s="3"/>
      <c r="J1855" s="20" t="s">
        <v>3160</v>
      </c>
      <c r="K1855" s="20" t="s">
        <v>10016</v>
      </c>
      <c r="L1855" s="3">
        <v>25</v>
      </c>
      <c r="M1855" s="3" t="s">
        <v>10181</v>
      </c>
      <c r="N1855" s="3" t="str">
        <f>HYPERLINK("http://ictvonline.org/taxonomyHistory.asp?taxnode_id=20161674","ICTVonline=20161674")</f>
        <v>ICTVonline=20161674</v>
      </c>
    </row>
    <row r="1856" spans="1:14" x14ac:dyDescent="0.15">
      <c r="A1856" s="3">
        <v>1855</v>
      </c>
      <c r="B1856" s="1" t="s">
        <v>1197</v>
      </c>
      <c r="C1856" s="1" t="s">
        <v>1372</v>
      </c>
      <c r="E1856" s="1" t="s">
        <v>1524</v>
      </c>
      <c r="F1856" s="1" t="s">
        <v>1530</v>
      </c>
      <c r="G1856" s="3">
        <v>0</v>
      </c>
      <c r="H1856" s="20" t="s">
        <v>4876</v>
      </c>
      <c r="I1856" s="20" t="s">
        <v>4877</v>
      </c>
      <c r="J1856" s="20" t="s">
        <v>3160</v>
      </c>
      <c r="K1856" s="20" t="s">
        <v>10016</v>
      </c>
      <c r="L1856" s="3">
        <v>25</v>
      </c>
      <c r="M1856" s="3" t="s">
        <v>10181</v>
      </c>
      <c r="N1856" s="3" t="str">
        <f>HYPERLINK("http://ictvonline.org/taxonomyHistory.asp?taxnode_id=20161675","ICTVonline=20161675")</f>
        <v>ICTVonline=20161675</v>
      </c>
    </row>
    <row r="1857" spans="1:14" x14ac:dyDescent="0.15">
      <c r="A1857" s="3">
        <v>1856</v>
      </c>
      <c r="B1857" s="1" t="s">
        <v>1197</v>
      </c>
      <c r="C1857" s="1" t="s">
        <v>1372</v>
      </c>
      <c r="E1857" s="1" t="s">
        <v>1524</v>
      </c>
      <c r="F1857" s="1" t="s">
        <v>18</v>
      </c>
      <c r="G1857" s="3">
        <v>0</v>
      </c>
      <c r="H1857" s="20" t="s">
        <v>4878</v>
      </c>
      <c r="I1857" s="20" t="s">
        <v>6815</v>
      </c>
      <c r="J1857" s="20" t="s">
        <v>3160</v>
      </c>
      <c r="K1857" s="20" t="s">
        <v>10013</v>
      </c>
      <c r="L1857" s="3">
        <v>26</v>
      </c>
      <c r="M1857" s="3" t="s">
        <v>10186</v>
      </c>
      <c r="N1857" s="3" t="str">
        <f>HYPERLINK("http://ictvonline.org/taxonomyHistory.asp?taxnode_id=20161676","ICTVonline=20161676")</f>
        <v>ICTVonline=20161676</v>
      </c>
    </row>
    <row r="1858" spans="1:14" x14ac:dyDescent="0.15">
      <c r="A1858" s="3">
        <v>1857</v>
      </c>
      <c r="B1858" s="1" t="s">
        <v>1197</v>
      </c>
      <c r="C1858" s="1" t="s">
        <v>1372</v>
      </c>
      <c r="E1858" s="1" t="s">
        <v>1524</v>
      </c>
      <c r="F1858" s="1" t="s">
        <v>1531</v>
      </c>
      <c r="G1858" s="3">
        <v>0</v>
      </c>
      <c r="H1858" s="3"/>
      <c r="I1858" s="3"/>
      <c r="J1858" s="20" t="s">
        <v>3160</v>
      </c>
      <c r="K1858" s="20" t="s">
        <v>10016</v>
      </c>
      <c r="L1858" s="3">
        <v>25</v>
      </c>
      <c r="M1858" s="3" t="s">
        <v>10181</v>
      </c>
      <c r="N1858" s="3" t="str">
        <f>HYPERLINK("http://ictvonline.org/taxonomyHistory.asp?taxnode_id=20161677","ICTVonline=20161677")</f>
        <v>ICTVonline=20161677</v>
      </c>
    </row>
    <row r="1859" spans="1:14" x14ac:dyDescent="0.15">
      <c r="A1859" s="3">
        <v>1858</v>
      </c>
      <c r="B1859" s="1" t="s">
        <v>1197</v>
      </c>
      <c r="C1859" s="1" t="s">
        <v>1372</v>
      </c>
      <c r="E1859" s="1" t="s">
        <v>1524</v>
      </c>
      <c r="F1859" s="1" t="s">
        <v>1502</v>
      </c>
      <c r="G1859" s="3">
        <v>0</v>
      </c>
      <c r="H1859" s="3"/>
      <c r="I1859" s="3"/>
      <c r="J1859" s="20" t="s">
        <v>3160</v>
      </c>
      <c r="K1859" s="20" t="s">
        <v>10016</v>
      </c>
      <c r="L1859" s="3">
        <v>25</v>
      </c>
      <c r="M1859" s="3" t="s">
        <v>10181</v>
      </c>
      <c r="N1859" s="3" t="str">
        <f>HYPERLINK("http://ictvonline.org/taxonomyHistory.asp?taxnode_id=20161678","ICTVonline=20161678")</f>
        <v>ICTVonline=20161678</v>
      </c>
    </row>
    <row r="1860" spans="1:14" x14ac:dyDescent="0.15">
      <c r="A1860" s="3">
        <v>1859</v>
      </c>
      <c r="B1860" s="1" t="s">
        <v>1197</v>
      </c>
      <c r="C1860" s="1" t="s">
        <v>1372</v>
      </c>
      <c r="E1860" s="1" t="s">
        <v>1524</v>
      </c>
      <c r="F1860" s="1" t="s">
        <v>1503</v>
      </c>
      <c r="G1860" s="3">
        <v>0</v>
      </c>
      <c r="H1860" s="20" t="s">
        <v>4879</v>
      </c>
      <c r="I1860" s="20" t="s">
        <v>4880</v>
      </c>
      <c r="J1860" s="20" t="s">
        <v>3160</v>
      </c>
      <c r="K1860" s="20" t="s">
        <v>10016</v>
      </c>
      <c r="L1860" s="3">
        <v>25</v>
      </c>
      <c r="M1860" s="3" t="s">
        <v>10181</v>
      </c>
      <c r="N1860" s="3" t="str">
        <f>HYPERLINK("http://ictvonline.org/taxonomyHistory.asp?taxnode_id=20161679","ICTVonline=20161679")</f>
        <v>ICTVonline=20161679</v>
      </c>
    </row>
    <row r="1861" spans="1:14" x14ac:dyDescent="0.15">
      <c r="A1861" s="3">
        <v>1860</v>
      </c>
      <c r="B1861" s="1" t="s">
        <v>1197</v>
      </c>
      <c r="C1861" s="1" t="s">
        <v>1372</v>
      </c>
      <c r="E1861" s="1" t="s">
        <v>1524</v>
      </c>
      <c r="F1861" s="1" t="s">
        <v>1504</v>
      </c>
      <c r="G1861" s="3">
        <v>0</v>
      </c>
      <c r="H1861" s="20" t="s">
        <v>4881</v>
      </c>
      <c r="I1861" s="20" t="s">
        <v>4882</v>
      </c>
      <c r="J1861" s="20" t="s">
        <v>3160</v>
      </c>
      <c r="K1861" s="20" t="s">
        <v>10016</v>
      </c>
      <c r="L1861" s="3">
        <v>25</v>
      </c>
      <c r="M1861" s="3" t="s">
        <v>10181</v>
      </c>
      <c r="N1861" s="3" t="str">
        <f>HYPERLINK("http://ictvonline.org/taxonomyHistory.asp?taxnode_id=20161680","ICTVonline=20161680")</f>
        <v>ICTVonline=20161680</v>
      </c>
    </row>
    <row r="1862" spans="1:14" x14ac:dyDescent="0.15">
      <c r="A1862" s="3">
        <v>1861</v>
      </c>
      <c r="B1862" s="1" t="s">
        <v>1197</v>
      </c>
      <c r="C1862" s="1" t="s">
        <v>1372</v>
      </c>
      <c r="E1862" s="1" t="s">
        <v>1524</v>
      </c>
      <c r="F1862" s="1" t="s">
        <v>1505</v>
      </c>
      <c r="G1862" s="3">
        <v>0</v>
      </c>
      <c r="H1862" s="20" t="s">
        <v>4883</v>
      </c>
      <c r="I1862" s="20" t="s">
        <v>4884</v>
      </c>
      <c r="J1862" s="20" t="s">
        <v>3160</v>
      </c>
      <c r="K1862" s="20" t="s">
        <v>10016</v>
      </c>
      <c r="L1862" s="3">
        <v>25</v>
      </c>
      <c r="M1862" s="3" t="s">
        <v>10181</v>
      </c>
      <c r="N1862" s="3" t="str">
        <f>HYPERLINK("http://ictvonline.org/taxonomyHistory.asp?taxnode_id=20161681","ICTVonline=20161681")</f>
        <v>ICTVonline=20161681</v>
      </c>
    </row>
    <row r="1863" spans="1:14" x14ac:dyDescent="0.15">
      <c r="A1863" s="3">
        <v>1862</v>
      </c>
      <c r="B1863" s="1" t="s">
        <v>1197</v>
      </c>
      <c r="C1863" s="1" t="s">
        <v>1372</v>
      </c>
      <c r="E1863" s="1" t="s">
        <v>1524</v>
      </c>
      <c r="F1863" s="1" t="s">
        <v>369</v>
      </c>
      <c r="G1863" s="3">
        <v>0</v>
      </c>
      <c r="H1863" s="20" t="s">
        <v>4885</v>
      </c>
      <c r="I1863" s="20" t="s">
        <v>4886</v>
      </c>
      <c r="J1863" s="20" t="s">
        <v>3160</v>
      </c>
      <c r="K1863" s="20" t="s">
        <v>10016</v>
      </c>
      <c r="L1863" s="3">
        <v>25</v>
      </c>
      <c r="M1863" s="3" t="s">
        <v>10181</v>
      </c>
      <c r="N1863" s="3" t="str">
        <f>HYPERLINK("http://ictvonline.org/taxonomyHistory.asp?taxnode_id=20161682","ICTVonline=20161682")</f>
        <v>ICTVonline=20161682</v>
      </c>
    </row>
    <row r="1864" spans="1:14" x14ac:dyDescent="0.15">
      <c r="A1864" s="3">
        <v>1863</v>
      </c>
      <c r="B1864" s="1" t="s">
        <v>1197</v>
      </c>
      <c r="C1864" s="1" t="s">
        <v>1372</v>
      </c>
      <c r="E1864" s="1" t="s">
        <v>1524</v>
      </c>
      <c r="F1864" s="1" t="s">
        <v>370</v>
      </c>
      <c r="G1864" s="3">
        <v>0</v>
      </c>
      <c r="H1864" s="3"/>
      <c r="I1864" s="3"/>
      <c r="J1864" s="20" t="s">
        <v>3160</v>
      </c>
      <c r="K1864" s="20" t="s">
        <v>10016</v>
      </c>
      <c r="L1864" s="3">
        <v>25</v>
      </c>
      <c r="M1864" s="3" t="s">
        <v>10181</v>
      </c>
      <c r="N1864" s="3" t="str">
        <f>HYPERLINK("http://ictvonline.org/taxonomyHistory.asp?taxnode_id=20161683","ICTVonline=20161683")</f>
        <v>ICTVonline=20161683</v>
      </c>
    </row>
    <row r="1865" spans="1:14" x14ac:dyDescent="0.15">
      <c r="A1865" s="3">
        <v>1864</v>
      </c>
      <c r="B1865" s="1" t="s">
        <v>1197</v>
      </c>
      <c r="C1865" s="1" t="s">
        <v>1372</v>
      </c>
      <c r="E1865" s="1" t="s">
        <v>1524</v>
      </c>
      <c r="F1865" s="1" t="s">
        <v>371</v>
      </c>
      <c r="G1865" s="3">
        <v>0</v>
      </c>
      <c r="H1865" s="20" t="s">
        <v>4887</v>
      </c>
      <c r="I1865" s="20" t="s">
        <v>4888</v>
      </c>
      <c r="J1865" s="20" t="s">
        <v>3160</v>
      </c>
      <c r="K1865" s="20" t="s">
        <v>10016</v>
      </c>
      <c r="L1865" s="3">
        <v>25</v>
      </c>
      <c r="M1865" s="3" t="s">
        <v>10181</v>
      </c>
      <c r="N1865" s="3" t="str">
        <f>HYPERLINK("http://ictvonline.org/taxonomyHistory.asp?taxnode_id=20161684","ICTVonline=20161684")</f>
        <v>ICTVonline=20161684</v>
      </c>
    </row>
    <row r="1866" spans="1:14" x14ac:dyDescent="0.15">
      <c r="A1866" s="3">
        <v>1865</v>
      </c>
      <c r="B1866" s="1" t="s">
        <v>1197</v>
      </c>
      <c r="C1866" s="1" t="s">
        <v>1372</v>
      </c>
      <c r="E1866" s="1" t="s">
        <v>1524</v>
      </c>
      <c r="F1866" s="1" t="s">
        <v>1509</v>
      </c>
      <c r="G1866" s="3">
        <v>0</v>
      </c>
      <c r="H1866" s="20" t="s">
        <v>4889</v>
      </c>
      <c r="I1866" s="20" t="s">
        <v>4890</v>
      </c>
      <c r="J1866" s="20" t="s">
        <v>3160</v>
      </c>
      <c r="K1866" s="20" t="s">
        <v>10016</v>
      </c>
      <c r="L1866" s="3">
        <v>25</v>
      </c>
      <c r="M1866" s="3" t="s">
        <v>10181</v>
      </c>
      <c r="N1866" s="3" t="str">
        <f>HYPERLINK("http://ictvonline.org/taxonomyHistory.asp?taxnode_id=20161685","ICTVonline=20161685")</f>
        <v>ICTVonline=20161685</v>
      </c>
    </row>
    <row r="1867" spans="1:14" x14ac:dyDescent="0.15">
      <c r="A1867" s="3">
        <v>1866</v>
      </c>
      <c r="B1867" s="1" t="s">
        <v>1197</v>
      </c>
      <c r="C1867" s="1" t="s">
        <v>1372</v>
      </c>
      <c r="E1867" s="1" t="s">
        <v>1524</v>
      </c>
      <c r="F1867" s="1" t="s">
        <v>1510</v>
      </c>
      <c r="G1867" s="3">
        <v>0</v>
      </c>
      <c r="H1867" s="20" t="s">
        <v>4891</v>
      </c>
      <c r="I1867" s="20" t="s">
        <v>4892</v>
      </c>
      <c r="J1867" s="20" t="s">
        <v>3160</v>
      </c>
      <c r="K1867" s="20" t="s">
        <v>10016</v>
      </c>
      <c r="L1867" s="3">
        <v>25</v>
      </c>
      <c r="M1867" s="3" t="s">
        <v>10181</v>
      </c>
      <c r="N1867" s="3" t="str">
        <f>HYPERLINK("http://ictvonline.org/taxonomyHistory.asp?taxnode_id=20161686","ICTVonline=20161686")</f>
        <v>ICTVonline=20161686</v>
      </c>
    </row>
    <row r="1868" spans="1:14" x14ac:dyDescent="0.15">
      <c r="A1868" s="3">
        <v>1867</v>
      </c>
      <c r="B1868" s="1" t="s">
        <v>1197</v>
      </c>
      <c r="C1868" s="1" t="s">
        <v>1372</v>
      </c>
      <c r="E1868" s="1" t="s">
        <v>1524</v>
      </c>
      <c r="F1868" s="1" t="s">
        <v>373</v>
      </c>
      <c r="G1868" s="3">
        <v>0</v>
      </c>
      <c r="H1868" s="3"/>
      <c r="I1868" s="3"/>
      <c r="J1868" s="20" t="s">
        <v>3160</v>
      </c>
      <c r="K1868" s="20" t="s">
        <v>10016</v>
      </c>
      <c r="L1868" s="3">
        <v>25</v>
      </c>
      <c r="M1868" s="3" t="s">
        <v>10181</v>
      </c>
      <c r="N1868" s="3" t="str">
        <f>HYPERLINK("http://ictvonline.org/taxonomyHistory.asp?taxnode_id=20161687","ICTVonline=20161687")</f>
        <v>ICTVonline=20161687</v>
      </c>
    </row>
    <row r="1869" spans="1:14" x14ac:dyDescent="0.15">
      <c r="A1869" s="3">
        <v>1868</v>
      </c>
      <c r="B1869" s="1" t="s">
        <v>1197</v>
      </c>
      <c r="C1869" s="1" t="s">
        <v>1372</v>
      </c>
      <c r="E1869" s="1" t="s">
        <v>1524</v>
      </c>
      <c r="F1869" s="1" t="s">
        <v>374</v>
      </c>
      <c r="G1869" s="3">
        <v>0</v>
      </c>
      <c r="H1869" s="3"/>
      <c r="I1869" s="3"/>
      <c r="J1869" s="20" t="s">
        <v>3160</v>
      </c>
      <c r="K1869" s="20" t="s">
        <v>10016</v>
      </c>
      <c r="L1869" s="3">
        <v>25</v>
      </c>
      <c r="M1869" s="3" t="s">
        <v>10181</v>
      </c>
      <c r="N1869" s="3" t="str">
        <f>HYPERLINK("http://ictvonline.org/taxonomyHistory.asp?taxnode_id=20161688","ICTVonline=20161688")</f>
        <v>ICTVonline=20161688</v>
      </c>
    </row>
    <row r="1870" spans="1:14" x14ac:dyDescent="0.15">
      <c r="A1870" s="3">
        <v>1869</v>
      </c>
      <c r="B1870" s="1" t="s">
        <v>1197</v>
      </c>
      <c r="C1870" s="1" t="s">
        <v>1372</v>
      </c>
      <c r="E1870" s="1" t="s">
        <v>1524</v>
      </c>
      <c r="F1870" s="1" t="s">
        <v>375</v>
      </c>
      <c r="G1870" s="3">
        <v>0</v>
      </c>
      <c r="H1870" s="3"/>
      <c r="I1870" s="3"/>
      <c r="J1870" s="20" t="s">
        <v>3160</v>
      </c>
      <c r="K1870" s="20" t="s">
        <v>10016</v>
      </c>
      <c r="L1870" s="3">
        <v>25</v>
      </c>
      <c r="M1870" s="3" t="s">
        <v>10181</v>
      </c>
      <c r="N1870" s="3" t="str">
        <f>HYPERLINK("http://ictvonline.org/taxonomyHistory.asp?taxnode_id=20161689","ICTVonline=20161689")</f>
        <v>ICTVonline=20161689</v>
      </c>
    </row>
    <row r="1871" spans="1:14" x14ac:dyDescent="0.15">
      <c r="A1871" s="3">
        <v>1870</v>
      </c>
      <c r="B1871" s="1" t="s">
        <v>1197</v>
      </c>
      <c r="C1871" s="1" t="s">
        <v>1372</v>
      </c>
      <c r="E1871" s="1" t="s">
        <v>1524</v>
      </c>
      <c r="F1871" s="1" t="s">
        <v>376</v>
      </c>
      <c r="G1871" s="3">
        <v>0</v>
      </c>
      <c r="H1871" s="20" t="s">
        <v>4893</v>
      </c>
      <c r="I1871" s="20" t="s">
        <v>4894</v>
      </c>
      <c r="J1871" s="20" t="s">
        <v>3160</v>
      </c>
      <c r="K1871" s="20" t="s">
        <v>10016</v>
      </c>
      <c r="L1871" s="3">
        <v>25</v>
      </c>
      <c r="M1871" s="3" t="s">
        <v>10181</v>
      </c>
      <c r="N1871" s="3" t="str">
        <f>HYPERLINK("http://ictvonline.org/taxonomyHistory.asp?taxnode_id=20161690","ICTVonline=20161690")</f>
        <v>ICTVonline=20161690</v>
      </c>
    </row>
    <row r="1872" spans="1:14" x14ac:dyDescent="0.15">
      <c r="A1872" s="3">
        <v>1871</v>
      </c>
      <c r="B1872" s="1" t="s">
        <v>1197</v>
      </c>
      <c r="C1872" s="1" t="s">
        <v>1372</v>
      </c>
      <c r="E1872" s="1" t="s">
        <v>1524</v>
      </c>
      <c r="F1872" s="1" t="s">
        <v>377</v>
      </c>
      <c r="G1872" s="3">
        <v>0</v>
      </c>
      <c r="H1872" s="20" t="s">
        <v>4895</v>
      </c>
      <c r="I1872" s="20" t="s">
        <v>4871</v>
      </c>
      <c r="J1872" s="20" t="s">
        <v>3160</v>
      </c>
      <c r="K1872" s="20" t="s">
        <v>10016</v>
      </c>
      <c r="L1872" s="3">
        <v>25</v>
      </c>
      <c r="M1872" s="3" t="s">
        <v>10181</v>
      </c>
      <c r="N1872" s="3" t="str">
        <f>HYPERLINK("http://ictvonline.org/taxonomyHistory.asp?taxnode_id=20161691","ICTVonline=20161691")</f>
        <v>ICTVonline=20161691</v>
      </c>
    </row>
    <row r="1873" spans="1:14" x14ac:dyDescent="0.15">
      <c r="A1873" s="3">
        <v>1872</v>
      </c>
      <c r="B1873" s="1" t="s">
        <v>1197</v>
      </c>
      <c r="C1873" s="1" t="s">
        <v>1372</v>
      </c>
      <c r="E1873" s="1" t="s">
        <v>1524</v>
      </c>
      <c r="F1873" s="1" t="s">
        <v>248</v>
      </c>
      <c r="G1873" s="3">
        <v>0</v>
      </c>
      <c r="H1873" s="20" t="s">
        <v>4896</v>
      </c>
      <c r="I1873" s="20" t="s">
        <v>4871</v>
      </c>
      <c r="J1873" s="20" t="s">
        <v>3160</v>
      </c>
      <c r="K1873" s="20" t="s">
        <v>10016</v>
      </c>
      <c r="L1873" s="3">
        <v>25</v>
      </c>
      <c r="M1873" s="3" t="s">
        <v>10181</v>
      </c>
      <c r="N1873" s="3" t="str">
        <f>HYPERLINK("http://ictvonline.org/taxonomyHistory.asp?taxnode_id=20161692","ICTVonline=20161692")</f>
        <v>ICTVonline=20161692</v>
      </c>
    </row>
    <row r="1874" spans="1:14" x14ac:dyDescent="0.15">
      <c r="A1874" s="3">
        <v>1873</v>
      </c>
      <c r="B1874" s="1" t="s">
        <v>1197</v>
      </c>
      <c r="C1874" s="1" t="s">
        <v>1372</v>
      </c>
      <c r="E1874" s="1" t="s">
        <v>1524</v>
      </c>
      <c r="F1874" s="1" t="s">
        <v>9072</v>
      </c>
      <c r="G1874" s="3">
        <v>0</v>
      </c>
      <c r="H1874" s="20" t="s">
        <v>9073</v>
      </c>
      <c r="I1874" s="20" t="s">
        <v>9074</v>
      </c>
      <c r="J1874" s="20" t="s">
        <v>3160</v>
      </c>
      <c r="K1874" s="20" t="s">
        <v>10013</v>
      </c>
      <c r="L1874" s="3">
        <v>31</v>
      </c>
      <c r="M1874" s="3" t="s">
        <v>9071</v>
      </c>
      <c r="N1874" s="3" t="str">
        <f>HYPERLINK("http://ictvonline.org/taxonomyHistory.asp?taxnode_id=20165218","ICTVonline=20165218")</f>
        <v>ICTVonline=20165218</v>
      </c>
    </row>
    <row r="1875" spans="1:14" x14ac:dyDescent="0.15">
      <c r="A1875" s="3">
        <v>1874</v>
      </c>
      <c r="B1875" s="1" t="s">
        <v>1197</v>
      </c>
      <c r="C1875" s="1" t="s">
        <v>1372</v>
      </c>
      <c r="E1875" s="1" t="s">
        <v>1524</v>
      </c>
      <c r="F1875" s="1" t="s">
        <v>1284</v>
      </c>
      <c r="G1875" s="3">
        <v>1</v>
      </c>
      <c r="H1875" s="20" t="s">
        <v>4897</v>
      </c>
      <c r="I1875" s="20" t="s">
        <v>4898</v>
      </c>
      <c r="J1875" s="20" t="s">
        <v>3160</v>
      </c>
      <c r="K1875" s="20" t="s">
        <v>10016</v>
      </c>
      <c r="L1875" s="3">
        <v>25</v>
      </c>
      <c r="M1875" s="3" t="s">
        <v>10181</v>
      </c>
      <c r="N1875" s="3" t="str">
        <f>HYPERLINK("http://ictvonline.org/taxonomyHistory.asp?taxnode_id=20161693","ICTVonline=20161693")</f>
        <v>ICTVonline=20161693</v>
      </c>
    </row>
    <row r="1876" spans="1:14" x14ac:dyDescent="0.15">
      <c r="A1876" s="3">
        <v>1875</v>
      </c>
      <c r="B1876" s="1" t="s">
        <v>1197</v>
      </c>
      <c r="C1876" s="1" t="s">
        <v>1372</v>
      </c>
      <c r="E1876" s="1" t="s">
        <v>1524</v>
      </c>
      <c r="F1876" s="1" t="s">
        <v>1285</v>
      </c>
      <c r="G1876" s="3">
        <v>0</v>
      </c>
      <c r="H1876" s="3"/>
      <c r="I1876" s="3"/>
      <c r="J1876" s="20" t="s">
        <v>3160</v>
      </c>
      <c r="K1876" s="20" t="s">
        <v>10016</v>
      </c>
      <c r="L1876" s="3">
        <v>25</v>
      </c>
      <c r="M1876" s="3" t="s">
        <v>10181</v>
      </c>
      <c r="N1876" s="3" t="str">
        <f>HYPERLINK("http://ictvonline.org/taxonomyHistory.asp?taxnode_id=20161694","ICTVonline=20161694")</f>
        <v>ICTVonline=20161694</v>
      </c>
    </row>
    <row r="1877" spans="1:14" x14ac:dyDescent="0.15">
      <c r="A1877" s="3">
        <v>1876</v>
      </c>
      <c r="B1877" s="1" t="s">
        <v>1197</v>
      </c>
      <c r="C1877" s="1" t="s">
        <v>1372</v>
      </c>
      <c r="E1877" s="1" t="s">
        <v>1524</v>
      </c>
      <c r="F1877" s="1" t="s">
        <v>1286</v>
      </c>
      <c r="G1877" s="3">
        <v>0</v>
      </c>
      <c r="H1877" s="3"/>
      <c r="I1877" s="3"/>
      <c r="J1877" s="20" t="s">
        <v>3160</v>
      </c>
      <c r="K1877" s="20" t="s">
        <v>10016</v>
      </c>
      <c r="L1877" s="3">
        <v>25</v>
      </c>
      <c r="M1877" s="3" t="s">
        <v>10181</v>
      </c>
      <c r="N1877" s="3" t="str">
        <f>HYPERLINK("http://ictvonline.org/taxonomyHistory.asp?taxnode_id=20161695","ICTVonline=20161695")</f>
        <v>ICTVonline=20161695</v>
      </c>
    </row>
    <row r="1878" spans="1:14" x14ac:dyDescent="0.15">
      <c r="A1878" s="3">
        <v>1877</v>
      </c>
      <c r="B1878" s="1" t="s">
        <v>1197</v>
      </c>
      <c r="C1878" s="1" t="s">
        <v>1372</v>
      </c>
      <c r="E1878" s="1" t="s">
        <v>926</v>
      </c>
      <c r="F1878" s="1" t="s">
        <v>13</v>
      </c>
      <c r="G1878" s="3">
        <v>0</v>
      </c>
      <c r="H1878" s="3"/>
      <c r="I1878" s="3"/>
      <c r="J1878" s="20" t="s">
        <v>3160</v>
      </c>
      <c r="K1878" s="20" t="s">
        <v>10013</v>
      </c>
      <c r="L1878" s="3">
        <v>26</v>
      </c>
      <c r="M1878" s="3" t="s">
        <v>10187</v>
      </c>
      <c r="N1878" s="3" t="str">
        <f>HYPERLINK("http://ictvonline.org/taxonomyHistory.asp?taxnode_id=20161698","ICTVonline=20161698")</f>
        <v>ICTVonline=20161698</v>
      </c>
    </row>
    <row r="1879" spans="1:14" x14ac:dyDescent="0.15">
      <c r="A1879" s="3">
        <v>1878</v>
      </c>
      <c r="B1879" s="1" t="s">
        <v>1197</v>
      </c>
      <c r="C1879" s="1" t="s">
        <v>1372</v>
      </c>
      <c r="E1879" s="1" t="s">
        <v>926</v>
      </c>
      <c r="F1879" s="1" t="s">
        <v>14</v>
      </c>
      <c r="G1879" s="3">
        <v>0</v>
      </c>
      <c r="H1879" s="20" t="s">
        <v>4899</v>
      </c>
      <c r="I1879" s="20" t="s">
        <v>4900</v>
      </c>
      <c r="J1879" s="20" t="s">
        <v>3160</v>
      </c>
      <c r="K1879" s="20" t="s">
        <v>10013</v>
      </c>
      <c r="L1879" s="3">
        <v>26</v>
      </c>
      <c r="M1879" s="3" t="s">
        <v>10188</v>
      </c>
      <c r="N1879" s="3" t="str">
        <f>HYPERLINK("http://ictvonline.org/taxonomyHistory.asp?taxnode_id=20161699","ICTVonline=20161699")</f>
        <v>ICTVonline=20161699</v>
      </c>
    </row>
    <row r="1880" spans="1:14" x14ac:dyDescent="0.15">
      <c r="A1880" s="3">
        <v>1879</v>
      </c>
      <c r="B1880" s="1" t="s">
        <v>926</v>
      </c>
      <c r="C1880" s="1" t="s">
        <v>1849</v>
      </c>
      <c r="E1880" s="1" t="s">
        <v>1850</v>
      </c>
      <c r="F1880" s="1" t="s">
        <v>2418</v>
      </c>
      <c r="G1880" s="3">
        <v>0</v>
      </c>
      <c r="J1880" s="20" t="s">
        <v>2860</v>
      </c>
      <c r="K1880" s="20" t="s">
        <v>10021</v>
      </c>
      <c r="L1880" s="3">
        <v>28</v>
      </c>
      <c r="M1880" s="3" t="s">
        <v>10189</v>
      </c>
      <c r="N1880" s="3" t="str">
        <f>HYPERLINK("http://ictvonline.org/taxonomyHistory.asp?taxnode_id=20161704","ICTVonline=20161704")</f>
        <v>ICTVonline=20161704</v>
      </c>
    </row>
    <row r="1881" spans="1:14" x14ac:dyDescent="0.15">
      <c r="A1881" s="3">
        <v>1880</v>
      </c>
      <c r="B1881" s="1" t="s">
        <v>926</v>
      </c>
      <c r="C1881" s="1" t="s">
        <v>1849</v>
      </c>
      <c r="E1881" s="1" t="s">
        <v>1850</v>
      </c>
      <c r="F1881" s="1" t="s">
        <v>2419</v>
      </c>
      <c r="G1881" s="3">
        <v>0</v>
      </c>
      <c r="J1881" s="20" t="s">
        <v>2860</v>
      </c>
      <c r="K1881" s="20" t="s">
        <v>10021</v>
      </c>
      <c r="L1881" s="3">
        <v>28</v>
      </c>
      <c r="M1881" s="3" t="s">
        <v>10189</v>
      </c>
      <c r="N1881" s="3" t="str">
        <f>HYPERLINK("http://ictvonline.org/taxonomyHistory.asp?taxnode_id=20161705","ICTVonline=20161705")</f>
        <v>ICTVonline=20161705</v>
      </c>
    </row>
    <row r="1882" spans="1:14" x14ac:dyDescent="0.15">
      <c r="A1882" s="3">
        <v>1881</v>
      </c>
      <c r="B1882" s="1" t="s">
        <v>926</v>
      </c>
      <c r="C1882" s="1" t="s">
        <v>1849</v>
      </c>
      <c r="E1882" s="1" t="s">
        <v>1850</v>
      </c>
      <c r="F1882" s="1" t="s">
        <v>9075</v>
      </c>
      <c r="G1882" s="3">
        <v>0</v>
      </c>
      <c r="H1882" s="20" t="s">
        <v>9076</v>
      </c>
      <c r="I1882" s="20" t="s">
        <v>9077</v>
      </c>
      <c r="J1882" s="20" t="s">
        <v>2860</v>
      </c>
      <c r="K1882" s="20" t="s">
        <v>10013</v>
      </c>
      <c r="L1882" s="3">
        <v>31</v>
      </c>
      <c r="M1882" s="3" t="s">
        <v>9078</v>
      </c>
      <c r="N1882" s="3" t="str">
        <f>HYPERLINK("http://ictvonline.org/taxonomyHistory.asp?taxnode_id=20165219","ICTVonline=20165219")</f>
        <v>ICTVonline=20165219</v>
      </c>
    </row>
    <row r="1883" spans="1:14" x14ac:dyDescent="0.15">
      <c r="A1883" s="3">
        <v>1882</v>
      </c>
      <c r="B1883" s="1" t="s">
        <v>926</v>
      </c>
      <c r="C1883" s="1" t="s">
        <v>1849</v>
      </c>
      <c r="E1883" s="1" t="s">
        <v>1850</v>
      </c>
      <c r="F1883" s="1" t="s">
        <v>2420</v>
      </c>
      <c r="G1883" s="3">
        <v>1</v>
      </c>
      <c r="J1883" s="20" t="s">
        <v>2860</v>
      </c>
      <c r="K1883" s="20" t="s">
        <v>10021</v>
      </c>
      <c r="L1883" s="3">
        <v>28</v>
      </c>
      <c r="M1883" s="3" t="s">
        <v>10189</v>
      </c>
      <c r="N1883" s="3" t="str">
        <f>HYPERLINK("http://ictvonline.org/taxonomyHistory.asp?taxnode_id=20161706","ICTVonline=20161706")</f>
        <v>ICTVonline=20161706</v>
      </c>
    </row>
    <row r="1884" spans="1:14" x14ac:dyDescent="0.15">
      <c r="A1884" s="3">
        <v>1883</v>
      </c>
      <c r="B1884" s="1" t="s">
        <v>926</v>
      </c>
      <c r="C1884" s="1" t="s">
        <v>1849</v>
      </c>
      <c r="E1884" s="1" t="s">
        <v>1850</v>
      </c>
      <c r="F1884" s="1" t="s">
        <v>2421</v>
      </c>
      <c r="G1884" s="3">
        <v>0</v>
      </c>
      <c r="J1884" s="20" t="s">
        <v>2860</v>
      </c>
      <c r="K1884" s="20" t="s">
        <v>10021</v>
      </c>
      <c r="L1884" s="3">
        <v>28</v>
      </c>
      <c r="M1884" s="3" t="s">
        <v>10189</v>
      </c>
      <c r="N1884" s="3" t="str">
        <f>HYPERLINK("http://ictvonline.org/taxonomyHistory.asp?taxnode_id=20161707","ICTVonline=20161707")</f>
        <v>ICTVonline=20161707</v>
      </c>
    </row>
    <row r="1885" spans="1:14" x14ac:dyDescent="0.15">
      <c r="A1885" s="3">
        <v>1884</v>
      </c>
      <c r="B1885" s="1" t="s">
        <v>926</v>
      </c>
      <c r="C1885" s="1" t="s">
        <v>1849</v>
      </c>
      <c r="E1885" s="1" t="s">
        <v>1850</v>
      </c>
      <c r="F1885" s="1" t="s">
        <v>9079</v>
      </c>
      <c r="G1885" s="3">
        <v>0</v>
      </c>
      <c r="H1885" s="20" t="s">
        <v>9080</v>
      </c>
      <c r="I1885" s="20" t="s">
        <v>9081</v>
      </c>
      <c r="J1885" s="20" t="s">
        <v>2860</v>
      </c>
      <c r="K1885" s="20" t="s">
        <v>10013</v>
      </c>
      <c r="L1885" s="3">
        <v>31</v>
      </c>
      <c r="M1885" s="3" t="s">
        <v>9078</v>
      </c>
      <c r="N1885" s="3" t="str">
        <f>HYPERLINK("http://ictvonline.org/taxonomyHistory.asp?taxnode_id=20165220","ICTVonline=20165220")</f>
        <v>ICTVonline=20165220</v>
      </c>
    </row>
    <row r="1886" spans="1:14" x14ac:dyDescent="0.15">
      <c r="A1886" s="3">
        <v>1885</v>
      </c>
      <c r="B1886" s="1" t="s">
        <v>926</v>
      </c>
      <c r="C1886" s="1" t="s">
        <v>1849</v>
      </c>
      <c r="E1886" s="1" t="s">
        <v>1850</v>
      </c>
      <c r="F1886" s="1" t="s">
        <v>2422</v>
      </c>
      <c r="G1886" s="3">
        <v>0</v>
      </c>
      <c r="J1886" s="20" t="s">
        <v>2860</v>
      </c>
      <c r="K1886" s="20" t="s">
        <v>10021</v>
      </c>
      <c r="L1886" s="3">
        <v>28</v>
      </c>
      <c r="M1886" s="3" t="s">
        <v>10189</v>
      </c>
      <c r="N1886" s="3" t="str">
        <f>HYPERLINK("http://ictvonline.org/taxonomyHistory.asp?taxnode_id=20161708","ICTVonline=20161708")</f>
        <v>ICTVonline=20161708</v>
      </c>
    </row>
    <row r="1887" spans="1:14" x14ac:dyDescent="0.15">
      <c r="A1887" s="3">
        <v>1886</v>
      </c>
      <c r="B1887" s="1" t="s">
        <v>926</v>
      </c>
      <c r="C1887" s="1" t="s">
        <v>1849</v>
      </c>
      <c r="E1887" s="1" t="s">
        <v>1424</v>
      </c>
      <c r="F1887" s="1" t="s">
        <v>4903</v>
      </c>
      <c r="G1887" s="3">
        <v>0</v>
      </c>
      <c r="H1887" s="20" t="s">
        <v>6816</v>
      </c>
      <c r="I1887" s="20" t="s">
        <v>4904</v>
      </c>
      <c r="J1887" s="20" t="s">
        <v>2860</v>
      </c>
      <c r="K1887" s="20" t="s">
        <v>10013</v>
      </c>
      <c r="L1887" s="3">
        <v>30</v>
      </c>
      <c r="M1887" s="3" t="s">
        <v>10190</v>
      </c>
      <c r="N1887" s="3" t="str">
        <f>HYPERLINK("http://ictvonline.org/taxonomyHistory.asp?taxnode_id=20161710","ICTVonline=20161710")</f>
        <v>ICTVonline=20161710</v>
      </c>
    </row>
    <row r="1888" spans="1:14" x14ac:dyDescent="0.15">
      <c r="A1888" s="3">
        <v>1887</v>
      </c>
      <c r="B1888" s="1" t="s">
        <v>926</v>
      </c>
      <c r="C1888" s="1" t="s">
        <v>1849</v>
      </c>
      <c r="E1888" s="1" t="s">
        <v>1424</v>
      </c>
      <c r="F1888" s="1" t="s">
        <v>2423</v>
      </c>
      <c r="G1888" s="3">
        <v>0</v>
      </c>
      <c r="J1888" s="20" t="s">
        <v>2860</v>
      </c>
      <c r="K1888" s="20" t="s">
        <v>10021</v>
      </c>
      <c r="L1888" s="3">
        <v>28</v>
      </c>
      <c r="M1888" s="3" t="s">
        <v>10189</v>
      </c>
      <c r="N1888" s="3" t="str">
        <f>HYPERLINK("http://ictvonline.org/taxonomyHistory.asp?taxnode_id=20161711","ICTVonline=20161711")</f>
        <v>ICTVonline=20161711</v>
      </c>
    </row>
    <row r="1889" spans="1:14" x14ac:dyDescent="0.15">
      <c r="A1889" s="3">
        <v>1888</v>
      </c>
      <c r="B1889" s="1" t="s">
        <v>926</v>
      </c>
      <c r="C1889" s="1" t="s">
        <v>1849</v>
      </c>
      <c r="E1889" s="1" t="s">
        <v>1424</v>
      </c>
      <c r="F1889" s="1" t="s">
        <v>2424</v>
      </c>
      <c r="G1889" s="3">
        <v>1</v>
      </c>
      <c r="J1889" s="20" t="s">
        <v>2860</v>
      </c>
      <c r="K1889" s="20" t="s">
        <v>10021</v>
      </c>
      <c r="L1889" s="3">
        <v>28</v>
      </c>
      <c r="M1889" s="3" t="s">
        <v>10189</v>
      </c>
      <c r="N1889" s="3" t="str">
        <f>HYPERLINK("http://ictvonline.org/taxonomyHistory.asp?taxnode_id=20161712","ICTVonline=20161712")</f>
        <v>ICTVonline=20161712</v>
      </c>
    </row>
    <row r="1890" spans="1:14" x14ac:dyDescent="0.15">
      <c r="A1890" s="3">
        <v>1889</v>
      </c>
      <c r="B1890" s="1" t="s">
        <v>926</v>
      </c>
      <c r="C1890" s="1" t="s">
        <v>1849</v>
      </c>
      <c r="E1890" s="1" t="s">
        <v>1424</v>
      </c>
      <c r="F1890" s="1" t="s">
        <v>2425</v>
      </c>
      <c r="G1890" s="3">
        <v>0</v>
      </c>
      <c r="J1890" s="20" t="s">
        <v>2860</v>
      </c>
      <c r="K1890" s="20" t="s">
        <v>10021</v>
      </c>
      <c r="L1890" s="3">
        <v>28</v>
      </c>
      <c r="M1890" s="3" t="s">
        <v>10189</v>
      </c>
      <c r="N1890" s="3" t="str">
        <f>HYPERLINK("http://ictvonline.org/taxonomyHistory.asp?taxnode_id=20161713","ICTVonline=20161713")</f>
        <v>ICTVonline=20161713</v>
      </c>
    </row>
    <row r="1891" spans="1:14" x14ac:dyDescent="0.15">
      <c r="A1891" s="3">
        <v>1890</v>
      </c>
      <c r="B1891" s="1" t="s">
        <v>926</v>
      </c>
      <c r="C1891" s="1" t="s">
        <v>1849</v>
      </c>
      <c r="E1891" s="1" t="s">
        <v>1424</v>
      </c>
      <c r="F1891" s="1" t="s">
        <v>2426</v>
      </c>
      <c r="G1891" s="3">
        <v>0</v>
      </c>
      <c r="J1891" s="20" t="s">
        <v>2860</v>
      </c>
      <c r="K1891" s="20" t="s">
        <v>10021</v>
      </c>
      <c r="L1891" s="3">
        <v>28</v>
      </c>
      <c r="M1891" s="3" t="s">
        <v>10189</v>
      </c>
      <c r="N1891" s="3" t="str">
        <f>HYPERLINK("http://ictvonline.org/taxonomyHistory.asp?taxnode_id=20161714","ICTVonline=20161714")</f>
        <v>ICTVonline=20161714</v>
      </c>
    </row>
    <row r="1892" spans="1:14" x14ac:dyDescent="0.15">
      <c r="A1892" s="3">
        <v>1891</v>
      </c>
      <c r="B1892" s="1" t="s">
        <v>926</v>
      </c>
      <c r="C1892" s="1" t="s">
        <v>1849</v>
      </c>
      <c r="E1892" s="1" t="s">
        <v>1424</v>
      </c>
      <c r="F1892" s="1" t="s">
        <v>2427</v>
      </c>
      <c r="G1892" s="3">
        <v>0</v>
      </c>
      <c r="J1892" s="20" t="s">
        <v>2860</v>
      </c>
      <c r="K1892" s="20" t="s">
        <v>10021</v>
      </c>
      <c r="L1892" s="3">
        <v>28</v>
      </c>
      <c r="M1892" s="3" t="s">
        <v>10189</v>
      </c>
      <c r="N1892" s="3" t="str">
        <f>HYPERLINK("http://ictvonline.org/taxonomyHistory.asp?taxnode_id=20161715","ICTVonline=20161715")</f>
        <v>ICTVonline=20161715</v>
      </c>
    </row>
    <row r="1893" spans="1:14" x14ac:dyDescent="0.15">
      <c r="A1893" s="3">
        <v>1892</v>
      </c>
      <c r="B1893" s="1" t="s">
        <v>926</v>
      </c>
      <c r="C1893" s="1" t="s">
        <v>1849</v>
      </c>
      <c r="E1893" s="1" t="s">
        <v>1424</v>
      </c>
      <c r="F1893" s="1" t="s">
        <v>2428</v>
      </c>
      <c r="G1893" s="3">
        <v>0</v>
      </c>
      <c r="J1893" s="20" t="s">
        <v>2860</v>
      </c>
      <c r="K1893" s="20" t="s">
        <v>10021</v>
      </c>
      <c r="L1893" s="3">
        <v>28</v>
      </c>
      <c r="M1893" s="3" t="s">
        <v>10189</v>
      </c>
      <c r="N1893" s="3" t="str">
        <f>HYPERLINK("http://ictvonline.org/taxonomyHistory.asp?taxnode_id=20161716","ICTVonline=20161716")</f>
        <v>ICTVonline=20161716</v>
      </c>
    </row>
    <row r="1894" spans="1:14" x14ac:dyDescent="0.15">
      <c r="A1894" s="3">
        <v>1893</v>
      </c>
      <c r="B1894" s="1" t="s">
        <v>926</v>
      </c>
      <c r="C1894" s="1" t="s">
        <v>1849</v>
      </c>
      <c r="E1894" s="1" t="s">
        <v>1424</v>
      </c>
      <c r="F1894" s="1" t="s">
        <v>2429</v>
      </c>
      <c r="G1894" s="3">
        <v>0</v>
      </c>
      <c r="J1894" s="20" t="s">
        <v>2860</v>
      </c>
      <c r="K1894" s="20" t="s">
        <v>10021</v>
      </c>
      <c r="L1894" s="3">
        <v>28</v>
      </c>
      <c r="M1894" s="3" t="s">
        <v>10189</v>
      </c>
      <c r="N1894" s="3" t="str">
        <f>HYPERLINK("http://ictvonline.org/taxonomyHistory.asp?taxnode_id=20161717","ICTVonline=20161717")</f>
        <v>ICTVonline=20161717</v>
      </c>
    </row>
    <row r="1895" spans="1:14" x14ac:dyDescent="0.15">
      <c r="A1895" s="3">
        <v>1894</v>
      </c>
      <c r="B1895" s="1" t="s">
        <v>926</v>
      </c>
      <c r="C1895" s="1" t="s">
        <v>1849</v>
      </c>
      <c r="E1895" s="1" t="s">
        <v>1424</v>
      </c>
      <c r="F1895" s="1" t="s">
        <v>4905</v>
      </c>
      <c r="G1895" s="3">
        <v>0</v>
      </c>
      <c r="H1895" s="20" t="s">
        <v>6817</v>
      </c>
      <c r="I1895" s="20" t="s">
        <v>4906</v>
      </c>
      <c r="J1895" s="20" t="s">
        <v>2860</v>
      </c>
      <c r="K1895" s="20" t="s">
        <v>10013</v>
      </c>
      <c r="L1895" s="3">
        <v>30</v>
      </c>
      <c r="M1895" s="3" t="s">
        <v>10190</v>
      </c>
      <c r="N1895" s="3" t="str">
        <f>HYPERLINK("http://ictvonline.org/taxonomyHistory.asp?taxnode_id=20161718","ICTVonline=20161718")</f>
        <v>ICTVonline=20161718</v>
      </c>
    </row>
    <row r="1896" spans="1:14" x14ac:dyDescent="0.15">
      <c r="A1896" s="3">
        <v>1895</v>
      </c>
      <c r="B1896" s="1" t="s">
        <v>926</v>
      </c>
      <c r="C1896" s="1" t="s">
        <v>1849</v>
      </c>
      <c r="E1896" s="1" t="s">
        <v>1424</v>
      </c>
      <c r="F1896" s="1" t="s">
        <v>2430</v>
      </c>
      <c r="G1896" s="3">
        <v>0</v>
      </c>
      <c r="J1896" s="20" t="s">
        <v>2860</v>
      </c>
      <c r="K1896" s="20" t="s">
        <v>10021</v>
      </c>
      <c r="L1896" s="3">
        <v>28</v>
      </c>
      <c r="M1896" s="3" t="s">
        <v>10189</v>
      </c>
      <c r="N1896" s="3" t="str">
        <f>HYPERLINK("http://ictvonline.org/taxonomyHistory.asp?taxnode_id=20161719","ICTVonline=20161719")</f>
        <v>ICTVonline=20161719</v>
      </c>
    </row>
    <row r="1897" spans="1:14" x14ac:dyDescent="0.15">
      <c r="A1897" s="3">
        <v>1896</v>
      </c>
      <c r="B1897" s="1" t="s">
        <v>926</v>
      </c>
      <c r="C1897" s="1" t="s">
        <v>1849</v>
      </c>
      <c r="E1897" s="1" t="s">
        <v>1424</v>
      </c>
      <c r="F1897" s="1" t="s">
        <v>4907</v>
      </c>
      <c r="G1897" s="3">
        <v>0</v>
      </c>
      <c r="H1897" s="20" t="s">
        <v>6818</v>
      </c>
      <c r="I1897" s="20" t="s">
        <v>4908</v>
      </c>
      <c r="J1897" s="20" t="s">
        <v>2860</v>
      </c>
      <c r="K1897" s="20" t="s">
        <v>10013</v>
      </c>
      <c r="L1897" s="3">
        <v>30</v>
      </c>
      <c r="M1897" s="3" t="s">
        <v>10190</v>
      </c>
      <c r="N1897" s="3" t="str">
        <f>HYPERLINK("http://ictvonline.org/taxonomyHistory.asp?taxnode_id=20161720","ICTVonline=20161720")</f>
        <v>ICTVonline=20161720</v>
      </c>
    </row>
    <row r="1898" spans="1:14" x14ac:dyDescent="0.15">
      <c r="A1898" s="3">
        <v>1897</v>
      </c>
      <c r="B1898" s="1" t="s">
        <v>926</v>
      </c>
      <c r="C1898" s="1" t="s">
        <v>1849</v>
      </c>
      <c r="E1898" s="1" t="s">
        <v>1424</v>
      </c>
      <c r="F1898" s="1" t="s">
        <v>4909</v>
      </c>
      <c r="G1898" s="3">
        <v>0</v>
      </c>
      <c r="H1898" s="20" t="s">
        <v>6819</v>
      </c>
      <c r="I1898" s="20" t="s">
        <v>4910</v>
      </c>
      <c r="J1898" s="20" t="s">
        <v>2860</v>
      </c>
      <c r="K1898" s="20" t="s">
        <v>10013</v>
      </c>
      <c r="L1898" s="3">
        <v>30</v>
      </c>
      <c r="M1898" s="3" t="s">
        <v>10190</v>
      </c>
      <c r="N1898" s="3" t="str">
        <f>HYPERLINK("http://ictvonline.org/taxonomyHistory.asp?taxnode_id=20161721","ICTVonline=20161721")</f>
        <v>ICTVonline=20161721</v>
      </c>
    </row>
    <row r="1899" spans="1:14" x14ac:dyDescent="0.15">
      <c r="A1899" s="3">
        <v>1898</v>
      </c>
      <c r="B1899" s="1" t="s">
        <v>926</v>
      </c>
      <c r="C1899" s="1" t="s">
        <v>1849</v>
      </c>
      <c r="E1899" s="1" t="s">
        <v>1028</v>
      </c>
      <c r="F1899" s="1" t="s">
        <v>2431</v>
      </c>
      <c r="G1899" s="3">
        <v>1</v>
      </c>
      <c r="J1899" s="20" t="s">
        <v>2860</v>
      </c>
      <c r="K1899" s="20" t="s">
        <v>10021</v>
      </c>
      <c r="L1899" s="3">
        <v>28</v>
      </c>
      <c r="M1899" s="3" t="s">
        <v>10189</v>
      </c>
      <c r="N1899" s="3" t="str">
        <f>HYPERLINK("http://ictvonline.org/taxonomyHistory.asp?taxnode_id=20161723","ICTVonline=20161723")</f>
        <v>ICTVonline=20161723</v>
      </c>
    </row>
    <row r="1900" spans="1:14" x14ac:dyDescent="0.15">
      <c r="A1900" s="3">
        <v>1899</v>
      </c>
      <c r="B1900" s="1" t="s">
        <v>926</v>
      </c>
      <c r="C1900" s="1" t="s">
        <v>1849</v>
      </c>
      <c r="E1900" s="1" t="s">
        <v>1486</v>
      </c>
      <c r="F1900" s="1" t="s">
        <v>2432</v>
      </c>
      <c r="G1900" s="3">
        <v>0</v>
      </c>
      <c r="J1900" s="20" t="s">
        <v>2860</v>
      </c>
      <c r="K1900" s="20" t="s">
        <v>10021</v>
      </c>
      <c r="L1900" s="3">
        <v>28</v>
      </c>
      <c r="M1900" s="3" t="s">
        <v>10189</v>
      </c>
      <c r="N1900" s="3" t="str">
        <f>HYPERLINK("http://ictvonline.org/taxonomyHistory.asp?taxnode_id=20161725","ICTVonline=20161725")</f>
        <v>ICTVonline=20161725</v>
      </c>
    </row>
    <row r="1901" spans="1:14" x14ac:dyDescent="0.15">
      <c r="A1901" s="3">
        <v>1900</v>
      </c>
      <c r="B1901" s="1" t="s">
        <v>926</v>
      </c>
      <c r="C1901" s="1" t="s">
        <v>1849</v>
      </c>
      <c r="E1901" s="1" t="s">
        <v>1486</v>
      </c>
      <c r="F1901" s="1" t="s">
        <v>2433</v>
      </c>
      <c r="G1901" s="3">
        <v>0</v>
      </c>
      <c r="J1901" s="20" t="s">
        <v>2860</v>
      </c>
      <c r="K1901" s="20" t="s">
        <v>10021</v>
      </c>
      <c r="L1901" s="3">
        <v>28</v>
      </c>
      <c r="M1901" s="3" t="s">
        <v>10189</v>
      </c>
      <c r="N1901" s="3" t="str">
        <f>HYPERLINK("http://ictvonline.org/taxonomyHistory.asp?taxnode_id=20161726","ICTVonline=20161726")</f>
        <v>ICTVonline=20161726</v>
      </c>
    </row>
    <row r="1902" spans="1:14" x14ac:dyDescent="0.15">
      <c r="A1902" s="3">
        <v>1901</v>
      </c>
      <c r="B1902" s="1" t="s">
        <v>926</v>
      </c>
      <c r="C1902" s="1" t="s">
        <v>1849</v>
      </c>
      <c r="E1902" s="1" t="s">
        <v>1486</v>
      </c>
      <c r="F1902" s="1" t="s">
        <v>2434</v>
      </c>
      <c r="G1902" s="3">
        <v>0</v>
      </c>
      <c r="J1902" s="20" t="s">
        <v>2860</v>
      </c>
      <c r="K1902" s="20" t="s">
        <v>10021</v>
      </c>
      <c r="L1902" s="3">
        <v>28</v>
      </c>
      <c r="M1902" s="3" t="s">
        <v>10189</v>
      </c>
      <c r="N1902" s="3" t="str">
        <f>HYPERLINK("http://ictvonline.org/taxonomyHistory.asp?taxnode_id=20161727","ICTVonline=20161727")</f>
        <v>ICTVonline=20161727</v>
      </c>
    </row>
    <row r="1903" spans="1:14" x14ac:dyDescent="0.15">
      <c r="A1903" s="3">
        <v>1902</v>
      </c>
      <c r="B1903" s="1" t="s">
        <v>926</v>
      </c>
      <c r="C1903" s="1" t="s">
        <v>1849</v>
      </c>
      <c r="E1903" s="1" t="s">
        <v>1486</v>
      </c>
      <c r="F1903" s="1" t="s">
        <v>2435</v>
      </c>
      <c r="G1903" s="3">
        <v>0</v>
      </c>
      <c r="J1903" s="20" t="s">
        <v>2860</v>
      </c>
      <c r="K1903" s="20" t="s">
        <v>10021</v>
      </c>
      <c r="L1903" s="3">
        <v>28</v>
      </c>
      <c r="M1903" s="3" t="s">
        <v>10189</v>
      </c>
      <c r="N1903" s="3" t="str">
        <f>HYPERLINK("http://ictvonline.org/taxonomyHistory.asp?taxnode_id=20161728","ICTVonline=20161728")</f>
        <v>ICTVonline=20161728</v>
      </c>
    </row>
    <row r="1904" spans="1:14" x14ac:dyDescent="0.15">
      <c r="A1904" s="3">
        <v>1903</v>
      </c>
      <c r="B1904" s="1" t="s">
        <v>926</v>
      </c>
      <c r="C1904" s="1" t="s">
        <v>1849</v>
      </c>
      <c r="E1904" s="1" t="s">
        <v>1486</v>
      </c>
      <c r="F1904" s="1" t="s">
        <v>2436</v>
      </c>
      <c r="G1904" s="3">
        <v>0</v>
      </c>
      <c r="J1904" s="20" t="s">
        <v>2860</v>
      </c>
      <c r="K1904" s="20" t="s">
        <v>10021</v>
      </c>
      <c r="L1904" s="3">
        <v>28</v>
      </c>
      <c r="M1904" s="3" t="s">
        <v>10189</v>
      </c>
      <c r="N1904" s="3" t="str">
        <f>HYPERLINK("http://ictvonline.org/taxonomyHistory.asp?taxnode_id=20161729","ICTVonline=20161729")</f>
        <v>ICTVonline=20161729</v>
      </c>
    </row>
    <row r="1905" spans="1:14" x14ac:dyDescent="0.15">
      <c r="A1905" s="3">
        <v>1904</v>
      </c>
      <c r="B1905" s="1" t="s">
        <v>926</v>
      </c>
      <c r="C1905" s="1" t="s">
        <v>1849</v>
      </c>
      <c r="E1905" s="1" t="s">
        <v>1486</v>
      </c>
      <c r="F1905" s="1" t="s">
        <v>2437</v>
      </c>
      <c r="G1905" s="3">
        <v>0</v>
      </c>
      <c r="J1905" s="20" t="s">
        <v>2860</v>
      </c>
      <c r="K1905" s="20" t="s">
        <v>10021</v>
      </c>
      <c r="L1905" s="3">
        <v>28</v>
      </c>
      <c r="M1905" s="3" t="s">
        <v>10189</v>
      </c>
      <c r="N1905" s="3" t="str">
        <f>HYPERLINK("http://ictvonline.org/taxonomyHistory.asp?taxnode_id=20161730","ICTVonline=20161730")</f>
        <v>ICTVonline=20161730</v>
      </c>
    </row>
    <row r="1906" spans="1:14" x14ac:dyDescent="0.15">
      <c r="A1906" s="3">
        <v>1905</v>
      </c>
      <c r="B1906" s="1" t="s">
        <v>926</v>
      </c>
      <c r="C1906" s="1" t="s">
        <v>1849</v>
      </c>
      <c r="E1906" s="1" t="s">
        <v>1486</v>
      </c>
      <c r="F1906" s="1" t="s">
        <v>9082</v>
      </c>
      <c r="G1906" s="3">
        <v>0</v>
      </c>
      <c r="H1906" s="20" t="s">
        <v>9083</v>
      </c>
      <c r="I1906" s="20" t="s">
        <v>9084</v>
      </c>
      <c r="J1906" s="20" t="s">
        <v>2860</v>
      </c>
      <c r="K1906" s="20" t="s">
        <v>10013</v>
      </c>
      <c r="L1906" s="3">
        <v>31</v>
      </c>
      <c r="M1906" s="3" t="s">
        <v>9085</v>
      </c>
      <c r="N1906" s="3" t="str">
        <f>HYPERLINK("http://ictvonline.org/taxonomyHistory.asp?taxnode_id=20165221","ICTVonline=20165221")</f>
        <v>ICTVonline=20165221</v>
      </c>
    </row>
    <row r="1907" spans="1:14" x14ac:dyDescent="0.15">
      <c r="A1907" s="3">
        <v>1906</v>
      </c>
      <c r="B1907" s="1" t="s">
        <v>926</v>
      </c>
      <c r="C1907" s="1" t="s">
        <v>1849</v>
      </c>
      <c r="E1907" s="1" t="s">
        <v>1486</v>
      </c>
      <c r="F1907" s="1" t="s">
        <v>2438</v>
      </c>
      <c r="G1907" s="3">
        <v>0</v>
      </c>
      <c r="J1907" s="20" t="s">
        <v>2860</v>
      </c>
      <c r="K1907" s="20" t="s">
        <v>10021</v>
      </c>
      <c r="L1907" s="3">
        <v>28</v>
      </c>
      <c r="M1907" s="3" t="s">
        <v>10189</v>
      </c>
      <c r="N1907" s="3" t="str">
        <f>HYPERLINK("http://ictvonline.org/taxonomyHistory.asp?taxnode_id=20161731","ICTVonline=20161731")</f>
        <v>ICTVonline=20161731</v>
      </c>
    </row>
    <row r="1908" spans="1:14" x14ac:dyDescent="0.15">
      <c r="A1908" s="3">
        <v>1907</v>
      </c>
      <c r="B1908" s="1" t="s">
        <v>926</v>
      </c>
      <c r="C1908" s="1" t="s">
        <v>1849</v>
      </c>
      <c r="E1908" s="1" t="s">
        <v>1486</v>
      </c>
      <c r="F1908" s="1" t="s">
        <v>2439</v>
      </c>
      <c r="G1908" s="3">
        <v>0</v>
      </c>
      <c r="J1908" s="20" t="s">
        <v>2860</v>
      </c>
      <c r="K1908" s="20" t="s">
        <v>10021</v>
      </c>
      <c r="L1908" s="3">
        <v>28</v>
      </c>
      <c r="M1908" s="3" t="s">
        <v>10189</v>
      </c>
      <c r="N1908" s="3" t="str">
        <f>HYPERLINK("http://ictvonline.org/taxonomyHistory.asp?taxnode_id=20161732","ICTVonline=20161732")</f>
        <v>ICTVonline=20161732</v>
      </c>
    </row>
    <row r="1909" spans="1:14" x14ac:dyDescent="0.15">
      <c r="A1909" s="3">
        <v>1908</v>
      </c>
      <c r="B1909" s="1" t="s">
        <v>926</v>
      </c>
      <c r="C1909" s="1" t="s">
        <v>1849</v>
      </c>
      <c r="E1909" s="1" t="s">
        <v>1486</v>
      </c>
      <c r="F1909" s="1" t="s">
        <v>2440</v>
      </c>
      <c r="G1909" s="3">
        <v>0</v>
      </c>
      <c r="J1909" s="20" t="s">
        <v>2860</v>
      </c>
      <c r="K1909" s="20" t="s">
        <v>10021</v>
      </c>
      <c r="L1909" s="3">
        <v>28</v>
      </c>
      <c r="M1909" s="3" t="s">
        <v>10189</v>
      </c>
      <c r="N1909" s="3" t="str">
        <f>HYPERLINK("http://ictvonline.org/taxonomyHistory.asp?taxnode_id=20161733","ICTVonline=20161733")</f>
        <v>ICTVonline=20161733</v>
      </c>
    </row>
    <row r="1910" spans="1:14" x14ac:dyDescent="0.15">
      <c r="A1910" s="3">
        <v>1909</v>
      </c>
      <c r="B1910" s="1" t="s">
        <v>926</v>
      </c>
      <c r="C1910" s="1" t="s">
        <v>1849</v>
      </c>
      <c r="E1910" s="1" t="s">
        <v>1486</v>
      </c>
      <c r="F1910" s="1" t="s">
        <v>2441</v>
      </c>
      <c r="G1910" s="3">
        <v>0</v>
      </c>
      <c r="J1910" s="20" t="s">
        <v>2860</v>
      </c>
      <c r="K1910" s="20" t="s">
        <v>10021</v>
      </c>
      <c r="L1910" s="3">
        <v>28</v>
      </c>
      <c r="M1910" s="3" t="s">
        <v>10189</v>
      </c>
      <c r="N1910" s="3" t="str">
        <f>HYPERLINK("http://ictvonline.org/taxonomyHistory.asp?taxnode_id=20161734","ICTVonline=20161734")</f>
        <v>ICTVonline=20161734</v>
      </c>
    </row>
    <row r="1911" spans="1:14" x14ac:dyDescent="0.15">
      <c r="A1911" s="3">
        <v>1910</v>
      </c>
      <c r="B1911" s="1" t="s">
        <v>926</v>
      </c>
      <c r="C1911" s="1" t="s">
        <v>1849</v>
      </c>
      <c r="E1911" s="1" t="s">
        <v>1486</v>
      </c>
      <c r="F1911" s="1" t="s">
        <v>2442</v>
      </c>
      <c r="G1911" s="3">
        <v>1</v>
      </c>
      <c r="J1911" s="20" t="s">
        <v>2860</v>
      </c>
      <c r="K1911" s="20" t="s">
        <v>10021</v>
      </c>
      <c r="L1911" s="3">
        <v>28</v>
      </c>
      <c r="M1911" s="3" t="s">
        <v>10189</v>
      </c>
      <c r="N1911" s="3" t="str">
        <f>HYPERLINK("http://ictvonline.org/taxonomyHistory.asp?taxnode_id=20161735","ICTVonline=20161735")</f>
        <v>ICTVonline=20161735</v>
      </c>
    </row>
    <row r="1912" spans="1:14" x14ac:dyDescent="0.15">
      <c r="A1912" s="3">
        <v>1911</v>
      </c>
      <c r="B1912" s="1" t="s">
        <v>926</v>
      </c>
      <c r="C1912" s="1" t="s">
        <v>1849</v>
      </c>
      <c r="E1912" s="1" t="s">
        <v>1486</v>
      </c>
      <c r="F1912" s="1" t="s">
        <v>2443</v>
      </c>
      <c r="G1912" s="3">
        <v>0</v>
      </c>
      <c r="J1912" s="20" t="s">
        <v>2860</v>
      </c>
      <c r="K1912" s="20" t="s">
        <v>10021</v>
      </c>
      <c r="L1912" s="3">
        <v>28</v>
      </c>
      <c r="M1912" s="3" t="s">
        <v>10189</v>
      </c>
      <c r="N1912" s="3" t="str">
        <f>HYPERLINK("http://ictvonline.org/taxonomyHistory.asp?taxnode_id=20161736","ICTVonline=20161736")</f>
        <v>ICTVonline=20161736</v>
      </c>
    </row>
    <row r="1913" spans="1:14" x14ac:dyDescent="0.15">
      <c r="A1913" s="3">
        <v>1912</v>
      </c>
      <c r="B1913" s="1" t="s">
        <v>926</v>
      </c>
      <c r="C1913" s="1" t="s">
        <v>1849</v>
      </c>
      <c r="E1913" s="1" t="s">
        <v>1486</v>
      </c>
      <c r="F1913" s="1" t="s">
        <v>2444</v>
      </c>
      <c r="G1913" s="3">
        <v>0</v>
      </c>
      <c r="J1913" s="20" t="s">
        <v>2860</v>
      </c>
      <c r="K1913" s="20" t="s">
        <v>10021</v>
      </c>
      <c r="L1913" s="3">
        <v>28</v>
      </c>
      <c r="M1913" s="3" t="s">
        <v>10189</v>
      </c>
      <c r="N1913" s="3" t="str">
        <f>HYPERLINK("http://ictvonline.org/taxonomyHistory.asp?taxnode_id=20161737","ICTVonline=20161737")</f>
        <v>ICTVonline=20161737</v>
      </c>
    </row>
    <row r="1914" spans="1:14" x14ac:dyDescent="0.15">
      <c r="A1914" s="3">
        <v>1913</v>
      </c>
      <c r="B1914" s="1" t="s">
        <v>926</v>
      </c>
      <c r="C1914" s="1" t="s">
        <v>1849</v>
      </c>
      <c r="E1914" s="1" t="s">
        <v>1486</v>
      </c>
      <c r="F1914" s="1" t="s">
        <v>2445</v>
      </c>
      <c r="G1914" s="3">
        <v>0</v>
      </c>
      <c r="J1914" s="20" t="s">
        <v>2860</v>
      </c>
      <c r="K1914" s="20" t="s">
        <v>10021</v>
      </c>
      <c r="L1914" s="3">
        <v>28</v>
      </c>
      <c r="M1914" s="3" t="s">
        <v>10189</v>
      </c>
      <c r="N1914" s="3" t="str">
        <f>HYPERLINK("http://ictvonline.org/taxonomyHistory.asp?taxnode_id=20161738","ICTVonline=20161738")</f>
        <v>ICTVonline=20161738</v>
      </c>
    </row>
    <row r="1915" spans="1:14" x14ac:dyDescent="0.15">
      <c r="A1915" s="3">
        <v>1914</v>
      </c>
      <c r="B1915" s="1" t="s">
        <v>926</v>
      </c>
      <c r="C1915" s="1" t="s">
        <v>1849</v>
      </c>
      <c r="E1915" s="1" t="s">
        <v>1486</v>
      </c>
      <c r="F1915" s="1" t="s">
        <v>2446</v>
      </c>
      <c r="G1915" s="3">
        <v>0</v>
      </c>
      <c r="J1915" s="20" t="s">
        <v>2860</v>
      </c>
      <c r="K1915" s="20" t="s">
        <v>10021</v>
      </c>
      <c r="L1915" s="3">
        <v>28</v>
      </c>
      <c r="M1915" s="3" t="s">
        <v>10189</v>
      </c>
      <c r="N1915" s="3" t="str">
        <f>HYPERLINK("http://ictvonline.org/taxonomyHistory.asp?taxnode_id=20161739","ICTVonline=20161739")</f>
        <v>ICTVonline=20161739</v>
      </c>
    </row>
    <row r="1916" spans="1:14" x14ac:dyDescent="0.15">
      <c r="A1916" s="3">
        <v>1915</v>
      </c>
      <c r="B1916" s="1" t="s">
        <v>926</v>
      </c>
      <c r="C1916" s="1" t="s">
        <v>1849</v>
      </c>
      <c r="E1916" s="1" t="s">
        <v>1486</v>
      </c>
      <c r="F1916" s="1" t="s">
        <v>2447</v>
      </c>
      <c r="G1916" s="3">
        <v>0</v>
      </c>
      <c r="J1916" s="20" t="s">
        <v>2860</v>
      </c>
      <c r="K1916" s="20" t="s">
        <v>10021</v>
      </c>
      <c r="L1916" s="3">
        <v>28</v>
      </c>
      <c r="M1916" s="3" t="s">
        <v>10189</v>
      </c>
      <c r="N1916" s="3" t="str">
        <f>HYPERLINK("http://ictvonline.org/taxonomyHistory.asp?taxnode_id=20161740","ICTVonline=20161740")</f>
        <v>ICTVonline=20161740</v>
      </c>
    </row>
    <row r="1917" spans="1:14" x14ac:dyDescent="0.15">
      <c r="A1917" s="3">
        <v>1916</v>
      </c>
      <c r="B1917" s="1" t="s">
        <v>926</v>
      </c>
      <c r="C1917" s="1" t="s">
        <v>1849</v>
      </c>
      <c r="E1917" s="1" t="s">
        <v>1486</v>
      </c>
      <c r="F1917" s="1" t="s">
        <v>2448</v>
      </c>
      <c r="G1917" s="3">
        <v>0</v>
      </c>
      <c r="J1917" s="20" t="s">
        <v>2860</v>
      </c>
      <c r="K1917" s="20" t="s">
        <v>10021</v>
      </c>
      <c r="L1917" s="3">
        <v>28</v>
      </c>
      <c r="M1917" s="3" t="s">
        <v>10189</v>
      </c>
      <c r="N1917" s="3" t="str">
        <f>HYPERLINK("http://ictvonline.org/taxonomyHistory.asp?taxnode_id=20161741","ICTVonline=20161741")</f>
        <v>ICTVonline=20161741</v>
      </c>
    </row>
    <row r="1918" spans="1:14" x14ac:dyDescent="0.15">
      <c r="A1918" s="3">
        <v>1917</v>
      </c>
      <c r="B1918" s="1" t="s">
        <v>926</v>
      </c>
      <c r="C1918" s="1" t="s">
        <v>1849</v>
      </c>
      <c r="E1918" s="1" t="s">
        <v>1486</v>
      </c>
      <c r="F1918" s="1" t="s">
        <v>2449</v>
      </c>
      <c r="G1918" s="3">
        <v>0</v>
      </c>
      <c r="J1918" s="20" t="s">
        <v>2860</v>
      </c>
      <c r="K1918" s="20" t="s">
        <v>10021</v>
      </c>
      <c r="L1918" s="3">
        <v>28</v>
      </c>
      <c r="M1918" s="3" t="s">
        <v>10189</v>
      </c>
      <c r="N1918" s="3" t="str">
        <f>HYPERLINK("http://ictvonline.org/taxonomyHistory.asp?taxnode_id=20161742","ICTVonline=20161742")</f>
        <v>ICTVonline=20161742</v>
      </c>
    </row>
    <row r="1919" spans="1:14" x14ac:dyDescent="0.15">
      <c r="A1919" s="3">
        <v>1918</v>
      </c>
      <c r="B1919" s="1" t="s">
        <v>926</v>
      </c>
      <c r="C1919" s="1" t="s">
        <v>1849</v>
      </c>
      <c r="E1919" s="1" t="s">
        <v>1486</v>
      </c>
      <c r="F1919" s="1" t="s">
        <v>2450</v>
      </c>
      <c r="G1919" s="3">
        <v>0</v>
      </c>
      <c r="J1919" s="20" t="s">
        <v>2860</v>
      </c>
      <c r="K1919" s="20" t="s">
        <v>10021</v>
      </c>
      <c r="L1919" s="3">
        <v>28</v>
      </c>
      <c r="M1919" s="3" t="s">
        <v>10189</v>
      </c>
      <c r="N1919" s="3" t="str">
        <f>HYPERLINK("http://ictvonline.org/taxonomyHistory.asp?taxnode_id=20161743","ICTVonline=20161743")</f>
        <v>ICTVonline=20161743</v>
      </c>
    </row>
    <row r="1920" spans="1:14" x14ac:dyDescent="0.15">
      <c r="A1920" s="3">
        <v>1919</v>
      </c>
      <c r="B1920" s="1" t="s">
        <v>926</v>
      </c>
      <c r="C1920" s="1" t="s">
        <v>1849</v>
      </c>
      <c r="E1920" s="1" t="s">
        <v>1486</v>
      </c>
      <c r="F1920" s="1" t="s">
        <v>2451</v>
      </c>
      <c r="G1920" s="3">
        <v>0</v>
      </c>
      <c r="J1920" s="20" t="s">
        <v>2860</v>
      </c>
      <c r="K1920" s="20" t="s">
        <v>10021</v>
      </c>
      <c r="L1920" s="3">
        <v>28</v>
      </c>
      <c r="M1920" s="3" t="s">
        <v>10189</v>
      </c>
      <c r="N1920" s="3" t="str">
        <f>HYPERLINK("http://ictvonline.org/taxonomyHistory.asp?taxnode_id=20161744","ICTVonline=20161744")</f>
        <v>ICTVonline=20161744</v>
      </c>
    </row>
    <row r="1921" spans="1:14" x14ac:dyDescent="0.15">
      <c r="A1921" s="3">
        <v>1920</v>
      </c>
      <c r="B1921" s="1" t="s">
        <v>926</v>
      </c>
      <c r="C1921" s="1" t="s">
        <v>1849</v>
      </c>
      <c r="E1921" s="1" t="s">
        <v>1486</v>
      </c>
      <c r="F1921" s="1" t="s">
        <v>9086</v>
      </c>
      <c r="G1921" s="3">
        <v>0</v>
      </c>
      <c r="H1921" s="20" t="s">
        <v>9087</v>
      </c>
      <c r="I1921" s="20" t="s">
        <v>9088</v>
      </c>
      <c r="J1921" s="20" t="s">
        <v>2860</v>
      </c>
      <c r="K1921" s="20" t="s">
        <v>10013</v>
      </c>
      <c r="L1921" s="3">
        <v>31</v>
      </c>
      <c r="M1921" s="3" t="s">
        <v>9085</v>
      </c>
      <c r="N1921" s="3" t="str">
        <f>HYPERLINK("http://ictvonline.org/taxonomyHistory.asp?taxnode_id=20165222","ICTVonline=20165222")</f>
        <v>ICTVonline=20165222</v>
      </c>
    </row>
    <row r="1922" spans="1:14" x14ac:dyDescent="0.15">
      <c r="A1922" s="3">
        <v>1921</v>
      </c>
      <c r="B1922" s="1" t="s">
        <v>926</v>
      </c>
      <c r="C1922" s="1" t="s">
        <v>1849</v>
      </c>
      <c r="E1922" s="1" t="s">
        <v>1486</v>
      </c>
      <c r="F1922" s="1" t="s">
        <v>2452</v>
      </c>
      <c r="G1922" s="3">
        <v>0</v>
      </c>
      <c r="J1922" s="20" t="s">
        <v>2860</v>
      </c>
      <c r="K1922" s="20" t="s">
        <v>10021</v>
      </c>
      <c r="L1922" s="3">
        <v>28</v>
      </c>
      <c r="M1922" s="3" t="s">
        <v>10189</v>
      </c>
      <c r="N1922" s="3" t="str">
        <f>HYPERLINK("http://ictvonline.org/taxonomyHistory.asp?taxnode_id=20161745","ICTVonline=20161745")</f>
        <v>ICTVonline=20161745</v>
      </c>
    </row>
    <row r="1923" spans="1:14" x14ac:dyDescent="0.15">
      <c r="A1923" s="3">
        <v>1922</v>
      </c>
      <c r="B1923" s="1" t="s">
        <v>926</v>
      </c>
      <c r="C1923" s="1" t="s">
        <v>1849</v>
      </c>
      <c r="E1923" s="1" t="s">
        <v>1486</v>
      </c>
      <c r="F1923" s="1" t="s">
        <v>2453</v>
      </c>
      <c r="G1923" s="3">
        <v>0</v>
      </c>
      <c r="J1923" s="20" t="s">
        <v>2860</v>
      </c>
      <c r="K1923" s="20" t="s">
        <v>10021</v>
      </c>
      <c r="L1923" s="3">
        <v>28</v>
      </c>
      <c r="M1923" s="3" t="s">
        <v>10189</v>
      </c>
      <c r="N1923" s="3" t="str">
        <f>HYPERLINK("http://ictvonline.org/taxonomyHistory.asp?taxnode_id=20161746","ICTVonline=20161746")</f>
        <v>ICTVonline=20161746</v>
      </c>
    </row>
    <row r="1924" spans="1:14" x14ac:dyDescent="0.15">
      <c r="A1924" s="3">
        <v>1923</v>
      </c>
      <c r="B1924" s="1" t="s">
        <v>926</v>
      </c>
      <c r="C1924" s="1" t="s">
        <v>1849</v>
      </c>
      <c r="E1924" s="1" t="s">
        <v>1486</v>
      </c>
      <c r="F1924" s="1" t="s">
        <v>2454</v>
      </c>
      <c r="G1924" s="3">
        <v>0</v>
      </c>
      <c r="J1924" s="20" t="s">
        <v>2860</v>
      </c>
      <c r="K1924" s="20" t="s">
        <v>10021</v>
      </c>
      <c r="L1924" s="3">
        <v>28</v>
      </c>
      <c r="M1924" s="3" t="s">
        <v>10189</v>
      </c>
      <c r="N1924" s="3" t="str">
        <f>HYPERLINK("http://ictvonline.org/taxonomyHistory.asp?taxnode_id=20161747","ICTVonline=20161747")</f>
        <v>ICTVonline=20161747</v>
      </c>
    </row>
    <row r="1925" spans="1:14" x14ac:dyDescent="0.15">
      <c r="A1925" s="3">
        <v>1924</v>
      </c>
      <c r="B1925" s="1" t="s">
        <v>926</v>
      </c>
      <c r="C1925" s="1" t="s">
        <v>1849</v>
      </c>
      <c r="E1925" s="1" t="s">
        <v>1486</v>
      </c>
      <c r="F1925" s="1" t="s">
        <v>9089</v>
      </c>
      <c r="G1925" s="3">
        <v>0</v>
      </c>
      <c r="H1925" s="20" t="s">
        <v>9090</v>
      </c>
      <c r="I1925" s="20" t="s">
        <v>9091</v>
      </c>
      <c r="J1925" s="20" t="s">
        <v>2860</v>
      </c>
      <c r="K1925" s="20" t="s">
        <v>10013</v>
      </c>
      <c r="L1925" s="3">
        <v>31</v>
      </c>
      <c r="M1925" s="3" t="s">
        <v>9085</v>
      </c>
      <c r="N1925" s="3" t="str">
        <f>HYPERLINK("http://ictvonline.org/taxonomyHistory.asp?taxnode_id=20165223","ICTVonline=20165223")</f>
        <v>ICTVonline=20165223</v>
      </c>
    </row>
    <row r="1926" spans="1:14" x14ac:dyDescent="0.15">
      <c r="A1926" s="3">
        <v>1925</v>
      </c>
      <c r="B1926" s="1" t="s">
        <v>926</v>
      </c>
      <c r="C1926" s="1" t="s">
        <v>1849</v>
      </c>
      <c r="E1926" s="1" t="s">
        <v>1486</v>
      </c>
      <c r="F1926" s="1" t="s">
        <v>2455</v>
      </c>
      <c r="G1926" s="3">
        <v>0</v>
      </c>
      <c r="J1926" s="20" t="s">
        <v>2860</v>
      </c>
      <c r="K1926" s="20" t="s">
        <v>10021</v>
      </c>
      <c r="L1926" s="3">
        <v>28</v>
      </c>
      <c r="M1926" s="3" t="s">
        <v>10189</v>
      </c>
      <c r="N1926" s="3" t="str">
        <f>HYPERLINK("http://ictvonline.org/taxonomyHistory.asp?taxnode_id=20161748","ICTVonline=20161748")</f>
        <v>ICTVonline=20161748</v>
      </c>
    </row>
    <row r="1927" spans="1:14" x14ac:dyDescent="0.15">
      <c r="A1927" s="3">
        <v>1926</v>
      </c>
      <c r="B1927" s="1" t="s">
        <v>926</v>
      </c>
      <c r="C1927" s="1" t="s">
        <v>1849</v>
      </c>
      <c r="E1927" s="1" t="s">
        <v>1486</v>
      </c>
      <c r="F1927" s="1" t="s">
        <v>4911</v>
      </c>
      <c r="G1927" s="3">
        <v>0</v>
      </c>
      <c r="H1927" s="20" t="s">
        <v>6820</v>
      </c>
      <c r="I1927" s="20" t="s">
        <v>4912</v>
      </c>
      <c r="J1927" s="20" t="s">
        <v>2860</v>
      </c>
      <c r="K1927" s="20" t="s">
        <v>10013</v>
      </c>
      <c r="L1927" s="3">
        <v>30</v>
      </c>
      <c r="M1927" s="3" t="s">
        <v>10191</v>
      </c>
      <c r="N1927" s="3" t="str">
        <f>HYPERLINK("http://ictvonline.org/taxonomyHistory.asp?taxnode_id=20161749","ICTVonline=20161749")</f>
        <v>ICTVonline=20161749</v>
      </c>
    </row>
    <row r="1928" spans="1:14" x14ac:dyDescent="0.15">
      <c r="A1928" s="3">
        <v>1927</v>
      </c>
      <c r="B1928" s="1" t="s">
        <v>926</v>
      </c>
      <c r="C1928" s="1" t="s">
        <v>1849</v>
      </c>
      <c r="E1928" s="1" t="s">
        <v>1486</v>
      </c>
      <c r="F1928" s="1" t="s">
        <v>4913</v>
      </c>
      <c r="G1928" s="3">
        <v>0</v>
      </c>
      <c r="H1928" s="20" t="s">
        <v>6821</v>
      </c>
      <c r="I1928" s="20" t="s">
        <v>4914</v>
      </c>
      <c r="J1928" s="20" t="s">
        <v>2860</v>
      </c>
      <c r="K1928" s="20" t="s">
        <v>10013</v>
      </c>
      <c r="L1928" s="3">
        <v>30</v>
      </c>
      <c r="M1928" s="3" t="s">
        <v>10191</v>
      </c>
      <c r="N1928" s="3" t="str">
        <f>HYPERLINK("http://ictvonline.org/taxonomyHistory.asp?taxnode_id=20161750","ICTVonline=20161750")</f>
        <v>ICTVonline=20161750</v>
      </c>
    </row>
    <row r="1929" spans="1:14" x14ac:dyDescent="0.15">
      <c r="A1929" s="3">
        <v>1928</v>
      </c>
      <c r="B1929" s="1" t="s">
        <v>926</v>
      </c>
      <c r="C1929" s="1" t="s">
        <v>1849</v>
      </c>
      <c r="E1929" s="1" t="s">
        <v>1486</v>
      </c>
      <c r="F1929" s="1" t="s">
        <v>9092</v>
      </c>
      <c r="G1929" s="3">
        <v>0</v>
      </c>
      <c r="H1929" s="20" t="s">
        <v>9093</v>
      </c>
      <c r="I1929" s="20" t="s">
        <v>9094</v>
      </c>
      <c r="J1929" s="20" t="s">
        <v>2860</v>
      </c>
      <c r="K1929" s="20" t="s">
        <v>10013</v>
      </c>
      <c r="L1929" s="3">
        <v>31</v>
      </c>
      <c r="M1929" s="3" t="s">
        <v>9085</v>
      </c>
      <c r="N1929" s="3" t="str">
        <f>HYPERLINK("http://ictvonline.org/taxonomyHistory.asp?taxnode_id=20165224","ICTVonline=20165224")</f>
        <v>ICTVonline=20165224</v>
      </c>
    </row>
    <row r="1930" spans="1:14" x14ac:dyDescent="0.15">
      <c r="A1930" s="3">
        <v>1929</v>
      </c>
      <c r="B1930" s="1" t="s">
        <v>926</v>
      </c>
      <c r="C1930" s="1" t="s">
        <v>1849</v>
      </c>
      <c r="E1930" s="1" t="s">
        <v>1486</v>
      </c>
      <c r="F1930" s="1" t="s">
        <v>9095</v>
      </c>
      <c r="G1930" s="3">
        <v>0</v>
      </c>
      <c r="H1930" s="20" t="s">
        <v>9096</v>
      </c>
      <c r="I1930" s="20" t="s">
        <v>9097</v>
      </c>
      <c r="J1930" s="20" t="s">
        <v>2860</v>
      </c>
      <c r="K1930" s="20" t="s">
        <v>10013</v>
      </c>
      <c r="L1930" s="3">
        <v>31</v>
      </c>
      <c r="M1930" s="3" t="s">
        <v>9085</v>
      </c>
      <c r="N1930" s="3" t="str">
        <f>HYPERLINK("http://ictvonline.org/taxonomyHistory.asp?taxnode_id=20165225","ICTVonline=20165225")</f>
        <v>ICTVonline=20165225</v>
      </c>
    </row>
    <row r="1931" spans="1:14" x14ac:dyDescent="0.15">
      <c r="A1931" s="3">
        <v>1930</v>
      </c>
      <c r="B1931" s="1" t="s">
        <v>926</v>
      </c>
      <c r="C1931" s="1" t="s">
        <v>1849</v>
      </c>
      <c r="E1931" s="1" t="s">
        <v>1486</v>
      </c>
      <c r="F1931" s="1" t="s">
        <v>9098</v>
      </c>
      <c r="G1931" s="3">
        <v>0</v>
      </c>
      <c r="H1931" s="20" t="s">
        <v>9099</v>
      </c>
      <c r="I1931" s="20" t="s">
        <v>9100</v>
      </c>
      <c r="J1931" s="20" t="s">
        <v>2860</v>
      </c>
      <c r="K1931" s="20" t="s">
        <v>10013</v>
      </c>
      <c r="L1931" s="3">
        <v>31</v>
      </c>
      <c r="M1931" s="3" t="s">
        <v>9085</v>
      </c>
      <c r="N1931" s="3" t="str">
        <f>HYPERLINK("http://ictvonline.org/taxonomyHistory.asp?taxnode_id=20165226","ICTVonline=20165226")</f>
        <v>ICTVonline=20165226</v>
      </c>
    </row>
    <row r="1932" spans="1:14" x14ac:dyDescent="0.15">
      <c r="A1932" s="3">
        <v>1931</v>
      </c>
      <c r="B1932" s="1" t="s">
        <v>926</v>
      </c>
      <c r="C1932" s="1" t="s">
        <v>1849</v>
      </c>
      <c r="E1932" s="1" t="s">
        <v>1486</v>
      </c>
      <c r="F1932" s="1" t="s">
        <v>9101</v>
      </c>
      <c r="G1932" s="3">
        <v>0</v>
      </c>
      <c r="H1932" s="20" t="s">
        <v>9102</v>
      </c>
      <c r="I1932" s="20" t="s">
        <v>9103</v>
      </c>
      <c r="J1932" s="20" t="s">
        <v>2860</v>
      </c>
      <c r="K1932" s="20" t="s">
        <v>10013</v>
      </c>
      <c r="L1932" s="3">
        <v>31</v>
      </c>
      <c r="M1932" s="3" t="s">
        <v>9085</v>
      </c>
      <c r="N1932" s="3" t="str">
        <f>HYPERLINK("http://ictvonline.org/taxonomyHistory.asp?taxnode_id=20165227","ICTVonline=20165227")</f>
        <v>ICTVonline=20165227</v>
      </c>
    </row>
    <row r="1933" spans="1:14" x14ac:dyDescent="0.15">
      <c r="A1933" s="3">
        <v>1932</v>
      </c>
      <c r="B1933" s="1" t="s">
        <v>926</v>
      </c>
      <c r="C1933" s="1" t="s">
        <v>1849</v>
      </c>
      <c r="E1933" s="1" t="s">
        <v>1486</v>
      </c>
      <c r="F1933" s="1" t="s">
        <v>9104</v>
      </c>
      <c r="G1933" s="3">
        <v>0</v>
      </c>
      <c r="H1933" s="20" t="s">
        <v>9105</v>
      </c>
      <c r="I1933" s="20" t="s">
        <v>9106</v>
      </c>
      <c r="J1933" s="20" t="s">
        <v>2860</v>
      </c>
      <c r="K1933" s="20" t="s">
        <v>10013</v>
      </c>
      <c r="L1933" s="3">
        <v>31</v>
      </c>
      <c r="M1933" s="3" t="s">
        <v>9085</v>
      </c>
      <c r="N1933" s="3" t="str">
        <f>HYPERLINK("http://ictvonline.org/taxonomyHistory.asp?taxnode_id=20165228","ICTVonline=20165228")</f>
        <v>ICTVonline=20165228</v>
      </c>
    </row>
    <row r="1934" spans="1:14" x14ac:dyDescent="0.15">
      <c r="A1934" s="3">
        <v>1933</v>
      </c>
      <c r="B1934" s="1" t="s">
        <v>926</v>
      </c>
      <c r="C1934" s="1" t="s">
        <v>1849</v>
      </c>
      <c r="E1934" s="1" t="s">
        <v>1486</v>
      </c>
      <c r="F1934" s="1" t="s">
        <v>9107</v>
      </c>
      <c r="G1934" s="3">
        <v>0</v>
      </c>
      <c r="H1934" s="20" t="s">
        <v>9108</v>
      </c>
      <c r="I1934" s="20" t="s">
        <v>9109</v>
      </c>
      <c r="J1934" s="20" t="s">
        <v>2860</v>
      </c>
      <c r="K1934" s="20" t="s">
        <v>10013</v>
      </c>
      <c r="L1934" s="3">
        <v>31</v>
      </c>
      <c r="M1934" s="3" t="s">
        <v>9085</v>
      </c>
      <c r="N1934" s="3" t="str">
        <f>HYPERLINK("http://ictvonline.org/taxonomyHistory.asp?taxnode_id=20165229","ICTVonline=20165229")</f>
        <v>ICTVonline=20165229</v>
      </c>
    </row>
    <row r="1935" spans="1:14" x14ac:dyDescent="0.15">
      <c r="A1935" s="3">
        <v>1934</v>
      </c>
      <c r="B1935" s="1" t="s">
        <v>926</v>
      </c>
      <c r="C1935" s="1" t="s">
        <v>1849</v>
      </c>
      <c r="E1935" s="1" t="s">
        <v>1486</v>
      </c>
      <c r="F1935" s="1" t="s">
        <v>2456</v>
      </c>
      <c r="G1935" s="3">
        <v>0</v>
      </c>
      <c r="J1935" s="20" t="s">
        <v>2860</v>
      </c>
      <c r="K1935" s="20" t="s">
        <v>10021</v>
      </c>
      <c r="L1935" s="3">
        <v>28</v>
      </c>
      <c r="M1935" s="3" t="s">
        <v>10189</v>
      </c>
      <c r="N1935" s="3" t="str">
        <f>HYPERLINK("http://ictvonline.org/taxonomyHistory.asp?taxnode_id=20161751","ICTVonline=20161751")</f>
        <v>ICTVonline=20161751</v>
      </c>
    </row>
    <row r="1936" spans="1:14" x14ac:dyDescent="0.15">
      <c r="A1936" s="3">
        <v>1935</v>
      </c>
      <c r="B1936" s="1" t="s">
        <v>926</v>
      </c>
      <c r="C1936" s="1" t="s">
        <v>1849</v>
      </c>
      <c r="E1936" s="1" t="s">
        <v>693</v>
      </c>
      <c r="F1936" s="1" t="s">
        <v>2457</v>
      </c>
      <c r="G1936" s="3">
        <v>1</v>
      </c>
      <c r="J1936" s="20" t="s">
        <v>2860</v>
      </c>
      <c r="K1936" s="20" t="s">
        <v>10021</v>
      </c>
      <c r="L1936" s="3">
        <v>28</v>
      </c>
      <c r="M1936" s="3" t="s">
        <v>10189</v>
      </c>
      <c r="N1936" s="3" t="str">
        <f>HYPERLINK("http://ictvonline.org/taxonomyHistory.asp?taxnode_id=20161753","ICTVonline=20161753")</f>
        <v>ICTVonline=20161753</v>
      </c>
    </row>
    <row r="1937" spans="1:14" x14ac:dyDescent="0.15">
      <c r="A1937" s="3">
        <v>1936</v>
      </c>
      <c r="B1937" s="1" t="s">
        <v>926</v>
      </c>
      <c r="C1937" s="1" t="s">
        <v>1849</v>
      </c>
      <c r="E1937" s="1" t="s">
        <v>693</v>
      </c>
      <c r="F1937" s="1" t="s">
        <v>2458</v>
      </c>
      <c r="G1937" s="3">
        <v>0</v>
      </c>
      <c r="J1937" s="20" t="s">
        <v>2860</v>
      </c>
      <c r="K1937" s="20" t="s">
        <v>10021</v>
      </c>
      <c r="L1937" s="3">
        <v>28</v>
      </c>
      <c r="M1937" s="3" t="s">
        <v>10189</v>
      </c>
      <c r="N1937" s="3" t="str">
        <f>HYPERLINK("http://ictvonline.org/taxonomyHistory.asp?taxnode_id=20161754","ICTVonline=20161754")</f>
        <v>ICTVonline=20161754</v>
      </c>
    </row>
    <row r="1938" spans="1:14" x14ac:dyDescent="0.15">
      <c r="A1938" s="3">
        <v>1937</v>
      </c>
      <c r="B1938" s="1" t="s">
        <v>926</v>
      </c>
      <c r="C1938" s="1" t="s">
        <v>1849</v>
      </c>
      <c r="E1938" s="1" t="s">
        <v>693</v>
      </c>
      <c r="F1938" s="1" t="s">
        <v>9110</v>
      </c>
      <c r="G1938" s="3">
        <v>0</v>
      </c>
      <c r="H1938" s="20" t="s">
        <v>9111</v>
      </c>
      <c r="I1938" s="20" t="s">
        <v>9112</v>
      </c>
      <c r="J1938" s="20" t="s">
        <v>2860</v>
      </c>
      <c r="K1938" s="20" t="s">
        <v>10013</v>
      </c>
      <c r="L1938" s="3">
        <v>31</v>
      </c>
      <c r="M1938" s="3" t="s">
        <v>9113</v>
      </c>
      <c r="N1938" s="3" t="str">
        <f>HYPERLINK("http://ictvonline.org/taxonomyHistory.asp?taxnode_id=20165230","ICTVonline=20165230")</f>
        <v>ICTVonline=20165230</v>
      </c>
    </row>
    <row r="1939" spans="1:14" x14ac:dyDescent="0.15">
      <c r="A1939" s="3">
        <v>1938</v>
      </c>
      <c r="B1939" s="1" t="s">
        <v>926</v>
      </c>
      <c r="C1939" s="1" t="s">
        <v>1849</v>
      </c>
      <c r="E1939" s="1" t="s">
        <v>693</v>
      </c>
      <c r="F1939" s="1" t="s">
        <v>2459</v>
      </c>
      <c r="G1939" s="3">
        <v>0</v>
      </c>
      <c r="J1939" s="20" t="s">
        <v>2860</v>
      </c>
      <c r="K1939" s="20" t="s">
        <v>10021</v>
      </c>
      <c r="L1939" s="3">
        <v>28</v>
      </c>
      <c r="M1939" s="3" t="s">
        <v>10189</v>
      </c>
      <c r="N1939" s="3" t="str">
        <f>HYPERLINK("http://ictvonline.org/taxonomyHistory.asp?taxnode_id=20161755","ICTVonline=20161755")</f>
        <v>ICTVonline=20161755</v>
      </c>
    </row>
    <row r="1940" spans="1:14" x14ac:dyDescent="0.15">
      <c r="A1940" s="3">
        <v>1939</v>
      </c>
      <c r="B1940" s="1" t="s">
        <v>926</v>
      </c>
      <c r="C1940" s="1" t="s">
        <v>1849</v>
      </c>
      <c r="E1940" s="1" t="s">
        <v>693</v>
      </c>
      <c r="F1940" s="1" t="s">
        <v>2460</v>
      </c>
      <c r="G1940" s="3">
        <v>0</v>
      </c>
      <c r="J1940" s="20" t="s">
        <v>2860</v>
      </c>
      <c r="K1940" s="20" t="s">
        <v>10021</v>
      </c>
      <c r="L1940" s="3">
        <v>28</v>
      </c>
      <c r="M1940" s="3" t="s">
        <v>10189</v>
      </c>
      <c r="N1940" s="3" t="str">
        <f>HYPERLINK("http://ictvonline.org/taxonomyHistory.asp?taxnode_id=20161756","ICTVonline=20161756")</f>
        <v>ICTVonline=20161756</v>
      </c>
    </row>
    <row r="1941" spans="1:14" x14ac:dyDescent="0.15">
      <c r="A1941" s="3">
        <v>1940</v>
      </c>
      <c r="B1941" s="1" t="s">
        <v>926</v>
      </c>
      <c r="C1941" s="1" t="s">
        <v>1849</v>
      </c>
      <c r="E1941" s="1" t="s">
        <v>693</v>
      </c>
      <c r="F1941" s="1" t="s">
        <v>2461</v>
      </c>
      <c r="G1941" s="3">
        <v>0</v>
      </c>
      <c r="J1941" s="20" t="s">
        <v>2860</v>
      </c>
      <c r="K1941" s="20" t="s">
        <v>10021</v>
      </c>
      <c r="L1941" s="3">
        <v>28</v>
      </c>
      <c r="M1941" s="3" t="s">
        <v>10189</v>
      </c>
      <c r="N1941" s="3" t="str">
        <f>HYPERLINK("http://ictvonline.org/taxonomyHistory.asp?taxnode_id=20161757","ICTVonline=20161757")</f>
        <v>ICTVonline=20161757</v>
      </c>
    </row>
    <row r="1942" spans="1:14" x14ac:dyDescent="0.15">
      <c r="A1942" s="3">
        <v>1941</v>
      </c>
      <c r="B1942" s="1" t="s">
        <v>926</v>
      </c>
      <c r="C1942" s="1" t="s">
        <v>19</v>
      </c>
      <c r="E1942" s="1" t="s">
        <v>1948</v>
      </c>
      <c r="F1942" s="1" t="s">
        <v>1949</v>
      </c>
      <c r="G1942" s="3">
        <v>0</v>
      </c>
      <c r="J1942" s="20" t="s">
        <v>3160</v>
      </c>
      <c r="K1942" s="20" t="s">
        <v>10016</v>
      </c>
      <c r="L1942" s="3">
        <v>26</v>
      </c>
      <c r="M1942" s="3" t="s">
        <v>10192</v>
      </c>
      <c r="N1942" s="3" t="str">
        <f>HYPERLINK("http://ictvonline.org/taxonomyHistory.asp?taxnode_id=20161761","ICTVonline=20161761")</f>
        <v>ICTVonline=20161761</v>
      </c>
    </row>
    <row r="1943" spans="1:14" x14ac:dyDescent="0.15">
      <c r="A1943" s="3">
        <v>1942</v>
      </c>
      <c r="B1943" s="1" t="s">
        <v>926</v>
      </c>
      <c r="C1943" s="1" t="s">
        <v>19</v>
      </c>
      <c r="E1943" s="1" t="s">
        <v>1948</v>
      </c>
      <c r="F1943" s="1" t="s">
        <v>1950</v>
      </c>
      <c r="G1943" s="3">
        <v>0</v>
      </c>
      <c r="J1943" s="20" t="s">
        <v>3160</v>
      </c>
      <c r="K1943" s="20" t="s">
        <v>10016</v>
      </c>
      <c r="L1943" s="3">
        <v>26</v>
      </c>
      <c r="M1943" s="3" t="s">
        <v>10192</v>
      </c>
      <c r="N1943" s="3" t="str">
        <f>HYPERLINK("http://ictvonline.org/taxonomyHistory.asp?taxnode_id=20161762","ICTVonline=20161762")</f>
        <v>ICTVonline=20161762</v>
      </c>
    </row>
    <row r="1944" spans="1:14" x14ac:dyDescent="0.15">
      <c r="A1944" s="3">
        <v>1943</v>
      </c>
      <c r="B1944" s="1" t="s">
        <v>926</v>
      </c>
      <c r="C1944" s="1" t="s">
        <v>19</v>
      </c>
      <c r="E1944" s="1" t="s">
        <v>1948</v>
      </c>
      <c r="F1944" s="1" t="s">
        <v>1927</v>
      </c>
      <c r="G1944" s="3">
        <v>0</v>
      </c>
      <c r="J1944" s="20" t="s">
        <v>3160</v>
      </c>
      <c r="K1944" s="20" t="s">
        <v>10016</v>
      </c>
      <c r="L1944" s="3">
        <v>26</v>
      </c>
      <c r="M1944" s="3" t="s">
        <v>10192</v>
      </c>
      <c r="N1944" s="3" t="str">
        <f>HYPERLINK("http://ictvonline.org/taxonomyHistory.asp?taxnode_id=20161763","ICTVonline=20161763")</f>
        <v>ICTVonline=20161763</v>
      </c>
    </row>
    <row r="1945" spans="1:14" x14ac:dyDescent="0.15">
      <c r="A1945" s="3">
        <v>1944</v>
      </c>
      <c r="B1945" s="1" t="s">
        <v>926</v>
      </c>
      <c r="C1945" s="1" t="s">
        <v>19</v>
      </c>
      <c r="E1945" s="1" t="s">
        <v>1948</v>
      </c>
      <c r="F1945" s="1" t="s">
        <v>1929</v>
      </c>
      <c r="G1945" s="3">
        <v>1</v>
      </c>
      <c r="J1945" s="20" t="s">
        <v>3160</v>
      </c>
      <c r="K1945" s="20" t="s">
        <v>10016</v>
      </c>
      <c r="L1945" s="3">
        <v>26</v>
      </c>
      <c r="M1945" s="3" t="s">
        <v>10192</v>
      </c>
      <c r="N1945" s="3" t="str">
        <f>HYPERLINK("http://ictvonline.org/taxonomyHistory.asp?taxnode_id=20161764","ICTVonline=20161764")</f>
        <v>ICTVonline=20161764</v>
      </c>
    </row>
    <row r="1946" spans="1:14" x14ac:dyDescent="0.15">
      <c r="A1946" s="3">
        <v>1945</v>
      </c>
      <c r="B1946" s="1" t="s">
        <v>926</v>
      </c>
      <c r="C1946" s="1" t="s">
        <v>19</v>
      </c>
      <c r="E1946" s="1" t="s">
        <v>1948</v>
      </c>
      <c r="F1946" s="1" t="s">
        <v>1622</v>
      </c>
      <c r="G1946" s="3">
        <v>0</v>
      </c>
      <c r="J1946" s="20" t="s">
        <v>3160</v>
      </c>
      <c r="K1946" s="20" t="s">
        <v>10016</v>
      </c>
      <c r="L1946" s="3">
        <v>26</v>
      </c>
      <c r="M1946" s="3" t="s">
        <v>10192</v>
      </c>
      <c r="N1946" s="3" t="str">
        <f>HYPERLINK("http://ictvonline.org/taxonomyHistory.asp?taxnode_id=20161765","ICTVonline=20161765")</f>
        <v>ICTVonline=20161765</v>
      </c>
    </row>
    <row r="1947" spans="1:14" x14ac:dyDescent="0.15">
      <c r="A1947" s="3">
        <v>1946</v>
      </c>
      <c r="B1947" s="1" t="s">
        <v>926</v>
      </c>
      <c r="C1947" s="1" t="s">
        <v>19</v>
      </c>
      <c r="E1947" s="1" t="s">
        <v>1948</v>
      </c>
      <c r="F1947" s="1" t="s">
        <v>1931</v>
      </c>
      <c r="G1947" s="3">
        <v>0</v>
      </c>
      <c r="J1947" s="20" t="s">
        <v>3160</v>
      </c>
      <c r="K1947" s="20" t="s">
        <v>10016</v>
      </c>
      <c r="L1947" s="3">
        <v>26</v>
      </c>
      <c r="M1947" s="3" t="s">
        <v>10192</v>
      </c>
      <c r="N1947" s="3" t="str">
        <f>HYPERLINK("http://ictvonline.org/taxonomyHistory.asp?taxnode_id=20161766","ICTVonline=20161766")</f>
        <v>ICTVonline=20161766</v>
      </c>
    </row>
    <row r="1948" spans="1:14" x14ac:dyDescent="0.15">
      <c r="A1948" s="3">
        <v>1947</v>
      </c>
      <c r="B1948" s="1" t="s">
        <v>926</v>
      </c>
      <c r="C1948" s="1" t="s">
        <v>19</v>
      </c>
      <c r="E1948" s="1" t="s">
        <v>1948</v>
      </c>
      <c r="F1948" s="1" t="s">
        <v>1933</v>
      </c>
      <c r="G1948" s="3">
        <v>0</v>
      </c>
      <c r="J1948" s="20" t="s">
        <v>3160</v>
      </c>
      <c r="K1948" s="20" t="s">
        <v>10016</v>
      </c>
      <c r="L1948" s="3">
        <v>26</v>
      </c>
      <c r="M1948" s="3" t="s">
        <v>10192</v>
      </c>
      <c r="N1948" s="3" t="str">
        <f>HYPERLINK("http://ictvonline.org/taxonomyHistory.asp?taxnode_id=20161767","ICTVonline=20161767")</f>
        <v>ICTVonline=20161767</v>
      </c>
    </row>
    <row r="1949" spans="1:14" x14ac:dyDescent="0.15">
      <c r="A1949" s="3">
        <v>1948</v>
      </c>
      <c r="B1949" s="1" t="s">
        <v>926</v>
      </c>
      <c r="C1949" s="1" t="s">
        <v>19</v>
      </c>
      <c r="E1949" s="1" t="s">
        <v>861</v>
      </c>
      <c r="F1949" s="1" t="s">
        <v>862</v>
      </c>
      <c r="G1949" s="3">
        <v>0</v>
      </c>
      <c r="J1949" s="20" t="s">
        <v>3160</v>
      </c>
      <c r="K1949" s="20" t="s">
        <v>10016</v>
      </c>
      <c r="L1949" s="3">
        <v>26</v>
      </c>
      <c r="M1949" s="3" t="s">
        <v>10192</v>
      </c>
      <c r="N1949" s="3" t="str">
        <f>HYPERLINK("http://ictvonline.org/taxonomyHistory.asp?taxnode_id=20161769","ICTVonline=20161769")</f>
        <v>ICTVonline=20161769</v>
      </c>
    </row>
    <row r="1950" spans="1:14" x14ac:dyDescent="0.15">
      <c r="A1950" s="3">
        <v>1949</v>
      </c>
      <c r="B1950" s="1" t="s">
        <v>926</v>
      </c>
      <c r="C1950" s="1" t="s">
        <v>19</v>
      </c>
      <c r="E1950" s="1" t="s">
        <v>861</v>
      </c>
      <c r="F1950" s="1" t="s">
        <v>863</v>
      </c>
      <c r="G1950" s="3">
        <v>0</v>
      </c>
      <c r="J1950" s="20" t="s">
        <v>3160</v>
      </c>
      <c r="K1950" s="20" t="s">
        <v>10016</v>
      </c>
      <c r="L1950" s="3">
        <v>26</v>
      </c>
      <c r="M1950" s="3" t="s">
        <v>10192</v>
      </c>
      <c r="N1950" s="3" t="str">
        <f>HYPERLINK("http://ictvonline.org/taxonomyHistory.asp?taxnode_id=20161770","ICTVonline=20161770")</f>
        <v>ICTVonline=20161770</v>
      </c>
    </row>
    <row r="1951" spans="1:14" x14ac:dyDescent="0.15">
      <c r="A1951" s="3">
        <v>1950</v>
      </c>
      <c r="B1951" s="1" t="s">
        <v>926</v>
      </c>
      <c r="C1951" s="1" t="s">
        <v>19</v>
      </c>
      <c r="E1951" s="1" t="s">
        <v>861</v>
      </c>
      <c r="F1951" s="1" t="s">
        <v>864</v>
      </c>
      <c r="G1951" s="3">
        <v>1</v>
      </c>
      <c r="J1951" s="20" t="s">
        <v>3160</v>
      </c>
      <c r="K1951" s="20" t="s">
        <v>10016</v>
      </c>
      <c r="L1951" s="3">
        <v>26</v>
      </c>
      <c r="M1951" s="3" t="s">
        <v>10192</v>
      </c>
      <c r="N1951" s="3" t="str">
        <f>HYPERLINK("http://ictvonline.org/taxonomyHistory.asp?taxnode_id=20161771","ICTVonline=20161771")</f>
        <v>ICTVonline=20161771</v>
      </c>
    </row>
    <row r="1952" spans="1:14" x14ac:dyDescent="0.15">
      <c r="A1952" s="3">
        <v>1951</v>
      </c>
      <c r="B1952" s="1" t="s">
        <v>926</v>
      </c>
      <c r="C1952" s="1" t="s">
        <v>20</v>
      </c>
      <c r="E1952" s="1" t="s">
        <v>21</v>
      </c>
      <c r="F1952" s="1" t="s">
        <v>22</v>
      </c>
      <c r="G1952" s="3">
        <v>1</v>
      </c>
      <c r="H1952" s="20" t="s">
        <v>4915</v>
      </c>
      <c r="I1952" s="20" t="s">
        <v>4916</v>
      </c>
      <c r="J1952" s="20" t="s">
        <v>3160</v>
      </c>
      <c r="K1952" s="20" t="s">
        <v>10072</v>
      </c>
      <c r="L1952" s="3">
        <v>26</v>
      </c>
      <c r="M1952" s="3" t="s">
        <v>10193</v>
      </c>
      <c r="N1952" s="3" t="str">
        <f>HYPERLINK("http://ictvonline.org/taxonomyHistory.asp?taxnode_id=20161775","ICTVonline=20161775")</f>
        <v>ICTVonline=20161775</v>
      </c>
    </row>
    <row r="1953" spans="1:14" x14ac:dyDescent="0.15">
      <c r="A1953" s="3">
        <v>1952</v>
      </c>
      <c r="B1953" s="1" t="s">
        <v>926</v>
      </c>
      <c r="C1953" s="1" t="s">
        <v>2462</v>
      </c>
      <c r="E1953" s="1" t="s">
        <v>2463</v>
      </c>
      <c r="F1953" s="1" t="s">
        <v>2464</v>
      </c>
      <c r="G1953" s="3">
        <v>0</v>
      </c>
      <c r="H1953" s="20" t="s">
        <v>4917</v>
      </c>
      <c r="I1953" s="20" t="s">
        <v>4918</v>
      </c>
      <c r="J1953" s="20" t="s">
        <v>3176</v>
      </c>
      <c r="K1953" s="20" t="s">
        <v>10013</v>
      </c>
      <c r="L1953" s="3">
        <v>28</v>
      </c>
      <c r="M1953" s="3" t="s">
        <v>10194</v>
      </c>
      <c r="N1953" s="3" t="str">
        <f>HYPERLINK("http://ictvonline.org/taxonomyHistory.asp?taxnode_id=20161779","ICTVonline=20161779")</f>
        <v>ICTVonline=20161779</v>
      </c>
    </row>
    <row r="1954" spans="1:14" x14ac:dyDescent="0.15">
      <c r="A1954" s="3">
        <v>1953</v>
      </c>
      <c r="B1954" s="1" t="s">
        <v>926</v>
      </c>
      <c r="C1954" s="1" t="s">
        <v>2462</v>
      </c>
      <c r="E1954" s="1" t="s">
        <v>2463</v>
      </c>
      <c r="F1954" s="1" t="s">
        <v>2465</v>
      </c>
      <c r="G1954" s="3">
        <v>0</v>
      </c>
      <c r="H1954" s="20" t="s">
        <v>3230</v>
      </c>
      <c r="I1954" s="20" t="s">
        <v>4919</v>
      </c>
      <c r="J1954" s="20" t="s">
        <v>3176</v>
      </c>
      <c r="K1954" s="20" t="s">
        <v>10013</v>
      </c>
      <c r="L1954" s="3">
        <v>28</v>
      </c>
      <c r="M1954" s="3" t="s">
        <v>10194</v>
      </c>
      <c r="N1954" s="3" t="str">
        <f>HYPERLINK("http://ictvonline.org/taxonomyHistory.asp?taxnode_id=20161780","ICTVonline=20161780")</f>
        <v>ICTVonline=20161780</v>
      </c>
    </row>
    <row r="1955" spans="1:14" x14ac:dyDescent="0.15">
      <c r="A1955" s="3">
        <v>1954</v>
      </c>
      <c r="B1955" s="1" t="s">
        <v>926</v>
      </c>
      <c r="C1955" s="1" t="s">
        <v>2462</v>
      </c>
      <c r="E1955" s="1" t="s">
        <v>2463</v>
      </c>
      <c r="F1955" s="1" t="s">
        <v>2466</v>
      </c>
      <c r="G1955" s="3">
        <v>1</v>
      </c>
      <c r="H1955" s="20" t="s">
        <v>3231</v>
      </c>
      <c r="I1955" s="20" t="s">
        <v>4920</v>
      </c>
      <c r="J1955" s="20" t="s">
        <v>3176</v>
      </c>
      <c r="K1955" s="20" t="s">
        <v>10013</v>
      </c>
      <c r="L1955" s="3">
        <v>28</v>
      </c>
      <c r="M1955" s="3" t="s">
        <v>10194</v>
      </c>
      <c r="N1955" s="3" t="str">
        <f>HYPERLINK("http://ictvonline.org/taxonomyHistory.asp?taxnode_id=20161781","ICTVonline=20161781")</f>
        <v>ICTVonline=20161781</v>
      </c>
    </row>
    <row r="1956" spans="1:14" x14ac:dyDescent="0.15">
      <c r="A1956" s="3">
        <v>1955</v>
      </c>
      <c r="B1956" s="1" t="s">
        <v>926</v>
      </c>
      <c r="C1956" s="1" t="s">
        <v>2462</v>
      </c>
      <c r="E1956" s="1" t="s">
        <v>2463</v>
      </c>
      <c r="F1956" s="1" t="s">
        <v>2467</v>
      </c>
      <c r="G1956" s="3">
        <v>0</v>
      </c>
      <c r="H1956" s="20" t="s">
        <v>3232</v>
      </c>
      <c r="I1956" s="20" t="s">
        <v>4921</v>
      </c>
      <c r="J1956" s="20" t="s">
        <v>3176</v>
      </c>
      <c r="K1956" s="20" t="s">
        <v>10013</v>
      </c>
      <c r="L1956" s="3">
        <v>28</v>
      </c>
      <c r="M1956" s="3" t="s">
        <v>10194</v>
      </c>
      <c r="N1956" s="3" t="str">
        <f>HYPERLINK("http://ictvonline.org/taxonomyHistory.asp?taxnode_id=20161782","ICTVonline=20161782")</f>
        <v>ICTVonline=20161782</v>
      </c>
    </row>
    <row r="1957" spans="1:14" x14ac:dyDescent="0.15">
      <c r="A1957" s="3">
        <v>1956</v>
      </c>
      <c r="B1957" s="1" t="s">
        <v>926</v>
      </c>
      <c r="C1957" s="1" t="s">
        <v>1087</v>
      </c>
      <c r="E1957" s="1" t="s">
        <v>1088</v>
      </c>
      <c r="F1957" s="1" t="s">
        <v>1089</v>
      </c>
      <c r="G1957" s="3">
        <v>1</v>
      </c>
      <c r="H1957" s="20" t="s">
        <v>4922</v>
      </c>
      <c r="J1957" s="20" t="s">
        <v>2860</v>
      </c>
      <c r="K1957" s="20" t="s">
        <v>10072</v>
      </c>
      <c r="L1957" s="3">
        <v>24</v>
      </c>
      <c r="M1957" s="3" t="s">
        <v>10195</v>
      </c>
      <c r="N1957" s="3" t="str">
        <f>HYPERLINK("http://ictvonline.org/taxonomyHistory.asp?taxnode_id=20161786","ICTVonline=20161786")</f>
        <v>ICTVonline=20161786</v>
      </c>
    </row>
    <row r="1958" spans="1:14" x14ac:dyDescent="0.15">
      <c r="A1958" s="3">
        <v>1957</v>
      </c>
      <c r="B1958" s="1" t="s">
        <v>926</v>
      </c>
      <c r="C1958" s="1" t="s">
        <v>314</v>
      </c>
      <c r="E1958" s="1" t="s">
        <v>315</v>
      </c>
      <c r="F1958" s="1" t="s">
        <v>1759</v>
      </c>
      <c r="G1958" s="3">
        <v>1</v>
      </c>
      <c r="J1958" s="20" t="s">
        <v>4923</v>
      </c>
      <c r="K1958" s="20" t="s">
        <v>10072</v>
      </c>
      <c r="L1958" s="3">
        <v>25</v>
      </c>
      <c r="M1958" s="3" t="s">
        <v>10196</v>
      </c>
      <c r="N1958" s="3" t="str">
        <f>HYPERLINK("http://ictvonline.org/taxonomyHistory.asp?taxnode_id=20161790","ICTVonline=20161790")</f>
        <v>ICTVonline=20161790</v>
      </c>
    </row>
    <row r="1959" spans="1:14" x14ac:dyDescent="0.15">
      <c r="A1959" s="3">
        <v>1958</v>
      </c>
      <c r="B1959" s="1" t="s">
        <v>926</v>
      </c>
      <c r="C1959" s="1" t="s">
        <v>314</v>
      </c>
      <c r="E1959" s="1" t="s">
        <v>315</v>
      </c>
      <c r="F1959" s="1" t="s">
        <v>1760</v>
      </c>
      <c r="G1959" s="3">
        <v>0</v>
      </c>
      <c r="J1959" s="20" t="s">
        <v>4923</v>
      </c>
      <c r="K1959" s="20" t="s">
        <v>10013</v>
      </c>
      <c r="L1959" s="3">
        <v>25</v>
      </c>
      <c r="M1959" s="3" t="s">
        <v>10196</v>
      </c>
      <c r="N1959" s="3" t="str">
        <f>HYPERLINK("http://ictvonline.org/taxonomyHistory.asp?taxnode_id=20161791","ICTVonline=20161791")</f>
        <v>ICTVonline=20161791</v>
      </c>
    </row>
    <row r="1960" spans="1:14" x14ac:dyDescent="0.15">
      <c r="A1960" s="3">
        <v>1959</v>
      </c>
      <c r="B1960" s="1" t="s">
        <v>926</v>
      </c>
      <c r="C1960" s="1" t="s">
        <v>314</v>
      </c>
      <c r="E1960" s="1" t="s">
        <v>315</v>
      </c>
      <c r="F1960" s="1" t="s">
        <v>1761</v>
      </c>
      <c r="G1960" s="3">
        <v>0</v>
      </c>
      <c r="J1960" s="20" t="s">
        <v>4923</v>
      </c>
      <c r="K1960" s="20" t="s">
        <v>10013</v>
      </c>
      <c r="L1960" s="3">
        <v>25</v>
      </c>
      <c r="M1960" s="3" t="s">
        <v>10196</v>
      </c>
      <c r="N1960" s="3" t="str">
        <f>HYPERLINK("http://ictvonline.org/taxonomyHistory.asp?taxnode_id=20161792","ICTVonline=20161792")</f>
        <v>ICTVonline=20161792</v>
      </c>
    </row>
    <row r="1961" spans="1:14" x14ac:dyDescent="0.15">
      <c r="A1961" s="3">
        <v>1960</v>
      </c>
      <c r="B1961" s="1" t="s">
        <v>926</v>
      </c>
      <c r="C1961" s="1" t="s">
        <v>314</v>
      </c>
      <c r="E1961" s="1" t="s">
        <v>315</v>
      </c>
      <c r="F1961" s="1" t="s">
        <v>319</v>
      </c>
      <c r="G1961" s="3">
        <v>0</v>
      </c>
      <c r="J1961" s="20" t="s">
        <v>4923</v>
      </c>
      <c r="K1961" s="20" t="s">
        <v>10013</v>
      </c>
      <c r="L1961" s="3">
        <v>25</v>
      </c>
      <c r="M1961" s="3" t="s">
        <v>10196</v>
      </c>
      <c r="N1961" s="3" t="str">
        <f>HYPERLINK("http://ictvonline.org/taxonomyHistory.asp?taxnode_id=20161793","ICTVonline=20161793")</f>
        <v>ICTVonline=20161793</v>
      </c>
    </row>
    <row r="1962" spans="1:14" x14ac:dyDescent="0.15">
      <c r="A1962" s="3">
        <v>1961</v>
      </c>
      <c r="B1962" s="1" t="s">
        <v>926</v>
      </c>
      <c r="C1962" s="1" t="s">
        <v>314</v>
      </c>
      <c r="E1962" s="1" t="s">
        <v>315</v>
      </c>
      <c r="F1962" s="1" t="s">
        <v>320</v>
      </c>
      <c r="G1962" s="3">
        <v>0</v>
      </c>
      <c r="J1962" s="20" t="s">
        <v>4923</v>
      </c>
      <c r="K1962" s="20" t="s">
        <v>10013</v>
      </c>
      <c r="L1962" s="3">
        <v>25</v>
      </c>
      <c r="M1962" s="3" t="s">
        <v>10196</v>
      </c>
      <c r="N1962" s="3" t="str">
        <f>HYPERLINK("http://ictvonline.org/taxonomyHistory.asp?taxnode_id=20161794","ICTVonline=20161794")</f>
        <v>ICTVonline=20161794</v>
      </c>
    </row>
    <row r="1963" spans="1:14" x14ac:dyDescent="0.15">
      <c r="A1963" s="3">
        <v>1962</v>
      </c>
      <c r="B1963" s="1" t="s">
        <v>926</v>
      </c>
      <c r="C1963" s="1" t="s">
        <v>314</v>
      </c>
      <c r="E1963" s="1" t="s">
        <v>315</v>
      </c>
      <c r="F1963" s="1" t="s">
        <v>321</v>
      </c>
      <c r="G1963" s="3">
        <v>0</v>
      </c>
      <c r="J1963" s="20" t="s">
        <v>4923</v>
      </c>
      <c r="K1963" s="20" t="s">
        <v>10013</v>
      </c>
      <c r="L1963" s="3">
        <v>25</v>
      </c>
      <c r="M1963" s="3" t="s">
        <v>10196</v>
      </c>
      <c r="N1963" s="3" t="str">
        <f>HYPERLINK("http://ictvonline.org/taxonomyHistory.asp?taxnode_id=20161795","ICTVonline=20161795")</f>
        <v>ICTVonline=20161795</v>
      </c>
    </row>
    <row r="1964" spans="1:14" x14ac:dyDescent="0.15">
      <c r="A1964" s="3">
        <v>1963</v>
      </c>
      <c r="B1964" s="1" t="s">
        <v>926</v>
      </c>
      <c r="C1964" s="1" t="s">
        <v>314</v>
      </c>
      <c r="E1964" s="1" t="s">
        <v>315</v>
      </c>
      <c r="F1964" s="1" t="s">
        <v>322</v>
      </c>
      <c r="G1964" s="3">
        <v>0</v>
      </c>
      <c r="J1964" s="20" t="s">
        <v>4923</v>
      </c>
      <c r="K1964" s="20" t="s">
        <v>10013</v>
      </c>
      <c r="L1964" s="3">
        <v>25</v>
      </c>
      <c r="M1964" s="3" t="s">
        <v>10196</v>
      </c>
      <c r="N1964" s="3" t="str">
        <f>HYPERLINK("http://ictvonline.org/taxonomyHistory.asp?taxnode_id=20161796","ICTVonline=20161796")</f>
        <v>ICTVonline=20161796</v>
      </c>
    </row>
    <row r="1965" spans="1:14" x14ac:dyDescent="0.15">
      <c r="A1965" s="3">
        <v>1964</v>
      </c>
      <c r="B1965" s="1" t="s">
        <v>926</v>
      </c>
      <c r="C1965" s="1" t="s">
        <v>314</v>
      </c>
      <c r="E1965" s="1" t="s">
        <v>315</v>
      </c>
      <c r="F1965" s="1" t="s">
        <v>323</v>
      </c>
      <c r="G1965" s="3">
        <v>0</v>
      </c>
      <c r="J1965" s="20" t="s">
        <v>4923</v>
      </c>
      <c r="K1965" s="20" t="s">
        <v>10013</v>
      </c>
      <c r="L1965" s="3">
        <v>25</v>
      </c>
      <c r="M1965" s="3" t="s">
        <v>10196</v>
      </c>
      <c r="N1965" s="3" t="str">
        <f>HYPERLINK("http://ictvonline.org/taxonomyHistory.asp?taxnode_id=20161797","ICTVonline=20161797")</f>
        <v>ICTVonline=20161797</v>
      </c>
    </row>
    <row r="1966" spans="1:14" x14ac:dyDescent="0.15">
      <c r="A1966" s="3">
        <v>1965</v>
      </c>
      <c r="B1966" s="1" t="s">
        <v>926</v>
      </c>
      <c r="C1966" s="1" t="s">
        <v>314</v>
      </c>
      <c r="E1966" s="1" t="s">
        <v>315</v>
      </c>
      <c r="F1966" s="1" t="s">
        <v>324</v>
      </c>
      <c r="G1966" s="3">
        <v>0</v>
      </c>
      <c r="J1966" s="20" t="s">
        <v>4923</v>
      </c>
      <c r="K1966" s="20" t="s">
        <v>10013</v>
      </c>
      <c r="L1966" s="3">
        <v>25</v>
      </c>
      <c r="M1966" s="3" t="s">
        <v>10196</v>
      </c>
      <c r="N1966" s="3" t="str">
        <f>HYPERLINK("http://ictvonline.org/taxonomyHistory.asp?taxnode_id=20161798","ICTVonline=20161798")</f>
        <v>ICTVonline=20161798</v>
      </c>
    </row>
    <row r="1967" spans="1:14" x14ac:dyDescent="0.15">
      <c r="A1967" s="3">
        <v>1966</v>
      </c>
      <c r="B1967" s="1" t="s">
        <v>926</v>
      </c>
      <c r="C1967" s="1" t="s">
        <v>314</v>
      </c>
      <c r="E1967" s="1" t="s">
        <v>315</v>
      </c>
      <c r="F1967" s="1" t="s">
        <v>325</v>
      </c>
      <c r="G1967" s="3">
        <v>0</v>
      </c>
      <c r="J1967" s="20" t="s">
        <v>4923</v>
      </c>
      <c r="K1967" s="20" t="s">
        <v>10013</v>
      </c>
      <c r="L1967" s="3">
        <v>25</v>
      </c>
      <c r="M1967" s="3" t="s">
        <v>10196</v>
      </c>
      <c r="N1967" s="3" t="str">
        <f>HYPERLINK("http://ictvonline.org/taxonomyHistory.asp?taxnode_id=20161799","ICTVonline=20161799")</f>
        <v>ICTVonline=20161799</v>
      </c>
    </row>
    <row r="1968" spans="1:14" x14ac:dyDescent="0.15">
      <c r="A1968" s="3">
        <v>1967</v>
      </c>
      <c r="B1968" s="1" t="s">
        <v>926</v>
      </c>
      <c r="C1968" s="1" t="s">
        <v>314</v>
      </c>
      <c r="E1968" s="1" t="s">
        <v>315</v>
      </c>
      <c r="F1968" s="1" t="s">
        <v>326</v>
      </c>
      <c r="G1968" s="3">
        <v>0</v>
      </c>
      <c r="J1968" s="20" t="s">
        <v>4923</v>
      </c>
      <c r="K1968" s="20" t="s">
        <v>10013</v>
      </c>
      <c r="L1968" s="3">
        <v>25</v>
      </c>
      <c r="M1968" s="3" t="s">
        <v>10196</v>
      </c>
      <c r="N1968" s="3" t="str">
        <f>HYPERLINK("http://ictvonline.org/taxonomyHistory.asp?taxnode_id=20161800","ICTVonline=20161800")</f>
        <v>ICTVonline=20161800</v>
      </c>
    </row>
    <row r="1969" spans="1:14" x14ac:dyDescent="0.15">
      <c r="A1969" s="3">
        <v>1968</v>
      </c>
      <c r="B1969" s="1" t="s">
        <v>926</v>
      </c>
      <c r="C1969" s="1" t="s">
        <v>314</v>
      </c>
      <c r="E1969" s="1" t="s">
        <v>315</v>
      </c>
      <c r="F1969" s="1" t="s">
        <v>327</v>
      </c>
      <c r="G1969" s="3">
        <v>0</v>
      </c>
      <c r="J1969" s="20" t="s">
        <v>4923</v>
      </c>
      <c r="K1969" s="20" t="s">
        <v>10013</v>
      </c>
      <c r="L1969" s="3">
        <v>25</v>
      </c>
      <c r="M1969" s="3" t="s">
        <v>10196</v>
      </c>
      <c r="N1969" s="3" t="str">
        <f>HYPERLINK("http://ictvonline.org/taxonomyHistory.asp?taxnode_id=20161801","ICTVonline=20161801")</f>
        <v>ICTVonline=20161801</v>
      </c>
    </row>
    <row r="1970" spans="1:14" x14ac:dyDescent="0.15">
      <c r="A1970" s="3">
        <v>1969</v>
      </c>
      <c r="B1970" s="1" t="s">
        <v>926</v>
      </c>
      <c r="C1970" s="1" t="s">
        <v>314</v>
      </c>
      <c r="E1970" s="1" t="s">
        <v>315</v>
      </c>
      <c r="F1970" s="1" t="s">
        <v>328</v>
      </c>
      <c r="G1970" s="3">
        <v>0</v>
      </c>
      <c r="J1970" s="20" t="s">
        <v>4923</v>
      </c>
      <c r="K1970" s="20" t="s">
        <v>10013</v>
      </c>
      <c r="L1970" s="3">
        <v>25</v>
      </c>
      <c r="M1970" s="3" t="s">
        <v>10196</v>
      </c>
      <c r="N1970" s="3" t="str">
        <f>HYPERLINK("http://ictvonline.org/taxonomyHistory.asp?taxnode_id=20161802","ICTVonline=20161802")</f>
        <v>ICTVonline=20161802</v>
      </c>
    </row>
    <row r="1971" spans="1:14" x14ac:dyDescent="0.15">
      <c r="A1971" s="3">
        <v>1970</v>
      </c>
      <c r="B1971" s="1" t="s">
        <v>926</v>
      </c>
      <c r="C1971" s="1" t="s">
        <v>314</v>
      </c>
      <c r="E1971" s="1" t="s">
        <v>315</v>
      </c>
      <c r="F1971" s="1" t="s">
        <v>329</v>
      </c>
      <c r="G1971" s="3">
        <v>0</v>
      </c>
      <c r="J1971" s="20" t="s">
        <v>4923</v>
      </c>
      <c r="K1971" s="20" t="s">
        <v>10013</v>
      </c>
      <c r="L1971" s="3">
        <v>25</v>
      </c>
      <c r="M1971" s="3" t="s">
        <v>10196</v>
      </c>
      <c r="N1971" s="3" t="str">
        <f>HYPERLINK("http://ictvonline.org/taxonomyHistory.asp?taxnode_id=20161803","ICTVonline=20161803")</f>
        <v>ICTVonline=20161803</v>
      </c>
    </row>
    <row r="1972" spans="1:14" x14ac:dyDescent="0.15">
      <c r="A1972" s="3">
        <v>1971</v>
      </c>
      <c r="B1972" s="1" t="s">
        <v>926</v>
      </c>
      <c r="C1972" s="1" t="s">
        <v>314</v>
      </c>
      <c r="E1972" s="1" t="s">
        <v>315</v>
      </c>
      <c r="F1972" s="1" t="s">
        <v>330</v>
      </c>
      <c r="G1972" s="3">
        <v>0</v>
      </c>
      <c r="J1972" s="20" t="s">
        <v>4923</v>
      </c>
      <c r="K1972" s="20" t="s">
        <v>10013</v>
      </c>
      <c r="L1972" s="3">
        <v>25</v>
      </c>
      <c r="M1972" s="3" t="s">
        <v>10196</v>
      </c>
      <c r="N1972" s="3" t="str">
        <f>HYPERLINK("http://ictvonline.org/taxonomyHistory.asp?taxnode_id=20161804","ICTVonline=20161804")</f>
        <v>ICTVonline=20161804</v>
      </c>
    </row>
    <row r="1973" spans="1:14" x14ac:dyDescent="0.15">
      <c r="A1973" s="3">
        <v>1972</v>
      </c>
      <c r="B1973" s="1" t="s">
        <v>926</v>
      </c>
      <c r="C1973" s="1" t="s">
        <v>314</v>
      </c>
      <c r="E1973" s="1" t="s">
        <v>315</v>
      </c>
      <c r="F1973" s="1" t="s">
        <v>331</v>
      </c>
      <c r="G1973" s="3">
        <v>0</v>
      </c>
      <c r="J1973" s="20" t="s">
        <v>4923</v>
      </c>
      <c r="K1973" s="20" t="s">
        <v>10013</v>
      </c>
      <c r="L1973" s="3">
        <v>25</v>
      </c>
      <c r="M1973" s="3" t="s">
        <v>10196</v>
      </c>
      <c r="N1973" s="3" t="str">
        <f>HYPERLINK("http://ictvonline.org/taxonomyHistory.asp?taxnode_id=20161805","ICTVonline=20161805")</f>
        <v>ICTVonline=20161805</v>
      </c>
    </row>
    <row r="1974" spans="1:14" x14ac:dyDescent="0.15">
      <c r="A1974" s="3">
        <v>1973</v>
      </c>
      <c r="B1974" s="1" t="s">
        <v>926</v>
      </c>
      <c r="C1974" s="1" t="s">
        <v>314</v>
      </c>
      <c r="E1974" s="1" t="s">
        <v>315</v>
      </c>
      <c r="F1974" s="1" t="s">
        <v>332</v>
      </c>
      <c r="G1974" s="3">
        <v>0</v>
      </c>
      <c r="J1974" s="20" t="s">
        <v>4923</v>
      </c>
      <c r="K1974" s="20" t="s">
        <v>10013</v>
      </c>
      <c r="L1974" s="3">
        <v>25</v>
      </c>
      <c r="M1974" s="3" t="s">
        <v>10196</v>
      </c>
      <c r="N1974" s="3" t="str">
        <f>HYPERLINK("http://ictvonline.org/taxonomyHistory.asp?taxnode_id=20161806","ICTVonline=20161806")</f>
        <v>ICTVonline=20161806</v>
      </c>
    </row>
    <row r="1975" spans="1:14" x14ac:dyDescent="0.15">
      <c r="A1975" s="3">
        <v>1974</v>
      </c>
      <c r="B1975" s="1" t="s">
        <v>926</v>
      </c>
      <c r="C1975" s="1" t="s">
        <v>314</v>
      </c>
      <c r="E1975" s="1" t="s">
        <v>315</v>
      </c>
      <c r="F1975" s="1" t="s">
        <v>333</v>
      </c>
      <c r="G1975" s="3">
        <v>0</v>
      </c>
      <c r="J1975" s="20" t="s">
        <v>4923</v>
      </c>
      <c r="K1975" s="20" t="s">
        <v>10013</v>
      </c>
      <c r="L1975" s="3">
        <v>25</v>
      </c>
      <c r="M1975" s="3" t="s">
        <v>10196</v>
      </c>
      <c r="N1975" s="3" t="str">
        <f>HYPERLINK("http://ictvonline.org/taxonomyHistory.asp?taxnode_id=20161807","ICTVonline=20161807")</f>
        <v>ICTVonline=20161807</v>
      </c>
    </row>
    <row r="1976" spans="1:14" x14ac:dyDescent="0.15">
      <c r="A1976" s="3">
        <v>1975</v>
      </c>
      <c r="B1976" s="1" t="s">
        <v>926</v>
      </c>
      <c r="C1976" s="1" t="s">
        <v>314</v>
      </c>
      <c r="E1976" s="1" t="s">
        <v>315</v>
      </c>
      <c r="F1976" s="1" t="s">
        <v>334</v>
      </c>
      <c r="G1976" s="3">
        <v>0</v>
      </c>
      <c r="J1976" s="20" t="s">
        <v>4923</v>
      </c>
      <c r="K1976" s="20" t="s">
        <v>10013</v>
      </c>
      <c r="L1976" s="3">
        <v>25</v>
      </c>
      <c r="M1976" s="3" t="s">
        <v>10196</v>
      </c>
      <c r="N1976" s="3" t="str">
        <f>HYPERLINK("http://ictvonline.org/taxonomyHistory.asp?taxnode_id=20161808","ICTVonline=20161808")</f>
        <v>ICTVonline=20161808</v>
      </c>
    </row>
    <row r="1977" spans="1:14" x14ac:dyDescent="0.15">
      <c r="A1977" s="3">
        <v>1976</v>
      </c>
      <c r="B1977" s="1" t="s">
        <v>926</v>
      </c>
      <c r="C1977" s="1" t="s">
        <v>314</v>
      </c>
      <c r="E1977" s="1" t="s">
        <v>315</v>
      </c>
      <c r="F1977" s="1" t="s">
        <v>335</v>
      </c>
      <c r="G1977" s="3">
        <v>0</v>
      </c>
      <c r="J1977" s="20" t="s">
        <v>4923</v>
      </c>
      <c r="K1977" s="20" t="s">
        <v>10013</v>
      </c>
      <c r="L1977" s="3">
        <v>25</v>
      </c>
      <c r="M1977" s="3" t="s">
        <v>10196</v>
      </c>
      <c r="N1977" s="3" t="str">
        <f>HYPERLINK("http://ictvonline.org/taxonomyHistory.asp?taxnode_id=20161809","ICTVonline=20161809")</f>
        <v>ICTVonline=20161809</v>
      </c>
    </row>
    <row r="1978" spans="1:14" x14ac:dyDescent="0.15">
      <c r="A1978" s="3">
        <v>1977</v>
      </c>
      <c r="B1978" s="1" t="s">
        <v>926</v>
      </c>
      <c r="C1978" s="1" t="s">
        <v>314</v>
      </c>
      <c r="E1978" s="1" t="s">
        <v>315</v>
      </c>
      <c r="F1978" s="1" t="s">
        <v>336</v>
      </c>
      <c r="G1978" s="3">
        <v>0</v>
      </c>
      <c r="J1978" s="20" t="s">
        <v>4923</v>
      </c>
      <c r="K1978" s="20" t="s">
        <v>10013</v>
      </c>
      <c r="L1978" s="3">
        <v>25</v>
      </c>
      <c r="M1978" s="3" t="s">
        <v>10196</v>
      </c>
      <c r="N1978" s="3" t="str">
        <f>HYPERLINK("http://ictvonline.org/taxonomyHistory.asp?taxnode_id=20161810","ICTVonline=20161810")</f>
        <v>ICTVonline=20161810</v>
      </c>
    </row>
    <row r="1979" spans="1:14" x14ac:dyDescent="0.15">
      <c r="A1979" s="3">
        <v>1978</v>
      </c>
      <c r="B1979" s="1" t="s">
        <v>926</v>
      </c>
      <c r="C1979" s="1" t="s">
        <v>314</v>
      </c>
      <c r="E1979" s="1" t="s">
        <v>315</v>
      </c>
      <c r="F1979" s="1" t="s">
        <v>337</v>
      </c>
      <c r="G1979" s="3">
        <v>0</v>
      </c>
      <c r="J1979" s="20" t="s">
        <v>4923</v>
      </c>
      <c r="K1979" s="20" t="s">
        <v>10013</v>
      </c>
      <c r="L1979" s="3">
        <v>25</v>
      </c>
      <c r="M1979" s="3" t="s">
        <v>10196</v>
      </c>
      <c r="N1979" s="3" t="str">
        <f>HYPERLINK("http://ictvonline.org/taxonomyHistory.asp?taxnode_id=20161811","ICTVonline=20161811")</f>
        <v>ICTVonline=20161811</v>
      </c>
    </row>
    <row r="1980" spans="1:14" x14ac:dyDescent="0.15">
      <c r="A1980" s="3">
        <v>1979</v>
      </c>
      <c r="B1980" s="1" t="s">
        <v>926</v>
      </c>
      <c r="C1980" s="1" t="s">
        <v>314</v>
      </c>
      <c r="E1980" s="1" t="s">
        <v>315</v>
      </c>
      <c r="F1980" s="1" t="s">
        <v>338</v>
      </c>
      <c r="G1980" s="3">
        <v>0</v>
      </c>
      <c r="J1980" s="20" t="s">
        <v>4923</v>
      </c>
      <c r="K1980" s="20" t="s">
        <v>10013</v>
      </c>
      <c r="L1980" s="3">
        <v>25</v>
      </c>
      <c r="M1980" s="3" t="s">
        <v>10196</v>
      </c>
      <c r="N1980" s="3" t="str">
        <f>HYPERLINK("http://ictvonline.org/taxonomyHistory.asp?taxnode_id=20161812","ICTVonline=20161812")</f>
        <v>ICTVonline=20161812</v>
      </c>
    </row>
    <row r="1981" spans="1:14" x14ac:dyDescent="0.15">
      <c r="A1981" s="3">
        <v>1980</v>
      </c>
      <c r="B1981" s="1" t="s">
        <v>926</v>
      </c>
      <c r="C1981" s="1" t="s">
        <v>314</v>
      </c>
      <c r="E1981" s="1" t="s">
        <v>315</v>
      </c>
      <c r="F1981" s="1" t="s">
        <v>339</v>
      </c>
      <c r="G1981" s="3">
        <v>0</v>
      </c>
      <c r="J1981" s="20" t="s">
        <v>4923</v>
      </c>
      <c r="K1981" s="20" t="s">
        <v>10013</v>
      </c>
      <c r="L1981" s="3">
        <v>25</v>
      </c>
      <c r="M1981" s="3" t="s">
        <v>10196</v>
      </c>
      <c r="N1981" s="3" t="str">
        <f>HYPERLINK("http://ictvonline.org/taxonomyHistory.asp?taxnode_id=20161813","ICTVonline=20161813")</f>
        <v>ICTVonline=20161813</v>
      </c>
    </row>
    <row r="1982" spans="1:14" x14ac:dyDescent="0.15">
      <c r="A1982" s="3">
        <v>1981</v>
      </c>
      <c r="B1982" s="1" t="s">
        <v>926</v>
      </c>
      <c r="C1982" s="1" t="s">
        <v>314</v>
      </c>
      <c r="E1982" s="1" t="s">
        <v>315</v>
      </c>
      <c r="F1982" s="1" t="s">
        <v>457</v>
      </c>
      <c r="G1982" s="3">
        <v>0</v>
      </c>
      <c r="J1982" s="20" t="s">
        <v>4923</v>
      </c>
      <c r="K1982" s="20" t="s">
        <v>10013</v>
      </c>
      <c r="L1982" s="3">
        <v>25</v>
      </c>
      <c r="M1982" s="3" t="s">
        <v>10196</v>
      </c>
      <c r="N1982" s="3" t="str">
        <f>HYPERLINK("http://ictvonline.org/taxonomyHistory.asp?taxnode_id=20161814","ICTVonline=20161814")</f>
        <v>ICTVonline=20161814</v>
      </c>
    </row>
    <row r="1983" spans="1:14" x14ac:dyDescent="0.15">
      <c r="A1983" s="3">
        <v>1982</v>
      </c>
      <c r="B1983" s="1" t="s">
        <v>926</v>
      </c>
      <c r="C1983" s="1" t="s">
        <v>314</v>
      </c>
      <c r="E1983" s="1" t="s">
        <v>315</v>
      </c>
      <c r="F1983" s="1" t="s">
        <v>458</v>
      </c>
      <c r="G1983" s="3">
        <v>0</v>
      </c>
      <c r="J1983" s="20" t="s">
        <v>4923</v>
      </c>
      <c r="K1983" s="20" t="s">
        <v>10013</v>
      </c>
      <c r="L1983" s="3">
        <v>25</v>
      </c>
      <c r="M1983" s="3" t="s">
        <v>10196</v>
      </c>
      <c r="N1983" s="3" t="str">
        <f>HYPERLINK("http://ictvonline.org/taxonomyHistory.asp?taxnode_id=20161815","ICTVonline=20161815")</f>
        <v>ICTVonline=20161815</v>
      </c>
    </row>
    <row r="1984" spans="1:14" x14ac:dyDescent="0.15">
      <c r="A1984" s="3">
        <v>1983</v>
      </c>
      <c r="B1984" s="1" t="s">
        <v>926</v>
      </c>
      <c r="C1984" s="1" t="s">
        <v>314</v>
      </c>
      <c r="E1984" s="1" t="s">
        <v>315</v>
      </c>
      <c r="F1984" s="1" t="s">
        <v>459</v>
      </c>
      <c r="G1984" s="3">
        <v>0</v>
      </c>
      <c r="J1984" s="20" t="s">
        <v>4923</v>
      </c>
      <c r="K1984" s="20" t="s">
        <v>10013</v>
      </c>
      <c r="L1984" s="3">
        <v>25</v>
      </c>
      <c r="M1984" s="3" t="s">
        <v>10196</v>
      </c>
      <c r="N1984" s="3" t="str">
        <f>HYPERLINK("http://ictvonline.org/taxonomyHistory.asp?taxnode_id=20161816","ICTVonline=20161816")</f>
        <v>ICTVonline=20161816</v>
      </c>
    </row>
    <row r="1985" spans="1:14" x14ac:dyDescent="0.15">
      <c r="A1985" s="3">
        <v>1984</v>
      </c>
      <c r="B1985" s="1" t="s">
        <v>926</v>
      </c>
      <c r="C1985" s="1" t="s">
        <v>314</v>
      </c>
      <c r="E1985" s="1" t="s">
        <v>315</v>
      </c>
      <c r="F1985" s="1" t="s">
        <v>460</v>
      </c>
      <c r="G1985" s="3">
        <v>0</v>
      </c>
      <c r="J1985" s="20" t="s">
        <v>4923</v>
      </c>
      <c r="K1985" s="20" t="s">
        <v>10013</v>
      </c>
      <c r="L1985" s="3">
        <v>25</v>
      </c>
      <c r="M1985" s="3" t="s">
        <v>10196</v>
      </c>
      <c r="N1985" s="3" t="str">
        <f>HYPERLINK("http://ictvonline.org/taxonomyHistory.asp?taxnode_id=20161817","ICTVonline=20161817")</f>
        <v>ICTVonline=20161817</v>
      </c>
    </row>
    <row r="1986" spans="1:14" x14ac:dyDescent="0.15">
      <c r="A1986" s="3">
        <v>1985</v>
      </c>
      <c r="B1986" s="1" t="s">
        <v>926</v>
      </c>
      <c r="C1986" s="1" t="s">
        <v>314</v>
      </c>
      <c r="E1986" s="1" t="s">
        <v>315</v>
      </c>
      <c r="F1986" s="1" t="s">
        <v>1517</v>
      </c>
      <c r="G1986" s="3">
        <v>0</v>
      </c>
      <c r="J1986" s="20" t="s">
        <v>4923</v>
      </c>
      <c r="K1986" s="20" t="s">
        <v>10013</v>
      </c>
      <c r="L1986" s="3">
        <v>25</v>
      </c>
      <c r="M1986" s="3" t="s">
        <v>10196</v>
      </c>
      <c r="N1986" s="3" t="str">
        <f>HYPERLINK("http://ictvonline.org/taxonomyHistory.asp?taxnode_id=20161818","ICTVonline=20161818")</f>
        <v>ICTVonline=20161818</v>
      </c>
    </row>
    <row r="1987" spans="1:14" x14ac:dyDescent="0.15">
      <c r="A1987" s="3">
        <v>1986</v>
      </c>
      <c r="B1987" s="1" t="s">
        <v>926</v>
      </c>
      <c r="C1987" s="1" t="s">
        <v>314</v>
      </c>
      <c r="E1987" s="1" t="s">
        <v>316</v>
      </c>
      <c r="F1987" s="1" t="s">
        <v>1943</v>
      </c>
      <c r="G1987" s="3">
        <v>1</v>
      </c>
      <c r="J1987" s="20" t="s">
        <v>4923</v>
      </c>
      <c r="K1987" s="20" t="s">
        <v>10072</v>
      </c>
      <c r="L1987" s="3">
        <v>25</v>
      </c>
      <c r="M1987" s="3" t="s">
        <v>10196</v>
      </c>
      <c r="N1987" s="3" t="str">
        <f>HYPERLINK("http://ictvonline.org/taxonomyHistory.asp?taxnode_id=20161820","ICTVonline=20161820")</f>
        <v>ICTVonline=20161820</v>
      </c>
    </row>
    <row r="1988" spans="1:14" x14ac:dyDescent="0.15">
      <c r="A1988" s="3">
        <v>1987</v>
      </c>
      <c r="B1988" s="1" t="s">
        <v>926</v>
      </c>
      <c r="C1988" s="1" t="s">
        <v>314</v>
      </c>
      <c r="E1988" s="1" t="s">
        <v>316</v>
      </c>
      <c r="F1988" s="1" t="s">
        <v>1921</v>
      </c>
      <c r="G1988" s="3">
        <v>0</v>
      </c>
      <c r="J1988" s="20" t="s">
        <v>4923</v>
      </c>
      <c r="K1988" s="20" t="s">
        <v>10013</v>
      </c>
      <c r="L1988" s="3">
        <v>25</v>
      </c>
      <c r="M1988" s="3" t="s">
        <v>10196</v>
      </c>
      <c r="N1988" s="3" t="str">
        <f>HYPERLINK("http://ictvonline.org/taxonomyHistory.asp?taxnode_id=20161821","ICTVonline=20161821")</f>
        <v>ICTVonline=20161821</v>
      </c>
    </row>
    <row r="1989" spans="1:14" x14ac:dyDescent="0.15">
      <c r="A1989" s="3">
        <v>1988</v>
      </c>
      <c r="B1989" s="1" t="s">
        <v>926</v>
      </c>
      <c r="C1989" s="1" t="s">
        <v>314</v>
      </c>
      <c r="E1989" s="1" t="s">
        <v>316</v>
      </c>
      <c r="F1989" s="1" t="s">
        <v>1922</v>
      </c>
      <c r="G1989" s="3">
        <v>0</v>
      </c>
      <c r="J1989" s="20" t="s">
        <v>4923</v>
      </c>
      <c r="K1989" s="20" t="s">
        <v>10013</v>
      </c>
      <c r="L1989" s="3">
        <v>25</v>
      </c>
      <c r="M1989" s="3" t="s">
        <v>10196</v>
      </c>
      <c r="N1989" s="3" t="str">
        <f>HYPERLINK("http://ictvonline.org/taxonomyHistory.asp?taxnode_id=20161822","ICTVonline=20161822")</f>
        <v>ICTVonline=20161822</v>
      </c>
    </row>
    <row r="1990" spans="1:14" x14ac:dyDescent="0.15">
      <c r="A1990" s="3">
        <v>1989</v>
      </c>
      <c r="B1990" s="1" t="s">
        <v>926</v>
      </c>
      <c r="C1990" s="1" t="s">
        <v>314</v>
      </c>
      <c r="E1990" s="1" t="s">
        <v>316</v>
      </c>
      <c r="F1990" s="1" t="s">
        <v>1923</v>
      </c>
      <c r="G1990" s="3">
        <v>0</v>
      </c>
      <c r="J1990" s="20" t="s">
        <v>4923</v>
      </c>
      <c r="K1990" s="20" t="s">
        <v>10013</v>
      </c>
      <c r="L1990" s="3">
        <v>25</v>
      </c>
      <c r="M1990" s="3" t="s">
        <v>10196</v>
      </c>
      <c r="N1990" s="3" t="str">
        <f>HYPERLINK("http://ictvonline.org/taxonomyHistory.asp?taxnode_id=20161823","ICTVonline=20161823")</f>
        <v>ICTVonline=20161823</v>
      </c>
    </row>
    <row r="1991" spans="1:14" x14ac:dyDescent="0.15">
      <c r="A1991" s="3">
        <v>1990</v>
      </c>
      <c r="B1991" s="1" t="s">
        <v>926</v>
      </c>
      <c r="C1991" s="1" t="s">
        <v>314</v>
      </c>
      <c r="E1991" s="1" t="s">
        <v>316</v>
      </c>
      <c r="F1991" s="1" t="s">
        <v>1946</v>
      </c>
      <c r="G1991" s="3">
        <v>0</v>
      </c>
      <c r="J1991" s="20" t="s">
        <v>4923</v>
      </c>
      <c r="K1991" s="20" t="s">
        <v>10013</v>
      </c>
      <c r="L1991" s="3">
        <v>25</v>
      </c>
      <c r="M1991" s="3" t="s">
        <v>10196</v>
      </c>
      <c r="N1991" s="3" t="str">
        <f>HYPERLINK("http://ictvonline.org/taxonomyHistory.asp?taxnode_id=20161824","ICTVonline=20161824")</f>
        <v>ICTVonline=20161824</v>
      </c>
    </row>
    <row r="1992" spans="1:14" x14ac:dyDescent="0.15">
      <c r="A1992" s="3">
        <v>1991</v>
      </c>
      <c r="B1992" s="1" t="s">
        <v>926</v>
      </c>
      <c r="C1992" s="1" t="s">
        <v>314</v>
      </c>
      <c r="E1992" s="1" t="s">
        <v>316</v>
      </c>
      <c r="F1992" s="1" t="s">
        <v>1947</v>
      </c>
      <c r="G1992" s="3">
        <v>0</v>
      </c>
      <c r="J1992" s="20" t="s">
        <v>4923</v>
      </c>
      <c r="K1992" s="20" t="s">
        <v>10013</v>
      </c>
      <c r="L1992" s="3">
        <v>25</v>
      </c>
      <c r="M1992" s="3" t="s">
        <v>10196</v>
      </c>
      <c r="N1992" s="3" t="str">
        <f>HYPERLINK("http://ictvonline.org/taxonomyHistory.asp?taxnode_id=20161825","ICTVonline=20161825")</f>
        <v>ICTVonline=20161825</v>
      </c>
    </row>
    <row r="1993" spans="1:14" x14ac:dyDescent="0.15">
      <c r="A1993" s="3">
        <v>1992</v>
      </c>
      <c r="B1993" s="1" t="s">
        <v>926</v>
      </c>
      <c r="C1993" s="1" t="s">
        <v>314</v>
      </c>
      <c r="E1993" s="1" t="s">
        <v>316</v>
      </c>
      <c r="F1993" s="1" t="s">
        <v>1614</v>
      </c>
      <c r="G1993" s="3">
        <v>0</v>
      </c>
      <c r="J1993" s="20" t="s">
        <v>4923</v>
      </c>
      <c r="K1993" s="20" t="s">
        <v>10013</v>
      </c>
      <c r="L1993" s="3">
        <v>25</v>
      </c>
      <c r="M1993" s="3" t="s">
        <v>10196</v>
      </c>
      <c r="N1993" s="3" t="str">
        <f>HYPERLINK("http://ictvonline.org/taxonomyHistory.asp?taxnode_id=20161826","ICTVonline=20161826")</f>
        <v>ICTVonline=20161826</v>
      </c>
    </row>
    <row r="1994" spans="1:14" x14ac:dyDescent="0.15">
      <c r="A1994" s="3">
        <v>1993</v>
      </c>
      <c r="B1994" s="1" t="s">
        <v>926</v>
      </c>
      <c r="C1994" s="1" t="s">
        <v>314</v>
      </c>
      <c r="E1994" s="1" t="s">
        <v>316</v>
      </c>
      <c r="F1994" s="1" t="s">
        <v>1615</v>
      </c>
      <c r="G1994" s="3">
        <v>0</v>
      </c>
      <c r="J1994" s="20" t="s">
        <v>4923</v>
      </c>
      <c r="K1994" s="20" t="s">
        <v>10013</v>
      </c>
      <c r="L1994" s="3">
        <v>25</v>
      </c>
      <c r="M1994" s="3" t="s">
        <v>10196</v>
      </c>
      <c r="N1994" s="3" t="str">
        <f>HYPERLINK("http://ictvonline.org/taxonomyHistory.asp?taxnode_id=20161827","ICTVonline=20161827")</f>
        <v>ICTVonline=20161827</v>
      </c>
    </row>
    <row r="1995" spans="1:14" x14ac:dyDescent="0.15">
      <c r="A1995" s="3">
        <v>1994</v>
      </c>
      <c r="B1995" s="1" t="s">
        <v>926</v>
      </c>
      <c r="C1995" s="1" t="s">
        <v>314</v>
      </c>
      <c r="E1995" s="1" t="s">
        <v>316</v>
      </c>
      <c r="F1995" s="1" t="s">
        <v>1616</v>
      </c>
      <c r="G1995" s="3">
        <v>0</v>
      </c>
      <c r="J1995" s="20" t="s">
        <v>4923</v>
      </c>
      <c r="K1995" s="20" t="s">
        <v>10013</v>
      </c>
      <c r="L1995" s="3">
        <v>25</v>
      </c>
      <c r="M1995" s="3" t="s">
        <v>10196</v>
      </c>
      <c r="N1995" s="3" t="str">
        <f>HYPERLINK("http://ictvonline.org/taxonomyHistory.asp?taxnode_id=20161828","ICTVonline=20161828")</f>
        <v>ICTVonline=20161828</v>
      </c>
    </row>
    <row r="1996" spans="1:14" x14ac:dyDescent="0.15">
      <c r="A1996" s="3">
        <v>1995</v>
      </c>
      <c r="B1996" s="1" t="s">
        <v>926</v>
      </c>
      <c r="C1996" s="1" t="s">
        <v>314</v>
      </c>
      <c r="E1996" s="1" t="s">
        <v>316</v>
      </c>
      <c r="F1996" s="1" t="s">
        <v>23</v>
      </c>
      <c r="G1996" s="3">
        <v>0</v>
      </c>
      <c r="J1996" s="20" t="s">
        <v>4923</v>
      </c>
      <c r="K1996" s="20" t="s">
        <v>10013</v>
      </c>
      <c r="L1996" s="3">
        <v>26</v>
      </c>
      <c r="M1996" s="3" t="s">
        <v>10197</v>
      </c>
      <c r="N1996" s="3" t="str">
        <f>HYPERLINK("http://ictvonline.org/taxonomyHistory.asp?taxnode_id=20161829","ICTVonline=20161829")</f>
        <v>ICTVonline=20161829</v>
      </c>
    </row>
    <row r="1997" spans="1:14" x14ac:dyDescent="0.15">
      <c r="A1997" s="3">
        <v>1996</v>
      </c>
      <c r="B1997" s="1" t="s">
        <v>926</v>
      </c>
      <c r="C1997" s="1" t="s">
        <v>314</v>
      </c>
      <c r="E1997" s="1" t="s">
        <v>316</v>
      </c>
      <c r="F1997" s="1" t="s">
        <v>24</v>
      </c>
      <c r="G1997" s="3">
        <v>0</v>
      </c>
      <c r="J1997" s="20" t="s">
        <v>4923</v>
      </c>
      <c r="K1997" s="20" t="s">
        <v>10013</v>
      </c>
      <c r="L1997" s="3">
        <v>26</v>
      </c>
      <c r="M1997" s="3" t="s">
        <v>10197</v>
      </c>
      <c r="N1997" s="3" t="str">
        <f>HYPERLINK("http://ictvonline.org/taxonomyHistory.asp?taxnode_id=20161830","ICTVonline=20161830")</f>
        <v>ICTVonline=20161830</v>
      </c>
    </row>
    <row r="1998" spans="1:14" x14ac:dyDescent="0.15">
      <c r="A1998" s="3">
        <v>1997</v>
      </c>
      <c r="B1998" s="1" t="s">
        <v>926</v>
      </c>
      <c r="C1998" s="1" t="s">
        <v>314</v>
      </c>
      <c r="E1998" s="1" t="s">
        <v>316</v>
      </c>
      <c r="F1998" s="1" t="s">
        <v>25</v>
      </c>
      <c r="G1998" s="3">
        <v>0</v>
      </c>
      <c r="J1998" s="20" t="s">
        <v>4923</v>
      </c>
      <c r="K1998" s="20" t="s">
        <v>10013</v>
      </c>
      <c r="L1998" s="3">
        <v>26</v>
      </c>
      <c r="M1998" s="3" t="s">
        <v>10197</v>
      </c>
      <c r="N1998" s="3" t="str">
        <f>HYPERLINK("http://ictvonline.org/taxonomyHistory.asp?taxnode_id=20161831","ICTVonline=20161831")</f>
        <v>ICTVonline=20161831</v>
      </c>
    </row>
    <row r="1999" spans="1:14" x14ac:dyDescent="0.15">
      <c r="A1999" s="3">
        <v>1998</v>
      </c>
      <c r="B1999" s="1" t="s">
        <v>926</v>
      </c>
      <c r="C1999" s="1" t="s">
        <v>314</v>
      </c>
      <c r="E1999" s="1" t="s">
        <v>318</v>
      </c>
      <c r="F1999" s="1" t="s">
        <v>1621</v>
      </c>
      <c r="G1999" s="3">
        <v>1</v>
      </c>
      <c r="J1999" s="20" t="s">
        <v>4923</v>
      </c>
      <c r="K1999" s="20" t="s">
        <v>10072</v>
      </c>
      <c r="L1999" s="3">
        <v>25</v>
      </c>
      <c r="M1999" s="3" t="s">
        <v>10196</v>
      </c>
      <c r="N1999" s="3" t="str">
        <f>HYPERLINK("http://ictvonline.org/taxonomyHistory.asp?taxnode_id=20161833","ICTVonline=20161833")</f>
        <v>ICTVonline=20161833</v>
      </c>
    </row>
    <row r="2000" spans="1:14" x14ac:dyDescent="0.15">
      <c r="A2000" s="3">
        <v>1999</v>
      </c>
      <c r="B2000" s="1" t="s">
        <v>926</v>
      </c>
      <c r="C2000" s="1" t="s">
        <v>314</v>
      </c>
      <c r="E2000" s="1" t="s">
        <v>1754</v>
      </c>
      <c r="F2000" s="1" t="s">
        <v>500</v>
      </c>
      <c r="G2000" s="3">
        <v>1</v>
      </c>
      <c r="J2000" s="20" t="s">
        <v>4923</v>
      </c>
      <c r="K2000" s="20" t="s">
        <v>10072</v>
      </c>
      <c r="L2000" s="3">
        <v>25</v>
      </c>
      <c r="M2000" s="3" t="s">
        <v>10196</v>
      </c>
      <c r="N2000" s="3" t="str">
        <f>HYPERLINK("http://ictvonline.org/taxonomyHistory.asp?taxnode_id=20161835","ICTVonline=20161835")</f>
        <v>ICTVonline=20161835</v>
      </c>
    </row>
    <row r="2001" spans="1:14" x14ac:dyDescent="0.15">
      <c r="A2001" s="3">
        <v>2000</v>
      </c>
      <c r="B2001" s="1" t="s">
        <v>926</v>
      </c>
      <c r="C2001" s="1" t="s">
        <v>314</v>
      </c>
      <c r="E2001" s="1" t="s">
        <v>1756</v>
      </c>
      <c r="F2001" s="1" t="s">
        <v>1624</v>
      </c>
      <c r="G2001" s="3">
        <v>1</v>
      </c>
      <c r="J2001" s="20" t="s">
        <v>4923</v>
      </c>
      <c r="K2001" s="20" t="s">
        <v>10072</v>
      </c>
      <c r="L2001" s="3">
        <v>25</v>
      </c>
      <c r="M2001" s="3" t="s">
        <v>10196</v>
      </c>
      <c r="N2001" s="3" t="str">
        <f>HYPERLINK("http://ictvonline.org/taxonomyHistory.asp?taxnode_id=20161837","ICTVonline=20161837")</f>
        <v>ICTVonline=20161837</v>
      </c>
    </row>
    <row r="2002" spans="1:14" x14ac:dyDescent="0.15">
      <c r="A2002" s="3">
        <v>2001</v>
      </c>
      <c r="B2002" s="1" t="s">
        <v>926</v>
      </c>
      <c r="C2002" s="1" t="s">
        <v>314</v>
      </c>
      <c r="E2002" s="1" t="s">
        <v>1756</v>
      </c>
      <c r="F2002" s="1" t="s">
        <v>26</v>
      </c>
      <c r="G2002" s="3">
        <v>0</v>
      </c>
      <c r="J2002" s="20" t="s">
        <v>4923</v>
      </c>
      <c r="K2002" s="20" t="s">
        <v>10013</v>
      </c>
      <c r="L2002" s="3">
        <v>26</v>
      </c>
      <c r="M2002" s="3" t="s">
        <v>10198</v>
      </c>
      <c r="N2002" s="3" t="str">
        <f>HYPERLINK("http://ictvonline.org/taxonomyHistory.asp?taxnode_id=20161838","ICTVonline=20161838")</f>
        <v>ICTVonline=20161838</v>
      </c>
    </row>
    <row r="2003" spans="1:14" x14ac:dyDescent="0.15">
      <c r="A2003" s="3">
        <v>2002</v>
      </c>
      <c r="B2003" s="1" t="s">
        <v>926</v>
      </c>
      <c r="C2003" s="1" t="s">
        <v>314</v>
      </c>
      <c r="E2003" s="1" t="s">
        <v>317</v>
      </c>
      <c r="F2003" s="1" t="s">
        <v>1951</v>
      </c>
      <c r="G2003" s="3">
        <v>1</v>
      </c>
      <c r="J2003" s="20" t="s">
        <v>4923</v>
      </c>
      <c r="K2003" s="20" t="s">
        <v>10072</v>
      </c>
      <c r="L2003" s="3">
        <v>25</v>
      </c>
      <c r="M2003" s="3" t="s">
        <v>10196</v>
      </c>
      <c r="N2003" s="3" t="str">
        <f>HYPERLINK("http://ictvonline.org/taxonomyHistory.asp?taxnode_id=20161840","ICTVonline=20161840")</f>
        <v>ICTVonline=20161840</v>
      </c>
    </row>
    <row r="2004" spans="1:14" x14ac:dyDescent="0.15">
      <c r="A2004" s="3">
        <v>2003</v>
      </c>
      <c r="B2004" s="1" t="s">
        <v>926</v>
      </c>
      <c r="C2004" s="1" t="s">
        <v>314</v>
      </c>
      <c r="E2004" s="1" t="s">
        <v>317</v>
      </c>
      <c r="F2004" s="1" t="s">
        <v>1952</v>
      </c>
      <c r="G2004" s="3">
        <v>0</v>
      </c>
      <c r="J2004" s="20" t="s">
        <v>4923</v>
      </c>
      <c r="K2004" s="20" t="s">
        <v>10013</v>
      </c>
      <c r="L2004" s="3">
        <v>25</v>
      </c>
      <c r="M2004" s="3" t="s">
        <v>10196</v>
      </c>
      <c r="N2004" s="3" t="str">
        <f>HYPERLINK("http://ictvonline.org/taxonomyHistory.asp?taxnode_id=20161841","ICTVonline=20161841")</f>
        <v>ICTVonline=20161841</v>
      </c>
    </row>
    <row r="2005" spans="1:14" x14ac:dyDescent="0.15">
      <c r="A2005" s="3">
        <v>2004</v>
      </c>
      <c r="B2005" s="1" t="s">
        <v>926</v>
      </c>
      <c r="C2005" s="1" t="s">
        <v>314</v>
      </c>
      <c r="E2005" s="1" t="s">
        <v>317</v>
      </c>
      <c r="F2005" s="1" t="s">
        <v>33</v>
      </c>
      <c r="G2005" s="3">
        <v>0</v>
      </c>
      <c r="J2005" s="20" t="s">
        <v>4923</v>
      </c>
      <c r="K2005" s="20" t="s">
        <v>10013</v>
      </c>
      <c r="L2005" s="3">
        <v>26</v>
      </c>
      <c r="M2005" s="3" t="s">
        <v>10199</v>
      </c>
      <c r="N2005" s="3" t="str">
        <f>HYPERLINK("http://ictvonline.org/taxonomyHistory.asp?taxnode_id=20161842","ICTVonline=20161842")</f>
        <v>ICTVonline=20161842</v>
      </c>
    </row>
    <row r="2006" spans="1:14" x14ac:dyDescent="0.15">
      <c r="A2006" s="3">
        <v>2005</v>
      </c>
      <c r="B2006" s="1" t="s">
        <v>926</v>
      </c>
      <c r="C2006" s="1" t="s">
        <v>314</v>
      </c>
      <c r="E2006" s="1" t="s">
        <v>317</v>
      </c>
      <c r="F2006" s="1" t="s">
        <v>34</v>
      </c>
      <c r="G2006" s="3">
        <v>0</v>
      </c>
      <c r="J2006" s="20" t="s">
        <v>4923</v>
      </c>
      <c r="K2006" s="20" t="s">
        <v>10013</v>
      </c>
      <c r="L2006" s="3">
        <v>26</v>
      </c>
      <c r="M2006" s="3" t="s">
        <v>10199</v>
      </c>
      <c r="N2006" s="3" t="str">
        <f>HYPERLINK("http://ictvonline.org/taxonomyHistory.asp?taxnode_id=20161843","ICTVonline=20161843")</f>
        <v>ICTVonline=20161843</v>
      </c>
    </row>
    <row r="2007" spans="1:14" x14ac:dyDescent="0.15">
      <c r="A2007" s="3">
        <v>2006</v>
      </c>
      <c r="B2007" s="1" t="s">
        <v>926</v>
      </c>
      <c r="C2007" s="1" t="s">
        <v>314</v>
      </c>
      <c r="E2007" s="1" t="s">
        <v>317</v>
      </c>
      <c r="F2007" s="1" t="s">
        <v>35</v>
      </c>
      <c r="G2007" s="3">
        <v>0</v>
      </c>
      <c r="J2007" s="20" t="s">
        <v>4923</v>
      </c>
      <c r="K2007" s="20" t="s">
        <v>10013</v>
      </c>
      <c r="L2007" s="3">
        <v>26</v>
      </c>
      <c r="M2007" s="3" t="s">
        <v>10199</v>
      </c>
      <c r="N2007" s="3" t="str">
        <f>HYPERLINK("http://ictvonline.org/taxonomyHistory.asp?taxnode_id=20161844","ICTVonline=20161844")</f>
        <v>ICTVonline=20161844</v>
      </c>
    </row>
    <row r="2008" spans="1:14" x14ac:dyDescent="0.15">
      <c r="A2008" s="3">
        <v>2007</v>
      </c>
      <c r="B2008" s="1" t="s">
        <v>926</v>
      </c>
      <c r="C2008" s="1" t="s">
        <v>314</v>
      </c>
      <c r="E2008" s="1" t="s">
        <v>317</v>
      </c>
      <c r="F2008" s="1" t="s">
        <v>36</v>
      </c>
      <c r="G2008" s="3">
        <v>0</v>
      </c>
      <c r="J2008" s="20" t="s">
        <v>4923</v>
      </c>
      <c r="K2008" s="20" t="s">
        <v>10013</v>
      </c>
      <c r="L2008" s="3">
        <v>26</v>
      </c>
      <c r="M2008" s="3" t="s">
        <v>10199</v>
      </c>
      <c r="N2008" s="3" t="str">
        <f>HYPERLINK("http://ictvonline.org/taxonomyHistory.asp?taxnode_id=20161845","ICTVonline=20161845")</f>
        <v>ICTVonline=20161845</v>
      </c>
    </row>
    <row r="2009" spans="1:14" x14ac:dyDescent="0.15">
      <c r="A2009" s="3">
        <v>2008</v>
      </c>
      <c r="B2009" s="1" t="s">
        <v>926</v>
      </c>
      <c r="C2009" s="1" t="s">
        <v>314</v>
      </c>
      <c r="E2009" s="1" t="s">
        <v>317</v>
      </c>
      <c r="F2009" s="1" t="s">
        <v>37</v>
      </c>
      <c r="G2009" s="3">
        <v>0</v>
      </c>
      <c r="J2009" s="20" t="s">
        <v>4923</v>
      </c>
      <c r="K2009" s="20" t="s">
        <v>10013</v>
      </c>
      <c r="L2009" s="3">
        <v>26</v>
      </c>
      <c r="M2009" s="3" t="s">
        <v>10199</v>
      </c>
      <c r="N2009" s="3" t="str">
        <f>HYPERLINK("http://ictvonline.org/taxonomyHistory.asp?taxnode_id=20161846","ICTVonline=20161846")</f>
        <v>ICTVonline=20161846</v>
      </c>
    </row>
    <row r="2010" spans="1:14" x14ac:dyDescent="0.15">
      <c r="A2010" s="3">
        <v>2009</v>
      </c>
      <c r="B2010" s="1" t="s">
        <v>926</v>
      </c>
      <c r="C2010" s="1" t="s">
        <v>314</v>
      </c>
      <c r="E2010" s="1" t="s">
        <v>317</v>
      </c>
      <c r="F2010" s="1" t="s">
        <v>38</v>
      </c>
      <c r="G2010" s="3">
        <v>0</v>
      </c>
      <c r="J2010" s="20" t="s">
        <v>4923</v>
      </c>
      <c r="K2010" s="20" t="s">
        <v>10013</v>
      </c>
      <c r="L2010" s="3">
        <v>26</v>
      </c>
      <c r="M2010" s="3" t="s">
        <v>10199</v>
      </c>
      <c r="N2010" s="3" t="str">
        <f>HYPERLINK("http://ictvonline.org/taxonomyHistory.asp?taxnode_id=20161847","ICTVonline=20161847")</f>
        <v>ICTVonline=20161847</v>
      </c>
    </row>
    <row r="2011" spans="1:14" x14ac:dyDescent="0.15">
      <c r="A2011" s="3">
        <v>2010</v>
      </c>
      <c r="B2011" s="1" t="s">
        <v>926</v>
      </c>
      <c r="C2011" s="1" t="s">
        <v>314</v>
      </c>
      <c r="E2011" s="1" t="s">
        <v>317</v>
      </c>
      <c r="F2011" s="1" t="s">
        <v>39</v>
      </c>
      <c r="G2011" s="3">
        <v>0</v>
      </c>
      <c r="J2011" s="20" t="s">
        <v>4923</v>
      </c>
      <c r="K2011" s="20" t="s">
        <v>10013</v>
      </c>
      <c r="L2011" s="3">
        <v>26</v>
      </c>
      <c r="M2011" s="3" t="s">
        <v>10199</v>
      </c>
      <c r="N2011" s="3" t="str">
        <f>HYPERLINK("http://ictvonline.org/taxonomyHistory.asp?taxnode_id=20161848","ICTVonline=20161848")</f>
        <v>ICTVonline=20161848</v>
      </c>
    </row>
    <row r="2012" spans="1:14" x14ac:dyDescent="0.15">
      <c r="A2012" s="3">
        <v>2011</v>
      </c>
      <c r="B2012" s="1" t="s">
        <v>926</v>
      </c>
      <c r="C2012" s="1" t="s">
        <v>314</v>
      </c>
      <c r="E2012" s="1" t="s">
        <v>317</v>
      </c>
      <c r="F2012" s="1" t="s">
        <v>27</v>
      </c>
      <c r="G2012" s="3">
        <v>0</v>
      </c>
      <c r="J2012" s="20" t="s">
        <v>4923</v>
      </c>
      <c r="K2012" s="20" t="s">
        <v>10013</v>
      </c>
      <c r="L2012" s="3">
        <v>26</v>
      </c>
      <c r="M2012" s="3" t="s">
        <v>10199</v>
      </c>
      <c r="N2012" s="3" t="str">
        <f>HYPERLINK("http://ictvonline.org/taxonomyHistory.asp?taxnode_id=20161849","ICTVonline=20161849")</f>
        <v>ICTVonline=20161849</v>
      </c>
    </row>
    <row r="2013" spans="1:14" x14ac:dyDescent="0.15">
      <c r="A2013" s="3">
        <v>2012</v>
      </c>
      <c r="B2013" s="1" t="s">
        <v>926</v>
      </c>
      <c r="C2013" s="1" t="s">
        <v>314</v>
      </c>
      <c r="E2013" s="1" t="s">
        <v>317</v>
      </c>
      <c r="F2013" s="1" t="s">
        <v>28</v>
      </c>
      <c r="G2013" s="3">
        <v>0</v>
      </c>
      <c r="J2013" s="20" t="s">
        <v>4923</v>
      </c>
      <c r="K2013" s="20" t="s">
        <v>10013</v>
      </c>
      <c r="L2013" s="3">
        <v>26</v>
      </c>
      <c r="M2013" s="3" t="s">
        <v>10199</v>
      </c>
      <c r="N2013" s="3" t="str">
        <f>HYPERLINK("http://ictvonline.org/taxonomyHistory.asp?taxnode_id=20161850","ICTVonline=20161850")</f>
        <v>ICTVonline=20161850</v>
      </c>
    </row>
    <row r="2014" spans="1:14" x14ac:dyDescent="0.15">
      <c r="A2014" s="3">
        <v>2013</v>
      </c>
      <c r="B2014" s="1" t="s">
        <v>926</v>
      </c>
      <c r="C2014" s="1" t="s">
        <v>314</v>
      </c>
      <c r="E2014" s="1" t="s">
        <v>317</v>
      </c>
      <c r="F2014" s="1" t="s">
        <v>29</v>
      </c>
      <c r="G2014" s="3">
        <v>0</v>
      </c>
      <c r="J2014" s="20" t="s">
        <v>4923</v>
      </c>
      <c r="K2014" s="20" t="s">
        <v>10013</v>
      </c>
      <c r="L2014" s="3">
        <v>26</v>
      </c>
      <c r="M2014" s="3" t="s">
        <v>10199</v>
      </c>
      <c r="N2014" s="3" t="str">
        <f>HYPERLINK("http://ictvonline.org/taxonomyHistory.asp?taxnode_id=20161851","ICTVonline=20161851")</f>
        <v>ICTVonline=20161851</v>
      </c>
    </row>
    <row r="2015" spans="1:14" x14ac:dyDescent="0.15">
      <c r="A2015" s="3">
        <v>2014</v>
      </c>
      <c r="B2015" s="1" t="s">
        <v>926</v>
      </c>
      <c r="C2015" s="1" t="s">
        <v>314</v>
      </c>
      <c r="E2015" s="1" t="s">
        <v>317</v>
      </c>
      <c r="F2015" s="1" t="s">
        <v>30</v>
      </c>
      <c r="G2015" s="3">
        <v>0</v>
      </c>
      <c r="J2015" s="20" t="s">
        <v>4923</v>
      </c>
      <c r="K2015" s="20" t="s">
        <v>10013</v>
      </c>
      <c r="L2015" s="3">
        <v>26</v>
      </c>
      <c r="M2015" s="3" t="s">
        <v>10199</v>
      </c>
      <c r="N2015" s="3" t="str">
        <f>HYPERLINK("http://ictvonline.org/taxonomyHistory.asp?taxnode_id=20161852","ICTVonline=20161852")</f>
        <v>ICTVonline=20161852</v>
      </c>
    </row>
    <row r="2016" spans="1:14" x14ac:dyDescent="0.15">
      <c r="A2016" s="3">
        <v>2015</v>
      </c>
      <c r="B2016" s="1" t="s">
        <v>926</v>
      </c>
      <c r="C2016" s="1" t="s">
        <v>314</v>
      </c>
      <c r="E2016" s="1" t="s">
        <v>317</v>
      </c>
      <c r="F2016" s="1" t="s">
        <v>31</v>
      </c>
      <c r="G2016" s="3">
        <v>0</v>
      </c>
      <c r="J2016" s="20" t="s">
        <v>4923</v>
      </c>
      <c r="K2016" s="20" t="s">
        <v>10013</v>
      </c>
      <c r="L2016" s="3">
        <v>26</v>
      </c>
      <c r="M2016" s="3" t="s">
        <v>10199</v>
      </c>
      <c r="N2016" s="3" t="str">
        <f>HYPERLINK("http://ictvonline.org/taxonomyHistory.asp?taxnode_id=20161853","ICTVonline=20161853")</f>
        <v>ICTVonline=20161853</v>
      </c>
    </row>
    <row r="2017" spans="1:14" x14ac:dyDescent="0.15">
      <c r="A2017" s="3">
        <v>2016</v>
      </c>
      <c r="B2017" s="1" t="s">
        <v>926</v>
      </c>
      <c r="C2017" s="1" t="s">
        <v>314</v>
      </c>
      <c r="E2017" s="1" t="s">
        <v>317</v>
      </c>
      <c r="F2017" s="1" t="s">
        <v>32</v>
      </c>
      <c r="G2017" s="3">
        <v>0</v>
      </c>
      <c r="J2017" s="20" t="s">
        <v>4923</v>
      </c>
      <c r="K2017" s="20" t="s">
        <v>10013</v>
      </c>
      <c r="L2017" s="3">
        <v>26</v>
      </c>
      <c r="M2017" s="3" t="s">
        <v>10199</v>
      </c>
      <c r="N2017" s="3" t="str">
        <f>HYPERLINK("http://ictvonline.org/taxonomyHistory.asp?taxnode_id=20161854","ICTVonline=20161854")</f>
        <v>ICTVonline=20161854</v>
      </c>
    </row>
    <row r="2018" spans="1:14" x14ac:dyDescent="0.15">
      <c r="A2018" s="3">
        <v>2017</v>
      </c>
      <c r="B2018" s="1" t="s">
        <v>926</v>
      </c>
      <c r="C2018" s="1" t="s">
        <v>314</v>
      </c>
      <c r="E2018" s="1" t="s">
        <v>2033</v>
      </c>
      <c r="F2018" s="1" t="s">
        <v>2034</v>
      </c>
      <c r="G2018" s="3">
        <v>1</v>
      </c>
      <c r="J2018" s="20" t="s">
        <v>4923</v>
      </c>
      <c r="K2018" s="20" t="s">
        <v>10016</v>
      </c>
      <c r="L2018" s="3">
        <v>30</v>
      </c>
      <c r="M2018" s="3" t="s">
        <v>10200</v>
      </c>
      <c r="N2018" s="3" t="str">
        <f>HYPERLINK("http://ictvonline.org/taxonomyHistory.asp?taxnode_id=20161856","ICTVonline=20161856")</f>
        <v>ICTVonline=20161856</v>
      </c>
    </row>
    <row r="2019" spans="1:14" x14ac:dyDescent="0.15">
      <c r="A2019" s="3">
        <v>2018</v>
      </c>
      <c r="B2019" s="1" t="s">
        <v>926</v>
      </c>
      <c r="C2019" s="1" t="s">
        <v>314</v>
      </c>
      <c r="E2019" s="1" t="s">
        <v>1758</v>
      </c>
      <c r="F2019" s="1" t="s">
        <v>40</v>
      </c>
      <c r="G2019" s="3">
        <v>1</v>
      </c>
      <c r="J2019" s="20" t="s">
        <v>4923</v>
      </c>
      <c r="K2019" s="20" t="s">
        <v>10021</v>
      </c>
      <c r="L2019" s="3">
        <v>26</v>
      </c>
      <c r="M2019" s="3" t="s">
        <v>10201</v>
      </c>
      <c r="N2019" s="3" t="str">
        <f>HYPERLINK("http://ictvonline.org/taxonomyHistory.asp?taxnode_id=20161858","ICTVonline=20161858")</f>
        <v>ICTVonline=20161858</v>
      </c>
    </row>
    <row r="2020" spans="1:14" x14ac:dyDescent="0.15">
      <c r="A2020" s="3">
        <v>2019</v>
      </c>
      <c r="B2020" s="1" t="s">
        <v>926</v>
      </c>
      <c r="C2020" s="1" t="s">
        <v>314</v>
      </c>
      <c r="E2020" s="1" t="s">
        <v>1758</v>
      </c>
      <c r="F2020" s="1" t="s">
        <v>41</v>
      </c>
      <c r="G2020" s="3">
        <v>0</v>
      </c>
      <c r="J2020" s="20" t="s">
        <v>4923</v>
      </c>
      <c r="K2020" s="20" t="s">
        <v>10021</v>
      </c>
      <c r="L2020" s="3">
        <v>26</v>
      </c>
      <c r="M2020" s="3" t="s">
        <v>10201</v>
      </c>
      <c r="N2020" s="3" t="str">
        <f>HYPERLINK("http://ictvonline.org/taxonomyHistory.asp?taxnode_id=20161859","ICTVonline=20161859")</f>
        <v>ICTVonline=20161859</v>
      </c>
    </row>
    <row r="2021" spans="1:14" x14ac:dyDescent="0.15">
      <c r="A2021" s="3">
        <v>2020</v>
      </c>
      <c r="B2021" s="1" t="s">
        <v>926</v>
      </c>
      <c r="C2021" s="1" t="s">
        <v>314</v>
      </c>
      <c r="E2021" s="1" t="s">
        <v>42</v>
      </c>
      <c r="F2021" s="1" t="s">
        <v>4924</v>
      </c>
      <c r="G2021" s="3">
        <v>1</v>
      </c>
      <c r="J2021" s="20" t="s">
        <v>4923</v>
      </c>
      <c r="K2021" s="20" t="s">
        <v>10021</v>
      </c>
      <c r="L2021" s="3">
        <v>30</v>
      </c>
      <c r="M2021" s="3" t="s">
        <v>10202</v>
      </c>
      <c r="N2021" s="3" t="str">
        <f>HYPERLINK("http://ictvonline.org/taxonomyHistory.asp?taxnode_id=20161861","ICTVonline=20161861")</f>
        <v>ICTVonline=20161861</v>
      </c>
    </row>
    <row r="2022" spans="1:14" x14ac:dyDescent="0.15">
      <c r="A2022" s="3">
        <v>2021</v>
      </c>
      <c r="B2022" s="1" t="s">
        <v>926</v>
      </c>
      <c r="C2022" s="1" t="s">
        <v>314</v>
      </c>
      <c r="E2022" s="1" t="s">
        <v>42</v>
      </c>
      <c r="F2022" s="1" t="s">
        <v>4925</v>
      </c>
      <c r="G2022" s="3">
        <v>0</v>
      </c>
      <c r="H2022" s="20" t="s">
        <v>6822</v>
      </c>
      <c r="I2022" s="20" t="s">
        <v>6439</v>
      </c>
      <c r="J2022" s="20" t="s">
        <v>4923</v>
      </c>
      <c r="K2022" s="20" t="s">
        <v>10013</v>
      </c>
      <c r="L2022" s="3">
        <v>30</v>
      </c>
      <c r="M2022" s="3" t="s">
        <v>10202</v>
      </c>
      <c r="N2022" s="3" t="str">
        <f>HYPERLINK("http://ictvonline.org/taxonomyHistory.asp?taxnode_id=20161862","ICTVonline=20161862")</f>
        <v>ICTVonline=20161862</v>
      </c>
    </row>
    <row r="2023" spans="1:14" x14ac:dyDescent="0.15">
      <c r="A2023" s="3">
        <v>2022</v>
      </c>
      <c r="B2023" s="1" t="s">
        <v>926</v>
      </c>
      <c r="C2023" s="1" t="s">
        <v>314</v>
      </c>
      <c r="E2023" s="1" t="s">
        <v>43</v>
      </c>
      <c r="F2023" s="1" t="s">
        <v>44</v>
      </c>
      <c r="G2023" s="3">
        <v>1</v>
      </c>
      <c r="J2023" s="20" t="s">
        <v>4923</v>
      </c>
      <c r="K2023" s="20" t="s">
        <v>10072</v>
      </c>
      <c r="L2023" s="3">
        <v>26</v>
      </c>
      <c r="M2023" s="3" t="s">
        <v>10203</v>
      </c>
      <c r="N2023" s="3" t="str">
        <f>HYPERLINK("http://ictvonline.org/taxonomyHistory.asp?taxnode_id=20161864","ICTVonline=20161864")</f>
        <v>ICTVonline=20161864</v>
      </c>
    </row>
    <row r="2024" spans="1:14" x14ac:dyDescent="0.15">
      <c r="A2024" s="3">
        <v>2023</v>
      </c>
      <c r="B2024" s="1" t="s">
        <v>926</v>
      </c>
      <c r="C2024" s="1" t="s">
        <v>314</v>
      </c>
      <c r="E2024" s="1" t="s">
        <v>1757</v>
      </c>
      <c r="F2024" s="1" t="s">
        <v>1625</v>
      </c>
      <c r="G2024" s="3">
        <v>1</v>
      </c>
      <c r="J2024" s="20" t="s">
        <v>4923</v>
      </c>
      <c r="K2024" s="20" t="s">
        <v>10072</v>
      </c>
      <c r="L2024" s="3">
        <v>25</v>
      </c>
      <c r="M2024" s="3" t="s">
        <v>10196</v>
      </c>
      <c r="N2024" s="3" t="str">
        <f>HYPERLINK("http://ictvonline.org/taxonomyHistory.asp?taxnode_id=20161866","ICTVonline=20161866")</f>
        <v>ICTVonline=20161866</v>
      </c>
    </row>
    <row r="2025" spans="1:14" x14ac:dyDescent="0.15">
      <c r="A2025" s="3">
        <v>2024</v>
      </c>
      <c r="B2025" s="1" t="s">
        <v>926</v>
      </c>
      <c r="C2025" s="1" t="s">
        <v>314</v>
      </c>
      <c r="E2025" s="1" t="s">
        <v>1755</v>
      </c>
      <c r="F2025" s="1" t="s">
        <v>501</v>
      </c>
      <c r="G2025" s="3">
        <v>1</v>
      </c>
      <c r="J2025" s="20" t="s">
        <v>4923</v>
      </c>
      <c r="K2025" s="20" t="s">
        <v>10072</v>
      </c>
      <c r="L2025" s="3">
        <v>25</v>
      </c>
      <c r="M2025" s="3" t="s">
        <v>10196</v>
      </c>
      <c r="N2025" s="3" t="str">
        <f>HYPERLINK("http://ictvonline.org/taxonomyHistory.asp?taxnode_id=20161868","ICTVonline=20161868")</f>
        <v>ICTVonline=20161868</v>
      </c>
    </row>
    <row r="2026" spans="1:14" x14ac:dyDescent="0.15">
      <c r="A2026" s="3">
        <v>2025</v>
      </c>
      <c r="B2026" s="1" t="s">
        <v>926</v>
      </c>
      <c r="C2026" s="1" t="s">
        <v>1090</v>
      </c>
      <c r="E2026" s="1" t="s">
        <v>2750</v>
      </c>
      <c r="F2026" s="1" t="s">
        <v>2751</v>
      </c>
      <c r="G2026" s="3">
        <v>0</v>
      </c>
      <c r="J2026" s="20" t="s">
        <v>4926</v>
      </c>
      <c r="K2026" s="20" t="s">
        <v>10014</v>
      </c>
      <c r="L2026" s="3">
        <v>29</v>
      </c>
      <c r="M2026" s="3" t="s">
        <v>10204</v>
      </c>
      <c r="N2026" s="3" t="str">
        <f>HYPERLINK("http://ictvonline.org/taxonomyHistory.asp?taxnode_id=20161872","ICTVonline=20161872")</f>
        <v>ICTVonline=20161872</v>
      </c>
    </row>
    <row r="2027" spans="1:14" x14ac:dyDescent="0.15">
      <c r="A2027" s="3">
        <v>2026</v>
      </c>
      <c r="B2027" s="1" t="s">
        <v>926</v>
      </c>
      <c r="C2027" s="1" t="s">
        <v>1090</v>
      </c>
      <c r="E2027" s="1" t="s">
        <v>2750</v>
      </c>
      <c r="F2027" s="1" t="s">
        <v>6440</v>
      </c>
      <c r="G2027" s="3">
        <v>0</v>
      </c>
      <c r="J2027" s="20" t="s">
        <v>4926</v>
      </c>
      <c r="K2027" s="20" t="s">
        <v>10014</v>
      </c>
      <c r="L2027" s="3">
        <v>29</v>
      </c>
      <c r="M2027" s="3" t="s">
        <v>10204</v>
      </c>
      <c r="N2027" s="3" t="str">
        <f>HYPERLINK("http://ictvonline.org/taxonomyHistory.asp?taxnode_id=20161873","ICTVonline=20161873")</f>
        <v>ICTVonline=20161873</v>
      </c>
    </row>
    <row r="2028" spans="1:14" x14ac:dyDescent="0.15">
      <c r="A2028" s="3">
        <v>2027</v>
      </c>
      <c r="B2028" s="1" t="s">
        <v>926</v>
      </c>
      <c r="C2028" s="1" t="s">
        <v>1090</v>
      </c>
      <c r="E2028" s="1" t="s">
        <v>2750</v>
      </c>
      <c r="F2028" s="1" t="s">
        <v>2752</v>
      </c>
      <c r="G2028" s="3">
        <v>0</v>
      </c>
      <c r="J2028" s="20" t="s">
        <v>4926</v>
      </c>
      <c r="K2028" s="20" t="s">
        <v>10014</v>
      </c>
      <c r="L2028" s="3">
        <v>29</v>
      </c>
      <c r="M2028" s="3" t="s">
        <v>10204</v>
      </c>
      <c r="N2028" s="3" t="str">
        <f>HYPERLINK("http://ictvonline.org/taxonomyHistory.asp?taxnode_id=20161874","ICTVonline=20161874")</f>
        <v>ICTVonline=20161874</v>
      </c>
    </row>
    <row r="2029" spans="1:14" x14ac:dyDescent="0.15">
      <c r="A2029" s="3">
        <v>2028</v>
      </c>
      <c r="B2029" s="1" t="s">
        <v>926</v>
      </c>
      <c r="C2029" s="1" t="s">
        <v>1090</v>
      </c>
      <c r="E2029" s="1" t="s">
        <v>2750</v>
      </c>
      <c r="F2029" s="1" t="s">
        <v>2753</v>
      </c>
      <c r="G2029" s="3">
        <v>0</v>
      </c>
      <c r="J2029" s="20" t="s">
        <v>4926</v>
      </c>
      <c r="K2029" s="20" t="s">
        <v>10014</v>
      </c>
      <c r="L2029" s="3">
        <v>29</v>
      </c>
      <c r="M2029" s="3" t="s">
        <v>10204</v>
      </c>
      <c r="N2029" s="3" t="str">
        <f>HYPERLINK("http://ictvonline.org/taxonomyHistory.asp?taxnode_id=20161875","ICTVonline=20161875")</f>
        <v>ICTVonline=20161875</v>
      </c>
    </row>
    <row r="2030" spans="1:14" x14ac:dyDescent="0.15">
      <c r="A2030" s="3">
        <v>2029</v>
      </c>
      <c r="B2030" s="1" t="s">
        <v>926</v>
      </c>
      <c r="C2030" s="1" t="s">
        <v>1090</v>
      </c>
      <c r="E2030" s="1" t="s">
        <v>2750</v>
      </c>
      <c r="F2030" s="1" t="s">
        <v>2754</v>
      </c>
      <c r="G2030" s="3">
        <v>0</v>
      </c>
      <c r="J2030" s="20" t="s">
        <v>4926</v>
      </c>
      <c r="K2030" s="20" t="s">
        <v>10014</v>
      </c>
      <c r="L2030" s="3">
        <v>29</v>
      </c>
      <c r="M2030" s="3" t="s">
        <v>10204</v>
      </c>
      <c r="N2030" s="3" t="str">
        <f>HYPERLINK("http://ictvonline.org/taxonomyHistory.asp?taxnode_id=20161876","ICTVonline=20161876")</f>
        <v>ICTVonline=20161876</v>
      </c>
    </row>
    <row r="2031" spans="1:14" x14ac:dyDescent="0.15">
      <c r="A2031" s="3">
        <v>2030</v>
      </c>
      <c r="B2031" s="1" t="s">
        <v>926</v>
      </c>
      <c r="C2031" s="1" t="s">
        <v>1090</v>
      </c>
      <c r="E2031" s="1" t="s">
        <v>2750</v>
      </c>
      <c r="F2031" s="1" t="s">
        <v>2755</v>
      </c>
      <c r="G2031" s="3">
        <v>0</v>
      </c>
      <c r="J2031" s="20" t="s">
        <v>4926</v>
      </c>
      <c r="K2031" s="20" t="s">
        <v>10014</v>
      </c>
      <c r="L2031" s="3">
        <v>29</v>
      </c>
      <c r="M2031" s="3" t="s">
        <v>10204</v>
      </c>
      <c r="N2031" s="3" t="str">
        <f>HYPERLINK("http://ictvonline.org/taxonomyHistory.asp?taxnode_id=20161877","ICTVonline=20161877")</f>
        <v>ICTVonline=20161877</v>
      </c>
    </row>
    <row r="2032" spans="1:14" x14ac:dyDescent="0.15">
      <c r="A2032" s="3">
        <v>2031</v>
      </c>
      <c r="B2032" s="1" t="s">
        <v>926</v>
      </c>
      <c r="C2032" s="1" t="s">
        <v>1090</v>
      </c>
      <c r="E2032" s="1" t="s">
        <v>2750</v>
      </c>
      <c r="F2032" s="1" t="s">
        <v>4927</v>
      </c>
      <c r="G2032" s="3">
        <v>0</v>
      </c>
      <c r="H2032" s="20" t="s">
        <v>6823</v>
      </c>
      <c r="I2032" s="20" t="s">
        <v>4928</v>
      </c>
      <c r="J2032" s="20" t="s">
        <v>4926</v>
      </c>
      <c r="K2032" s="20" t="s">
        <v>10013</v>
      </c>
      <c r="L2032" s="3">
        <v>30</v>
      </c>
      <c r="M2032" s="3" t="s">
        <v>10205</v>
      </c>
      <c r="N2032" s="3" t="str">
        <f>HYPERLINK("http://ictvonline.org/taxonomyHistory.asp?taxnode_id=20161878","ICTVonline=20161878")</f>
        <v>ICTVonline=20161878</v>
      </c>
    </row>
    <row r="2033" spans="1:14" x14ac:dyDescent="0.15">
      <c r="A2033" s="3">
        <v>2032</v>
      </c>
      <c r="B2033" s="1" t="s">
        <v>926</v>
      </c>
      <c r="C2033" s="1" t="s">
        <v>1090</v>
      </c>
      <c r="E2033" s="1" t="s">
        <v>2750</v>
      </c>
      <c r="F2033" s="1" t="s">
        <v>2756</v>
      </c>
      <c r="G2033" s="3">
        <v>0</v>
      </c>
      <c r="J2033" s="20" t="s">
        <v>4926</v>
      </c>
      <c r="K2033" s="20" t="s">
        <v>10014</v>
      </c>
      <c r="L2033" s="3">
        <v>29</v>
      </c>
      <c r="M2033" s="3" t="s">
        <v>10204</v>
      </c>
      <c r="N2033" s="3" t="str">
        <f>HYPERLINK("http://ictvonline.org/taxonomyHistory.asp?taxnode_id=20161879","ICTVonline=20161879")</f>
        <v>ICTVonline=20161879</v>
      </c>
    </row>
    <row r="2034" spans="1:14" x14ac:dyDescent="0.15">
      <c r="A2034" s="3">
        <v>2033</v>
      </c>
      <c r="B2034" s="1" t="s">
        <v>926</v>
      </c>
      <c r="C2034" s="1" t="s">
        <v>1090</v>
      </c>
      <c r="E2034" s="1" t="s">
        <v>2750</v>
      </c>
      <c r="F2034" s="1" t="s">
        <v>2757</v>
      </c>
      <c r="G2034" s="3">
        <v>0</v>
      </c>
      <c r="J2034" s="20" t="s">
        <v>4926</v>
      </c>
      <c r="K2034" s="20" t="s">
        <v>10014</v>
      </c>
      <c r="L2034" s="3">
        <v>29</v>
      </c>
      <c r="M2034" s="3" t="s">
        <v>10204</v>
      </c>
      <c r="N2034" s="3" t="str">
        <f>HYPERLINK("http://ictvonline.org/taxonomyHistory.asp?taxnode_id=20161880","ICTVonline=20161880")</f>
        <v>ICTVonline=20161880</v>
      </c>
    </row>
    <row r="2035" spans="1:14" x14ac:dyDescent="0.15">
      <c r="A2035" s="3">
        <v>2034</v>
      </c>
      <c r="B2035" s="1" t="s">
        <v>926</v>
      </c>
      <c r="C2035" s="1" t="s">
        <v>1090</v>
      </c>
      <c r="E2035" s="1" t="s">
        <v>2750</v>
      </c>
      <c r="F2035" s="1" t="s">
        <v>6441</v>
      </c>
      <c r="G2035" s="3">
        <v>0</v>
      </c>
      <c r="J2035" s="20" t="s">
        <v>4926</v>
      </c>
      <c r="K2035" s="20" t="s">
        <v>10014</v>
      </c>
      <c r="L2035" s="3">
        <v>29</v>
      </c>
      <c r="M2035" s="3" t="s">
        <v>10204</v>
      </c>
      <c r="N2035" s="3" t="str">
        <f>HYPERLINK("http://ictvonline.org/taxonomyHistory.asp?taxnode_id=20161881","ICTVonline=20161881")</f>
        <v>ICTVonline=20161881</v>
      </c>
    </row>
    <row r="2036" spans="1:14" x14ac:dyDescent="0.15">
      <c r="A2036" s="3">
        <v>2035</v>
      </c>
      <c r="B2036" s="1" t="s">
        <v>926</v>
      </c>
      <c r="C2036" s="1" t="s">
        <v>1090</v>
      </c>
      <c r="E2036" s="1" t="s">
        <v>2750</v>
      </c>
      <c r="F2036" s="1" t="s">
        <v>2758</v>
      </c>
      <c r="G2036" s="3">
        <v>0</v>
      </c>
      <c r="J2036" s="20" t="s">
        <v>4926</v>
      </c>
      <c r="K2036" s="20" t="s">
        <v>10014</v>
      </c>
      <c r="L2036" s="3">
        <v>29</v>
      </c>
      <c r="M2036" s="3" t="s">
        <v>10204</v>
      </c>
      <c r="N2036" s="3" t="str">
        <f>HYPERLINK("http://ictvonline.org/taxonomyHistory.asp?taxnode_id=20161882","ICTVonline=20161882")</f>
        <v>ICTVonline=20161882</v>
      </c>
    </row>
    <row r="2037" spans="1:14" x14ac:dyDescent="0.15">
      <c r="A2037" s="3">
        <v>2036</v>
      </c>
      <c r="B2037" s="1" t="s">
        <v>926</v>
      </c>
      <c r="C2037" s="1" t="s">
        <v>1090</v>
      </c>
      <c r="E2037" s="1" t="s">
        <v>2750</v>
      </c>
      <c r="F2037" s="1" t="s">
        <v>2759</v>
      </c>
      <c r="G2037" s="3">
        <v>0</v>
      </c>
      <c r="J2037" s="20" t="s">
        <v>4926</v>
      </c>
      <c r="K2037" s="20" t="s">
        <v>10014</v>
      </c>
      <c r="L2037" s="3">
        <v>29</v>
      </c>
      <c r="M2037" s="3" t="s">
        <v>10204</v>
      </c>
      <c r="N2037" s="3" t="str">
        <f>HYPERLINK("http://ictvonline.org/taxonomyHistory.asp?taxnode_id=20161883","ICTVonline=20161883")</f>
        <v>ICTVonline=20161883</v>
      </c>
    </row>
    <row r="2038" spans="1:14" x14ac:dyDescent="0.15">
      <c r="A2038" s="3">
        <v>2037</v>
      </c>
      <c r="B2038" s="1" t="s">
        <v>926</v>
      </c>
      <c r="C2038" s="1" t="s">
        <v>1090</v>
      </c>
      <c r="E2038" s="1" t="s">
        <v>2750</v>
      </c>
      <c r="F2038" s="1" t="s">
        <v>9114</v>
      </c>
      <c r="G2038" s="3">
        <v>0</v>
      </c>
      <c r="H2038" s="20" t="s">
        <v>9115</v>
      </c>
      <c r="I2038" s="20" t="s">
        <v>9116</v>
      </c>
      <c r="J2038" s="20" t="s">
        <v>4926</v>
      </c>
      <c r="K2038" s="20" t="s">
        <v>10013</v>
      </c>
      <c r="L2038" s="3">
        <v>31</v>
      </c>
      <c r="M2038" s="3" t="s">
        <v>9117</v>
      </c>
      <c r="N2038" s="3" t="str">
        <f>HYPERLINK("http://ictvonline.org/taxonomyHistory.asp?taxnode_id=20165231","ICTVonline=20165231")</f>
        <v>ICTVonline=20165231</v>
      </c>
    </row>
    <row r="2039" spans="1:14" x14ac:dyDescent="0.15">
      <c r="A2039" s="3">
        <v>2038</v>
      </c>
      <c r="B2039" s="1" t="s">
        <v>926</v>
      </c>
      <c r="C2039" s="1" t="s">
        <v>1090</v>
      </c>
      <c r="E2039" s="1" t="s">
        <v>2750</v>
      </c>
      <c r="F2039" s="1" t="s">
        <v>2760</v>
      </c>
      <c r="G2039" s="3">
        <v>0</v>
      </c>
      <c r="J2039" s="20" t="s">
        <v>4926</v>
      </c>
      <c r="K2039" s="20" t="s">
        <v>10014</v>
      </c>
      <c r="L2039" s="3">
        <v>29</v>
      </c>
      <c r="M2039" s="3" t="s">
        <v>10204</v>
      </c>
      <c r="N2039" s="3" t="str">
        <f>HYPERLINK("http://ictvonline.org/taxonomyHistory.asp?taxnode_id=20161884","ICTVonline=20161884")</f>
        <v>ICTVonline=20161884</v>
      </c>
    </row>
    <row r="2040" spans="1:14" x14ac:dyDescent="0.15">
      <c r="A2040" s="3">
        <v>2039</v>
      </c>
      <c r="B2040" s="1" t="s">
        <v>926</v>
      </c>
      <c r="C2040" s="1" t="s">
        <v>1090</v>
      </c>
      <c r="E2040" s="1" t="s">
        <v>2750</v>
      </c>
      <c r="F2040" s="1" t="s">
        <v>2761</v>
      </c>
      <c r="G2040" s="3">
        <v>0</v>
      </c>
      <c r="J2040" s="20" t="s">
        <v>4926</v>
      </c>
      <c r="K2040" s="20" t="s">
        <v>10014</v>
      </c>
      <c r="L2040" s="3">
        <v>29</v>
      </c>
      <c r="M2040" s="3" t="s">
        <v>10204</v>
      </c>
      <c r="N2040" s="3" t="str">
        <f>HYPERLINK("http://ictvonline.org/taxonomyHistory.asp?taxnode_id=20161885","ICTVonline=20161885")</f>
        <v>ICTVonline=20161885</v>
      </c>
    </row>
    <row r="2041" spans="1:14" x14ac:dyDescent="0.15">
      <c r="A2041" s="3">
        <v>2040</v>
      </c>
      <c r="B2041" s="1" t="s">
        <v>926</v>
      </c>
      <c r="C2041" s="1" t="s">
        <v>1090</v>
      </c>
      <c r="E2041" s="1" t="s">
        <v>2750</v>
      </c>
      <c r="F2041" s="1" t="s">
        <v>2762</v>
      </c>
      <c r="G2041" s="3">
        <v>0</v>
      </c>
      <c r="H2041" s="20" t="s">
        <v>3166</v>
      </c>
      <c r="I2041" s="20" t="s">
        <v>3167</v>
      </c>
      <c r="J2041" s="20" t="s">
        <v>4926</v>
      </c>
      <c r="K2041" s="20" t="s">
        <v>10013</v>
      </c>
      <c r="L2041" s="3">
        <v>29</v>
      </c>
      <c r="M2041" s="3" t="s">
        <v>10206</v>
      </c>
      <c r="N2041" s="3" t="str">
        <f>HYPERLINK("http://ictvonline.org/taxonomyHistory.asp?taxnode_id=20161886","ICTVonline=20161886")</f>
        <v>ICTVonline=20161886</v>
      </c>
    </row>
    <row r="2042" spans="1:14" x14ac:dyDescent="0.15">
      <c r="A2042" s="3">
        <v>2041</v>
      </c>
      <c r="B2042" s="1" t="s">
        <v>926</v>
      </c>
      <c r="C2042" s="1" t="s">
        <v>1090</v>
      </c>
      <c r="E2042" s="1" t="s">
        <v>2750</v>
      </c>
      <c r="F2042" s="1" t="s">
        <v>2763</v>
      </c>
      <c r="G2042" s="3">
        <v>1</v>
      </c>
      <c r="J2042" s="20" t="s">
        <v>4926</v>
      </c>
      <c r="K2042" s="20" t="s">
        <v>10014</v>
      </c>
      <c r="L2042" s="3">
        <v>29</v>
      </c>
      <c r="M2042" s="3" t="s">
        <v>10204</v>
      </c>
      <c r="N2042" s="3" t="str">
        <f>HYPERLINK("http://ictvonline.org/taxonomyHistory.asp?taxnode_id=20161887","ICTVonline=20161887")</f>
        <v>ICTVonline=20161887</v>
      </c>
    </row>
    <row r="2043" spans="1:14" x14ac:dyDescent="0.15">
      <c r="A2043" s="3">
        <v>2042</v>
      </c>
      <c r="B2043" s="1" t="s">
        <v>926</v>
      </c>
      <c r="C2043" s="1" t="s">
        <v>1090</v>
      </c>
      <c r="E2043" s="1" t="s">
        <v>2750</v>
      </c>
      <c r="F2043" s="1" t="s">
        <v>2764</v>
      </c>
      <c r="G2043" s="3">
        <v>0</v>
      </c>
      <c r="J2043" s="20" t="s">
        <v>4926</v>
      </c>
      <c r="K2043" s="20" t="s">
        <v>10014</v>
      </c>
      <c r="L2043" s="3">
        <v>29</v>
      </c>
      <c r="M2043" s="3" t="s">
        <v>10204</v>
      </c>
      <c r="N2043" s="3" t="str">
        <f>HYPERLINK("http://ictvonline.org/taxonomyHistory.asp?taxnode_id=20161888","ICTVonline=20161888")</f>
        <v>ICTVonline=20161888</v>
      </c>
    </row>
    <row r="2044" spans="1:14" x14ac:dyDescent="0.15">
      <c r="A2044" s="3">
        <v>2043</v>
      </c>
      <c r="B2044" s="1" t="s">
        <v>926</v>
      </c>
      <c r="C2044" s="1" t="s">
        <v>1090</v>
      </c>
      <c r="E2044" s="1" t="s">
        <v>2750</v>
      </c>
      <c r="F2044" s="1" t="s">
        <v>4929</v>
      </c>
      <c r="G2044" s="3">
        <v>0</v>
      </c>
      <c r="H2044" s="20" t="s">
        <v>6824</v>
      </c>
      <c r="I2044" s="20" t="s">
        <v>4930</v>
      </c>
      <c r="J2044" s="20" t="s">
        <v>4926</v>
      </c>
      <c r="K2044" s="20" t="s">
        <v>10013</v>
      </c>
      <c r="L2044" s="3">
        <v>30</v>
      </c>
      <c r="M2044" s="3" t="s">
        <v>10205</v>
      </c>
      <c r="N2044" s="3" t="str">
        <f>HYPERLINK("http://ictvonline.org/taxonomyHistory.asp?taxnode_id=20161889","ICTVonline=20161889")</f>
        <v>ICTVonline=20161889</v>
      </c>
    </row>
    <row r="2045" spans="1:14" x14ac:dyDescent="0.15">
      <c r="A2045" s="3">
        <v>2044</v>
      </c>
      <c r="B2045" s="1" t="s">
        <v>926</v>
      </c>
      <c r="C2045" s="1" t="s">
        <v>1090</v>
      </c>
      <c r="E2045" s="1" t="s">
        <v>2750</v>
      </c>
      <c r="F2045" s="1" t="s">
        <v>2765</v>
      </c>
      <c r="G2045" s="3">
        <v>0</v>
      </c>
      <c r="H2045" s="20" t="s">
        <v>3168</v>
      </c>
      <c r="I2045" s="20" t="s">
        <v>3169</v>
      </c>
      <c r="J2045" s="20" t="s">
        <v>4926</v>
      </c>
      <c r="K2045" s="20" t="s">
        <v>10013</v>
      </c>
      <c r="L2045" s="3">
        <v>29</v>
      </c>
      <c r="M2045" s="3" t="s">
        <v>10206</v>
      </c>
      <c r="N2045" s="3" t="str">
        <f>HYPERLINK("http://ictvonline.org/taxonomyHistory.asp?taxnode_id=20161890","ICTVonline=20161890")</f>
        <v>ICTVonline=20161890</v>
      </c>
    </row>
    <row r="2046" spans="1:14" x14ac:dyDescent="0.15">
      <c r="A2046" s="3">
        <v>2045</v>
      </c>
      <c r="B2046" s="1" t="s">
        <v>926</v>
      </c>
      <c r="C2046" s="1" t="s">
        <v>1090</v>
      </c>
      <c r="E2046" s="1" t="s">
        <v>2750</v>
      </c>
      <c r="F2046" s="1" t="s">
        <v>2766</v>
      </c>
      <c r="G2046" s="3">
        <v>0</v>
      </c>
      <c r="J2046" s="20" t="s">
        <v>4926</v>
      </c>
      <c r="K2046" s="20" t="s">
        <v>10014</v>
      </c>
      <c r="L2046" s="3">
        <v>29</v>
      </c>
      <c r="M2046" s="3" t="s">
        <v>10204</v>
      </c>
      <c r="N2046" s="3" t="str">
        <f>HYPERLINK("http://ictvonline.org/taxonomyHistory.asp?taxnode_id=20161891","ICTVonline=20161891")</f>
        <v>ICTVonline=20161891</v>
      </c>
    </row>
    <row r="2047" spans="1:14" x14ac:dyDescent="0.15">
      <c r="A2047" s="3">
        <v>2046</v>
      </c>
      <c r="B2047" s="1" t="s">
        <v>926</v>
      </c>
      <c r="C2047" s="1" t="s">
        <v>1090</v>
      </c>
      <c r="E2047" s="1" t="s">
        <v>2750</v>
      </c>
      <c r="F2047" s="1" t="s">
        <v>2767</v>
      </c>
      <c r="G2047" s="3">
        <v>0</v>
      </c>
      <c r="J2047" s="20" t="s">
        <v>4926</v>
      </c>
      <c r="K2047" s="20" t="s">
        <v>10014</v>
      </c>
      <c r="L2047" s="3">
        <v>29</v>
      </c>
      <c r="M2047" s="3" t="s">
        <v>10204</v>
      </c>
      <c r="N2047" s="3" t="str">
        <f>HYPERLINK("http://ictvonline.org/taxonomyHistory.asp?taxnode_id=20161892","ICTVonline=20161892")</f>
        <v>ICTVonline=20161892</v>
      </c>
    </row>
    <row r="2048" spans="1:14" x14ac:dyDescent="0.15">
      <c r="A2048" s="3">
        <v>2047</v>
      </c>
      <c r="B2048" s="1" t="s">
        <v>926</v>
      </c>
      <c r="C2048" s="1" t="s">
        <v>1090</v>
      </c>
      <c r="E2048" s="1" t="s">
        <v>2750</v>
      </c>
      <c r="F2048" s="1" t="s">
        <v>4931</v>
      </c>
      <c r="G2048" s="3">
        <v>0</v>
      </c>
      <c r="H2048" s="20" t="s">
        <v>6825</v>
      </c>
      <c r="I2048" s="20" t="s">
        <v>4932</v>
      </c>
      <c r="J2048" s="20" t="s">
        <v>4926</v>
      </c>
      <c r="K2048" s="20" t="s">
        <v>10013</v>
      </c>
      <c r="L2048" s="3">
        <v>30</v>
      </c>
      <c r="M2048" s="3" t="s">
        <v>10205</v>
      </c>
      <c r="N2048" s="3" t="str">
        <f>HYPERLINK("http://ictvonline.org/taxonomyHistory.asp?taxnode_id=20161893","ICTVonline=20161893")</f>
        <v>ICTVonline=20161893</v>
      </c>
    </row>
    <row r="2049" spans="1:14" x14ac:dyDescent="0.15">
      <c r="A2049" s="3">
        <v>2048</v>
      </c>
      <c r="B2049" s="1" t="s">
        <v>926</v>
      </c>
      <c r="C2049" s="1" t="s">
        <v>1090</v>
      </c>
      <c r="E2049" s="1" t="s">
        <v>2750</v>
      </c>
      <c r="F2049" s="1" t="s">
        <v>2768</v>
      </c>
      <c r="G2049" s="3">
        <v>0</v>
      </c>
      <c r="J2049" s="20" t="s">
        <v>4926</v>
      </c>
      <c r="K2049" s="20" t="s">
        <v>10014</v>
      </c>
      <c r="L2049" s="3">
        <v>29</v>
      </c>
      <c r="M2049" s="3" t="s">
        <v>10204</v>
      </c>
      <c r="N2049" s="3" t="str">
        <f>HYPERLINK("http://ictvonline.org/taxonomyHistory.asp?taxnode_id=20161894","ICTVonline=20161894")</f>
        <v>ICTVonline=20161894</v>
      </c>
    </row>
    <row r="2050" spans="1:14" x14ac:dyDescent="0.15">
      <c r="A2050" s="3">
        <v>2049</v>
      </c>
      <c r="B2050" s="1" t="s">
        <v>926</v>
      </c>
      <c r="C2050" s="1" t="s">
        <v>1090</v>
      </c>
      <c r="E2050" s="1" t="s">
        <v>2750</v>
      </c>
      <c r="F2050" s="1" t="s">
        <v>6442</v>
      </c>
      <c r="G2050" s="3">
        <v>0</v>
      </c>
      <c r="J2050" s="20" t="s">
        <v>4926</v>
      </c>
      <c r="K2050" s="20" t="s">
        <v>10014</v>
      </c>
      <c r="L2050" s="3">
        <v>29</v>
      </c>
      <c r="M2050" s="3" t="s">
        <v>10204</v>
      </c>
      <c r="N2050" s="3" t="str">
        <f>HYPERLINK("http://ictvonline.org/taxonomyHistory.asp?taxnode_id=20161895","ICTVonline=20161895")</f>
        <v>ICTVonline=20161895</v>
      </c>
    </row>
    <row r="2051" spans="1:14" x14ac:dyDescent="0.15">
      <c r="A2051" s="3">
        <v>2050</v>
      </c>
      <c r="B2051" s="1" t="s">
        <v>926</v>
      </c>
      <c r="C2051" s="1" t="s">
        <v>1090</v>
      </c>
      <c r="E2051" s="1" t="s">
        <v>2750</v>
      </c>
      <c r="F2051" s="1" t="s">
        <v>6443</v>
      </c>
      <c r="G2051" s="3">
        <v>0</v>
      </c>
      <c r="J2051" s="20" t="s">
        <v>4926</v>
      </c>
      <c r="K2051" s="20" t="s">
        <v>10014</v>
      </c>
      <c r="L2051" s="3">
        <v>29</v>
      </c>
      <c r="M2051" s="3" t="s">
        <v>10204</v>
      </c>
      <c r="N2051" s="3" t="str">
        <f>HYPERLINK("http://ictvonline.org/taxonomyHistory.asp?taxnode_id=20161896","ICTVonline=20161896")</f>
        <v>ICTVonline=20161896</v>
      </c>
    </row>
    <row r="2052" spans="1:14" x14ac:dyDescent="0.15">
      <c r="A2052" s="3">
        <v>2051</v>
      </c>
      <c r="B2052" s="1" t="s">
        <v>926</v>
      </c>
      <c r="C2052" s="1" t="s">
        <v>1090</v>
      </c>
      <c r="E2052" s="1" t="s">
        <v>2750</v>
      </c>
      <c r="F2052" s="1" t="s">
        <v>2769</v>
      </c>
      <c r="G2052" s="3">
        <v>0</v>
      </c>
      <c r="J2052" s="20" t="s">
        <v>4926</v>
      </c>
      <c r="K2052" s="20" t="s">
        <v>10014</v>
      </c>
      <c r="L2052" s="3">
        <v>29</v>
      </c>
      <c r="M2052" s="3" t="s">
        <v>10204</v>
      </c>
      <c r="N2052" s="3" t="str">
        <f>HYPERLINK("http://ictvonline.org/taxonomyHistory.asp?taxnode_id=20161897","ICTVonline=20161897")</f>
        <v>ICTVonline=20161897</v>
      </c>
    </row>
    <row r="2053" spans="1:14" x14ac:dyDescent="0.15">
      <c r="A2053" s="3">
        <v>2052</v>
      </c>
      <c r="B2053" s="1" t="s">
        <v>926</v>
      </c>
      <c r="C2053" s="1" t="s">
        <v>1090</v>
      </c>
      <c r="E2053" s="1" t="s">
        <v>2750</v>
      </c>
      <c r="F2053" s="1" t="s">
        <v>6444</v>
      </c>
      <c r="G2053" s="3">
        <v>0</v>
      </c>
      <c r="J2053" s="20" t="s">
        <v>4926</v>
      </c>
      <c r="K2053" s="20" t="s">
        <v>10014</v>
      </c>
      <c r="L2053" s="3">
        <v>29</v>
      </c>
      <c r="M2053" s="3" t="s">
        <v>10204</v>
      </c>
      <c r="N2053" s="3" t="str">
        <f>HYPERLINK("http://ictvonline.org/taxonomyHistory.asp?taxnode_id=20161898","ICTVonline=20161898")</f>
        <v>ICTVonline=20161898</v>
      </c>
    </row>
    <row r="2054" spans="1:14" x14ac:dyDescent="0.15">
      <c r="A2054" s="3">
        <v>2053</v>
      </c>
      <c r="B2054" s="1" t="s">
        <v>926</v>
      </c>
      <c r="C2054" s="1" t="s">
        <v>1090</v>
      </c>
      <c r="E2054" s="1" t="s">
        <v>2750</v>
      </c>
      <c r="F2054" s="1" t="s">
        <v>9118</v>
      </c>
      <c r="G2054" s="3">
        <v>0</v>
      </c>
      <c r="H2054" s="20" t="s">
        <v>9119</v>
      </c>
      <c r="I2054" s="20" t="s">
        <v>9120</v>
      </c>
      <c r="J2054" s="20" t="s">
        <v>4926</v>
      </c>
      <c r="K2054" s="20" t="s">
        <v>10013</v>
      </c>
      <c r="L2054" s="3">
        <v>31</v>
      </c>
      <c r="M2054" s="3" t="s">
        <v>9121</v>
      </c>
      <c r="N2054" s="3" t="str">
        <f>HYPERLINK("http://ictvonline.org/taxonomyHistory.asp?taxnode_id=20165232","ICTVonline=20165232")</f>
        <v>ICTVonline=20165232</v>
      </c>
    </row>
    <row r="2055" spans="1:14" x14ac:dyDescent="0.15">
      <c r="A2055" s="3">
        <v>2054</v>
      </c>
      <c r="B2055" s="1" t="s">
        <v>926</v>
      </c>
      <c r="C2055" s="1" t="s">
        <v>1090</v>
      </c>
      <c r="E2055" s="1" t="s">
        <v>2750</v>
      </c>
      <c r="F2055" s="1" t="s">
        <v>2770</v>
      </c>
      <c r="G2055" s="3">
        <v>0</v>
      </c>
      <c r="J2055" s="20" t="s">
        <v>4926</v>
      </c>
      <c r="K2055" s="20" t="s">
        <v>10014</v>
      </c>
      <c r="L2055" s="3">
        <v>29</v>
      </c>
      <c r="M2055" s="3" t="s">
        <v>10204</v>
      </c>
      <c r="N2055" s="3" t="str">
        <f>HYPERLINK("http://ictvonline.org/taxonomyHistory.asp?taxnode_id=20161899","ICTVonline=20161899")</f>
        <v>ICTVonline=20161899</v>
      </c>
    </row>
    <row r="2056" spans="1:14" x14ac:dyDescent="0.15">
      <c r="A2056" s="3">
        <v>2055</v>
      </c>
      <c r="B2056" s="1" t="s">
        <v>926</v>
      </c>
      <c r="C2056" s="1" t="s">
        <v>1090</v>
      </c>
      <c r="E2056" s="1" t="s">
        <v>2750</v>
      </c>
      <c r="F2056" s="1" t="s">
        <v>2771</v>
      </c>
      <c r="G2056" s="3">
        <v>0</v>
      </c>
      <c r="J2056" s="20" t="s">
        <v>4926</v>
      </c>
      <c r="K2056" s="20" t="s">
        <v>10014</v>
      </c>
      <c r="L2056" s="3">
        <v>29</v>
      </c>
      <c r="M2056" s="3" t="s">
        <v>10204</v>
      </c>
      <c r="N2056" s="3" t="str">
        <f>HYPERLINK("http://ictvonline.org/taxonomyHistory.asp?taxnode_id=20161900","ICTVonline=20161900")</f>
        <v>ICTVonline=20161900</v>
      </c>
    </row>
    <row r="2057" spans="1:14" x14ac:dyDescent="0.15">
      <c r="A2057" s="3">
        <v>2056</v>
      </c>
      <c r="B2057" s="1" t="s">
        <v>926</v>
      </c>
      <c r="C2057" s="1" t="s">
        <v>1090</v>
      </c>
      <c r="E2057" s="1" t="s">
        <v>2750</v>
      </c>
      <c r="F2057" s="1" t="s">
        <v>4933</v>
      </c>
      <c r="G2057" s="3">
        <v>0</v>
      </c>
      <c r="H2057" s="20" t="s">
        <v>6826</v>
      </c>
      <c r="I2057" s="20" t="s">
        <v>7296</v>
      </c>
      <c r="J2057" s="20" t="s">
        <v>4926</v>
      </c>
      <c r="K2057" s="20" t="s">
        <v>10013</v>
      </c>
      <c r="L2057" s="3">
        <v>30</v>
      </c>
      <c r="M2057" s="3" t="s">
        <v>10205</v>
      </c>
      <c r="N2057" s="3" t="str">
        <f>HYPERLINK("http://ictvonline.org/taxonomyHistory.asp?taxnode_id=20161901","ICTVonline=20161901")</f>
        <v>ICTVonline=20161901</v>
      </c>
    </row>
    <row r="2058" spans="1:14" x14ac:dyDescent="0.15">
      <c r="A2058" s="3">
        <v>2057</v>
      </c>
      <c r="B2058" s="1" t="s">
        <v>926</v>
      </c>
      <c r="C2058" s="1" t="s">
        <v>1090</v>
      </c>
      <c r="E2058" s="1" t="s">
        <v>2750</v>
      </c>
      <c r="F2058" s="1" t="s">
        <v>2772</v>
      </c>
      <c r="G2058" s="3">
        <v>0</v>
      </c>
      <c r="J2058" s="20" t="s">
        <v>4926</v>
      </c>
      <c r="K2058" s="20" t="s">
        <v>10014</v>
      </c>
      <c r="L2058" s="3">
        <v>29</v>
      </c>
      <c r="M2058" s="3" t="s">
        <v>10204</v>
      </c>
      <c r="N2058" s="3" t="str">
        <f>HYPERLINK("http://ictvonline.org/taxonomyHistory.asp?taxnode_id=20161902","ICTVonline=20161902")</f>
        <v>ICTVonline=20161902</v>
      </c>
    </row>
    <row r="2059" spans="1:14" x14ac:dyDescent="0.15">
      <c r="A2059" s="3">
        <v>2058</v>
      </c>
      <c r="B2059" s="1" t="s">
        <v>926</v>
      </c>
      <c r="C2059" s="1" t="s">
        <v>1090</v>
      </c>
      <c r="E2059" s="1" t="s">
        <v>2773</v>
      </c>
      <c r="F2059" s="1" t="s">
        <v>2774</v>
      </c>
      <c r="G2059" s="3">
        <v>1</v>
      </c>
      <c r="H2059" s="20" t="s">
        <v>3170</v>
      </c>
      <c r="I2059" s="20" t="s">
        <v>3171</v>
      </c>
      <c r="J2059" s="20" t="s">
        <v>4926</v>
      </c>
      <c r="K2059" s="20" t="s">
        <v>10013</v>
      </c>
      <c r="L2059" s="3">
        <v>29</v>
      </c>
      <c r="M2059" s="3" t="s">
        <v>10207</v>
      </c>
      <c r="N2059" s="3" t="str">
        <f>HYPERLINK("http://ictvonline.org/taxonomyHistory.asp?taxnode_id=20161904","ICTVonline=20161904")</f>
        <v>ICTVonline=20161904</v>
      </c>
    </row>
    <row r="2060" spans="1:14" x14ac:dyDescent="0.15">
      <c r="A2060" s="3">
        <v>2059</v>
      </c>
      <c r="B2060" s="1" t="s">
        <v>926</v>
      </c>
      <c r="C2060" s="1" t="s">
        <v>1090</v>
      </c>
      <c r="E2060" s="1" t="s">
        <v>2773</v>
      </c>
      <c r="F2060" s="1" t="s">
        <v>2775</v>
      </c>
      <c r="G2060" s="3">
        <v>0</v>
      </c>
      <c r="H2060" s="20" t="s">
        <v>3172</v>
      </c>
      <c r="I2060" s="20" t="s">
        <v>3173</v>
      </c>
      <c r="J2060" s="20" t="s">
        <v>4926</v>
      </c>
      <c r="K2060" s="20" t="s">
        <v>10013</v>
      </c>
      <c r="L2060" s="3">
        <v>29</v>
      </c>
      <c r="M2060" s="3" t="s">
        <v>10207</v>
      </c>
      <c r="N2060" s="3" t="str">
        <f>HYPERLINK("http://ictvonline.org/taxonomyHistory.asp?taxnode_id=20161905","ICTVonline=20161905")</f>
        <v>ICTVonline=20161905</v>
      </c>
    </row>
    <row r="2061" spans="1:14" x14ac:dyDescent="0.15">
      <c r="A2061" s="3">
        <v>2060</v>
      </c>
      <c r="B2061" s="1" t="s">
        <v>926</v>
      </c>
      <c r="C2061" s="1" t="s">
        <v>1090</v>
      </c>
      <c r="E2061" s="1" t="s">
        <v>2773</v>
      </c>
      <c r="F2061" s="1" t="s">
        <v>2776</v>
      </c>
      <c r="G2061" s="3">
        <v>0</v>
      </c>
      <c r="H2061" s="20" t="s">
        <v>3174</v>
      </c>
      <c r="I2061" s="20" t="s">
        <v>3175</v>
      </c>
      <c r="J2061" s="20" t="s">
        <v>4926</v>
      </c>
      <c r="K2061" s="20" t="s">
        <v>10013</v>
      </c>
      <c r="L2061" s="3">
        <v>29</v>
      </c>
      <c r="M2061" s="3" t="s">
        <v>10207</v>
      </c>
      <c r="N2061" s="3" t="str">
        <f>HYPERLINK("http://ictvonline.org/taxonomyHistory.asp?taxnode_id=20161906","ICTVonline=20161906")</f>
        <v>ICTVonline=20161906</v>
      </c>
    </row>
    <row r="2062" spans="1:14" x14ac:dyDescent="0.15">
      <c r="A2062" s="3">
        <v>2061</v>
      </c>
      <c r="B2062" s="1" t="s">
        <v>926</v>
      </c>
      <c r="C2062" s="1" t="s">
        <v>1871</v>
      </c>
      <c r="E2062" s="1" t="s">
        <v>1872</v>
      </c>
      <c r="F2062" s="1" t="s">
        <v>674</v>
      </c>
      <c r="G2062" s="3">
        <v>0</v>
      </c>
      <c r="J2062" s="20" t="s">
        <v>2860</v>
      </c>
      <c r="K2062" s="20" t="s">
        <v>10013</v>
      </c>
      <c r="L2062" s="3">
        <v>18</v>
      </c>
      <c r="M2062" s="3" t="s">
        <v>10101</v>
      </c>
      <c r="N2062" s="3" t="str">
        <f>HYPERLINK("http://ictvonline.org/taxonomyHistory.asp?taxnode_id=20161910","ICTVonline=20161910")</f>
        <v>ICTVonline=20161910</v>
      </c>
    </row>
    <row r="2063" spans="1:14" x14ac:dyDescent="0.15">
      <c r="A2063" s="3">
        <v>2062</v>
      </c>
      <c r="B2063" s="1" t="s">
        <v>926</v>
      </c>
      <c r="C2063" s="1" t="s">
        <v>1871</v>
      </c>
      <c r="E2063" s="1" t="s">
        <v>1872</v>
      </c>
      <c r="F2063" s="1" t="s">
        <v>675</v>
      </c>
      <c r="G2063" s="3">
        <v>1</v>
      </c>
      <c r="J2063" s="20" t="s">
        <v>2860</v>
      </c>
      <c r="K2063" s="20" t="s">
        <v>10021</v>
      </c>
      <c r="L2063" s="3">
        <v>18</v>
      </c>
      <c r="M2063" s="3" t="s">
        <v>10101</v>
      </c>
      <c r="N2063" s="3" t="str">
        <f>HYPERLINK("http://ictvonline.org/taxonomyHistory.asp?taxnode_id=20161911","ICTVonline=20161911")</f>
        <v>ICTVonline=20161911</v>
      </c>
    </row>
    <row r="2064" spans="1:14" x14ac:dyDescent="0.15">
      <c r="A2064" s="3">
        <v>2063</v>
      </c>
      <c r="B2064" s="1" t="s">
        <v>926</v>
      </c>
      <c r="C2064" s="1" t="s">
        <v>1871</v>
      </c>
      <c r="E2064" s="1" t="s">
        <v>1872</v>
      </c>
      <c r="F2064" s="1" t="s">
        <v>1396</v>
      </c>
      <c r="G2064" s="3">
        <v>0</v>
      </c>
      <c r="J2064" s="20" t="s">
        <v>2860</v>
      </c>
      <c r="K2064" s="20" t="s">
        <v>10021</v>
      </c>
      <c r="L2064" s="3">
        <v>18</v>
      </c>
      <c r="M2064" s="3" t="s">
        <v>10101</v>
      </c>
      <c r="N2064" s="3" t="str">
        <f>HYPERLINK("http://ictvonline.org/taxonomyHistory.asp?taxnode_id=20161912","ICTVonline=20161912")</f>
        <v>ICTVonline=20161912</v>
      </c>
    </row>
    <row r="2065" spans="1:14" x14ac:dyDescent="0.15">
      <c r="A2065" s="3">
        <v>2064</v>
      </c>
      <c r="B2065" s="1" t="s">
        <v>926</v>
      </c>
      <c r="C2065" s="1" t="s">
        <v>1871</v>
      </c>
      <c r="E2065" s="1" t="s">
        <v>4934</v>
      </c>
      <c r="F2065" s="1" t="s">
        <v>10516</v>
      </c>
      <c r="G2065" s="3">
        <v>1</v>
      </c>
      <c r="J2065" s="20" t="s">
        <v>2860</v>
      </c>
      <c r="K2065" s="20" t="s">
        <v>10021</v>
      </c>
      <c r="L2065" s="3">
        <v>31</v>
      </c>
      <c r="M2065" s="3" t="s">
        <v>10517</v>
      </c>
      <c r="N2065" s="3" t="str">
        <f>HYPERLINK("http://ictvonline.org/taxonomyHistory.asp?taxnode_id=20161914","ICTVonline=20161914")</f>
        <v>ICTVonline=20161914</v>
      </c>
    </row>
    <row r="2066" spans="1:14" x14ac:dyDescent="0.15">
      <c r="A2066" s="3">
        <v>2065</v>
      </c>
      <c r="B2066" s="1" t="s">
        <v>926</v>
      </c>
      <c r="C2066" s="1" t="s">
        <v>678</v>
      </c>
      <c r="E2066" s="1" t="s">
        <v>679</v>
      </c>
      <c r="F2066" s="1" t="s">
        <v>680</v>
      </c>
      <c r="G2066" s="3">
        <v>1</v>
      </c>
      <c r="J2066" s="20" t="s">
        <v>2860</v>
      </c>
      <c r="K2066" s="20" t="s">
        <v>10016</v>
      </c>
      <c r="L2066" s="3">
        <v>17</v>
      </c>
      <c r="M2066" s="3" t="s">
        <v>10208</v>
      </c>
      <c r="N2066" s="3" t="str">
        <f>HYPERLINK("http://ictvonline.org/taxonomyHistory.asp?taxnode_id=20161918","ICTVonline=20161918")</f>
        <v>ICTVonline=20161918</v>
      </c>
    </row>
    <row r="2067" spans="1:14" x14ac:dyDescent="0.15">
      <c r="A2067" s="3">
        <v>2066</v>
      </c>
      <c r="B2067" s="1" t="s">
        <v>926</v>
      </c>
      <c r="C2067" s="1" t="s">
        <v>681</v>
      </c>
      <c r="E2067" s="1" t="s">
        <v>682</v>
      </c>
      <c r="F2067" s="1" t="s">
        <v>45</v>
      </c>
      <c r="G2067" s="3">
        <v>1</v>
      </c>
      <c r="J2067" s="20" t="s">
        <v>3160</v>
      </c>
      <c r="K2067" s="20" t="s">
        <v>10021</v>
      </c>
      <c r="L2067" s="3">
        <v>26</v>
      </c>
      <c r="M2067" s="3" t="s">
        <v>10209</v>
      </c>
      <c r="N2067" s="3" t="str">
        <f>HYPERLINK("http://ictvonline.org/taxonomyHistory.asp?taxnode_id=20161922","ICTVonline=20161922")</f>
        <v>ICTVonline=20161922</v>
      </c>
    </row>
    <row r="2068" spans="1:14" x14ac:dyDescent="0.15">
      <c r="A2068" s="3">
        <v>2067</v>
      </c>
      <c r="B2068" s="1" t="s">
        <v>926</v>
      </c>
      <c r="C2068" s="1" t="s">
        <v>681</v>
      </c>
      <c r="E2068" s="1" t="s">
        <v>682</v>
      </c>
      <c r="F2068" s="1" t="s">
        <v>46</v>
      </c>
      <c r="G2068" s="3">
        <v>0</v>
      </c>
      <c r="J2068" s="20" t="s">
        <v>3160</v>
      </c>
      <c r="K2068" s="20" t="s">
        <v>10021</v>
      </c>
      <c r="L2068" s="3">
        <v>26</v>
      </c>
      <c r="M2068" s="3" t="s">
        <v>10209</v>
      </c>
      <c r="N2068" s="3" t="str">
        <f>HYPERLINK("http://ictvonline.org/taxonomyHistory.asp?taxnode_id=20161923","ICTVonline=20161923")</f>
        <v>ICTVonline=20161923</v>
      </c>
    </row>
    <row r="2069" spans="1:14" x14ac:dyDescent="0.15">
      <c r="A2069" s="3">
        <v>2068</v>
      </c>
      <c r="B2069" s="1" t="s">
        <v>926</v>
      </c>
      <c r="C2069" s="1" t="s">
        <v>681</v>
      </c>
      <c r="E2069" s="1" t="s">
        <v>682</v>
      </c>
      <c r="F2069" s="1" t="s">
        <v>47</v>
      </c>
      <c r="G2069" s="3">
        <v>0</v>
      </c>
      <c r="J2069" s="20" t="s">
        <v>3160</v>
      </c>
      <c r="K2069" s="20" t="s">
        <v>10021</v>
      </c>
      <c r="L2069" s="3">
        <v>26</v>
      </c>
      <c r="M2069" s="3" t="s">
        <v>10209</v>
      </c>
      <c r="N2069" s="3" t="str">
        <f>HYPERLINK("http://ictvonline.org/taxonomyHistory.asp?taxnode_id=20161924","ICTVonline=20161924")</f>
        <v>ICTVonline=20161924</v>
      </c>
    </row>
    <row r="2070" spans="1:14" x14ac:dyDescent="0.15">
      <c r="A2070" s="3">
        <v>2069</v>
      </c>
      <c r="B2070" s="1" t="s">
        <v>926</v>
      </c>
      <c r="C2070" s="1" t="s">
        <v>681</v>
      </c>
      <c r="E2070" s="1" t="s">
        <v>590</v>
      </c>
      <c r="F2070" s="1" t="s">
        <v>48</v>
      </c>
      <c r="G2070" s="3">
        <v>1</v>
      </c>
      <c r="J2070" s="20" t="s">
        <v>3160</v>
      </c>
      <c r="K2070" s="20" t="s">
        <v>10021</v>
      </c>
      <c r="L2070" s="3">
        <v>26</v>
      </c>
      <c r="M2070" s="3" t="s">
        <v>10210</v>
      </c>
      <c r="N2070" s="3" t="str">
        <f>HYPERLINK("http://ictvonline.org/taxonomyHistory.asp?taxnode_id=20161926","ICTVonline=20161926")</f>
        <v>ICTVonline=20161926</v>
      </c>
    </row>
    <row r="2071" spans="1:14" x14ac:dyDescent="0.15">
      <c r="A2071" s="3">
        <v>2070</v>
      </c>
      <c r="B2071" s="1" t="s">
        <v>926</v>
      </c>
      <c r="C2071" s="1" t="s">
        <v>681</v>
      </c>
      <c r="E2071" s="1" t="s">
        <v>590</v>
      </c>
      <c r="F2071" s="1" t="s">
        <v>59</v>
      </c>
      <c r="G2071" s="3">
        <v>0</v>
      </c>
      <c r="J2071" s="20" t="s">
        <v>3160</v>
      </c>
      <c r="K2071" s="20" t="s">
        <v>10021</v>
      </c>
      <c r="L2071" s="3">
        <v>26</v>
      </c>
      <c r="M2071" s="3" t="s">
        <v>10210</v>
      </c>
      <c r="N2071" s="3" t="str">
        <f>HYPERLINK("http://ictvonline.org/taxonomyHistory.asp?taxnode_id=20161927","ICTVonline=20161927")</f>
        <v>ICTVonline=20161927</v>
      </c>
    </row>
    <row r="2072" spans="1:14" x14ac:dyDescent="0.15">
      <c r="A2072" s="3">
        <v>2071</v>
      </c>
      <c r="B2072" s="1" t="s">
        <v>926</v>
      </c>
      <c r="C2072" s="1" t="s">
        <v>681</v>
      </c>
      <c r="E2072" s="1" t="s">
        <v>590</v>
      </c>
      <c r="F2072" s="1" t="s">
        <v>60</v>
      </c>
      <c r="G2072" s="3">
        <v>0</v>
      </c>
      <c r="J2072" s="20" t="s">
        <v>3160</v>
      </c>
      <c r="K2072" s="20" t="s">
        <v>10021</v>
      </c>
      <c r="L2072" s="3">
        <v>26</v>
      </c>
      <c r="M2072" s="3" t="s">
        <v>10210</v>
      </c>
      <c r="N2072" s="3" t="str">
        <f>HYPERLINK("http://ictvonline.org/taxonomyHistory.asp?taxnode_id=20161928","ICTVonline=20161928")</f>
        <v>ICTVonline=20161928</v>
      </c>
    </row>
    <row r="2073" spans="1:14" x14ac:dyDescent="0.15">
      <c r="A2073" s="3">
        <v>2072</v>
      </c>
      <c r="B2073" s="1" t="s">
        <v>926</v>
      </c>
      <c r="C2073" s="1" t="s">
        <v>681</v>
      </c>
      <c r="E2073" s="1" t="s">
        <v>590</v>
      </c>
      <c r="F2073" s="1" t="s">
        <v>61</v>
      </c>
      <c r="G2073" s="3">
        <v>0</v>
      </c>
      <c r="J2073" s="20" t="s">
        <v>3160</v>
      </c>
      <c r="K2073" s="20" t="s">
        <v>10013</v>
      </c>
      <c r="L2073" s="3">
        <v>26</v>
      </c>
      <c r="M2073" s="3" t="s">
        <v>10210</v>
      </c>
      <c r="N2073" s="3" t="str">
        <f>HYPERLINK("http://ictvonline.org/taxonomyHistory.asp?taxnode_id=20161929","ICTVonline=20161929")</f>
        <v>ICTVonline=20161929</v>
      </c>
    </row>
    <row r="2074" spans="1:14" x14ac:dyDescent="0.15">
      <c r="A2074" s="3">
        <v>2073</v>
      </c>
      <c r="B2074" s="1" t="s">
        <v>926</v>
      </c>
      <c r="C2074" s="1" t="s">
        <v>681</v>
      </c>
      <c r="E2074" s="1" t="s">
        <v>590</v>
      </c>
      <c r="F2074" s="1" t="s">
        <v>62</v>
      </c>
      <c r="G2074" s="3">
        <v>0</v>
      </c>
      <c r="J2074" s="20" t="s">
        <v>3160</v>
      </c>
      <c r="K2074" s="20" t="s">
        <v>10013</v>
      </c>
      <c r="L2074" s="3">
        <v>26</v>
      </c>
      <c r="M2074" s="3" t="s">
        <v>10210</v>
      </c>
      <c r="N2074" s="3" t="str">
        <f>HYPERLINK("http://ictvonline.org/taxonomyHistory.asp?taxnode_id=20161930","ICTVonline=20161930")</f>
        <v>ICTVonline=20161930</v>
      </c>
    </row>
    <row r="2075" spans="1:14" x14ac:dyDescent="0.15">
      <c r="A2075" s="3">
        <v>2074</v>
      </c>
      <c r="B2075" s="1" t="s">
        <v>926</v>
      </c>
      <c r="C2075" s="1" t="s">
        <v>681</v>
      </c>
      <c r="E2075" s="1" t="s">
        <v>590</v>
      </c>
      <c r="F2075" s="1" t="s">
        <v>63</v>
      </c>
      <c r="G2075" s="3">
        <v>0</v>
      </c>
      <c r="J2075" s="20" t="s">
        <v>3160</v>
      </c>
      <c r="K2075" s="20" t="s">
        <v>10013</v>
      </c>
      <c r="L2075" s="3">
        <v>26</v>
      </c>
      <c r="M2075" s="3" t="s">
        <v>10210</v>
      </c>
      <c r="N2075" s="3" t="str">
        <f>HYPERLINK("http://ictvonline.org/taxonomyHistory.asp?taxnode_id=20161931","ICTVonline=20161931")</f>
        <v>ICTVonline=20161931</v>
      </c>
    </row>
    <row r="2076" spans="1:14" x14ac:dyDescent="0.15">
      <c r="A2076" s="3">
        <v>2075</v>
      </c>
      <c r="B2076" s="1" t="s">
        <v>926</v>
      </c>
      <c r="C2076" s="1" t="s">
        <v>681</v>
      </c>
      <c r="E2076" s="1" t="s">
        <v>590</v>
      </c>
      <c r="F2076" s="1" t="s">
        <v>64</v>
      </c>
      <c r="G2076" s="3">
        <v>0</v>
      </c>
      <c r="J2076" s="20" t="s">
        <v>3160</v>
      </c>
      <c r="K2076" s="20" t="s">
        <v>10013</v>
      </c>
      <c r="L2076" s="3">
        <v>26</v>
      </c>
      <c r="M2076" s="3" t="s">
        <v>10210</v>
      </c>
      <c r="N2076" s="3" t="str">
        <f>HYPERLINK("http://ictvonline.org/taxonomyHistory.asp?taxnode_id=20161932","ICTVonline=20161932")</f>
        <v>ICTVonline=20161932</v>
      </c>
    </row>
    <row r="2077" spans="1:14" x14ac:dyDescent="0.15">
      <c r="A2077" s="3">
        <v>2076</v>
      </c>
      <c r="B2077" s="1" t="s">
        <v>926</v>
      </c>
      <c r="C2077" s="1" t="s">
        <v>681</v>
      </c>
      <c r="E2077" s="1" t="s">
        <v>590</v>
      </c>
      <c r="F2077" s="1" t="s">
        <v>65</v>
      </c>
      <c r="G2077" s="3">
        <v>0</v>
      </c>
      <c r="J2077" s="20" t="s">
        <v>3160</v>
      </c>
      <c r="K2077" s="20" t="s">
        <v>10013</v>
      </c>
      <c r="L2077" s="3">
        <v>26</v>
      </c>
      <c r="M2077" s="3" t="s">
        <v>10210</v>
      </c>
      <c r="N2077" s="3" t="str">
        <f>HYPERLINK("http://ictvonline.org/taxonomyHistory.asp?taxnode_id=20161933","ICTVonline=20161933")</f>
        <v>ICTVonline=20161933</v>
      </c>
    </row>
    <row r="2078" spans="1:14" x14ac:dyDescent="0.15">
      <c r="A2078" s="3">
        <v>2077</v>
      </c>
      <c r="B2078" s="1" t="s">
        <v>926</v>
      </c>
      <c r="C2078" s="1" t="s">
        <v>681</v>
      </c>
      <c r="E2078" s="1" t="s">
        <v>590</v>
      </c>
      <c r="F2078" s="1" t="s">
        <v>66</v>
      </c>
      <c r="G2078" s="3">
        <v>0</v>
      </c>
      <c r="J2078" s="20" t="s">
        <v>3160</v>
      </c>
      <c r="K2078" s="20" t="s">
        <v>10013</v>
      </c>
      <c r="L2078" s="3">
        <v>26</v>
      </c>
      <c r="M2078" s="3" t="s">
        <v>10210</v>
      </c>
      <c r="N2078" s="3" t="str">
        <f>HYPERLINK("http://ictvonline.org/taxonomyHistory.asp?taxnode_id=20161934","ICTVonline=20161934")</f>
        <v>ICTVonline=20161934</v>
      </c>
    </row>
    <row r="2079" spans="1:14" x14ac:dyDescent="0.15">
      <c r="A2079" s="3">
        <v>2078</v>
      </c>
      <c r="B2079" s="1" t="s">
        <v>926</v>
      </c>
      <c r="C2079" s="1" t="s">
        <v>681</v>
      </c>
      <c r="E2079" s="1" t="s">
        <v>590</v>
      </c>
      <c r="F2079" s="1" t="s">
        <v>49</v>
      </c>
      <c r="G2079" s="3">
        <v>0</v>
      </c>
      <c r="J2079" s="20" t="s">
        <v>3160</v>
      </c>
      <c r="K2079" s="20" t="s">
        <v>10021</v>
      </c>
      <c r="L2079" s="3">
        <v>26</v>
      </c>
      <c r="M2079" s="3" t="s">
        <v>10210</v>
      </c>
      <c r="N2079" s="3" t="str">
        <f>HYPERLINK("http://ictvonline.org/taxonomyHistory.asp?taxnode_id=20161935","ICTVonline=20161935")</f>
        <v>ICTVonline=20161935</v>
      </c>
    </row>
    <row r="2080" spans="1:14" x14ac:dyDescent="0.15">
      <c r="A2080" s="3">
        <v>2079</v>
      </c>
      <c r="B2080" s="1" t="s">
        <v>926</v>
      </c>
      <c r="C2080" s="1" t="s">
        <v>681</v>
      </c>
      <c r="E2080" s="1" t="s">
        <v>590</v>
      </c>
      <c r="F2080" s="1" t="s">
        <v>50</v>
      </c>
      <c r="G2080" s="3">
        <v>0</v>
      </c>
      <c r="J2080" s="20" t="s">
        <v>3160</v>
      </c>
      <c r="K2080" s="20" t="s">
        <v>10013</v>
      </c>
      <c r="L2080" s="3">
        <v>26</v>
      </c>
      <c r="M2080" s="3" t="s">
        <v>10210</v>
      </c>
      <c r="N2080" s="3" t="str">
        <f>HYPERLINK("http://ictvonline.org/taxonomyHistory.asp?taxnode_id=20161936","ICTVonline=20161936")</f>
        <v>ICTVonline=20161936</v>
      </c>
    </row>
    <row r="2081" spans="1:14" x14ac:dyDescent="0.15">
      <c r="A2081" s="3">
        <v>2080</v>
      </c>
      <c r="B2081" s="1" t="s">
        <v>926</v>
      </c>
      <c r="C2081" s="1" t="s">
        <v>681</v>
      </c>
      <c r="E2081" s="1" t="s">
        <v>590</v>
      </c>
      <c r="F2081" s="1" t="s">
        <v>51</v>
      </c>
      <c r="G2081" s="3">
        <v>0</v>
      </c>
      <c r="J2081" s="20" t="s">
        <v>3160</v>
      </c>
      <c r="K2081" s="20" t="s">
        <v>10013</v>
      </c>
      <c r="L2081" s="3">
        <v>26</v>
      </c>
      <c r="M2081" s="3" t="s">
        <v>10210</v>
      </c>
      <c r="N2081" s="3" t="str">
        <f>HYPERLINK("http://ictvonline.org/taxonomyHistory.asp?taxnode_id=20161937","ICTVonline=20161937")</f>
        <v>ICTVonline=20161937</v>
      </c>
    </row>
    <row r="2082" spans="1:14" x14ac:dyDescent="0.15">
      <c r="A2082" s="3">
        <v>2081</v>
      </c>
      <c r="B2082" s="1" t="s">
        <v>926</v>
      </c>
      <c r="C2082" s="1" t="s">
        <v>681</v>
      </c>
      <c r="E2082" s="1" t="s">
        <v>590</v>
      </c>
      <c r="F2082" s="1" t="s">
        <v>52</v>
      </c>
      <c r="G2082" s="3">
        <v>0</v>
      </c>
      <c r="J2082" s="20" t="s">
        <v>3160</v>
      </c>
      <c r="K2082" s="20" t="s">
        <v>10021</v>
      </c>
      <c r="L2082" s="3">
        <v>26</v>
      </c>
      <c r="M2082" s="3" t="s">
        <v>10210</v>
      </c>
      <c r="N2082" s="3" t="str">
        <f>HYPERLINK("http://ictvonline.org/taxonomyHistory.asp?taxnode_id=20161938","ICTVonline=20161938")</f>
        <v>ICTVonline=20161938</v>
      </c>
    </row>
    <row r="2083" spans="1:14" x14ac:dyDescent="0.15">
      <c r="A2083" s="3">
        <v>2082</v>
      </c>
      <c r="B2083" s="1" t="s">
        <v>926</v>
      </c>
      <c r="C2083" s="1" t="s">
        <v>681</v>
      </c>
      <c r="E2083" s="1" t="s">
        <v>590</v>
      </c>
      <c r="F2083" s="1" t="s">
        <v>53</v>
      </c>
      <c r="G2083" s="3">
        <v>0</v>
      </c>
      <c r="J2083" s="20" t="s">
        <v>3160</v>
      </c>
      <c r="K2083" s="20" t="s">
        <v>10013</v>
      </c>
      <c r="L2083" s="3">
        <v>26</v>
      </c>
      <c r="M2083" s="3" t="s">
        <v>10210</v>
      </c>
      <c r="N2083" s="3" t="str">
        <f>HYPERLINK("http://ictvonline.org/taxonomyHistory.asp?taxnode_id=20161939","ICTVonline=20161939")</f>
        <v>ICTVonline=20161939</v>
      </c>
    </row>
    <row r="2084" spans="1:14" x14ac:dyDescent="0.15">
      <c r="A2084" s="3">
        <v>2083</v>
      </c>
      <c r="B2084" s="1" t="s">
        <v>926</v>
      </c>
      <c r="C2084" s="1" t="s">
        <v>681</v>
      </c>
      <c r="E2084" s="1" t="s">
        <v>590</v>
      </c>
      <c r="F2084" s="1" t="s">
        <v>54</v>
      </c>
      <c r="G2084" s="3">
        <v>0</v>
      </c>
      <c r="J2084" s="20" t="s">
        <v>3160</v>
      </c>
      <c r="K2084" s="20" t="s">
        <v>10013</v>
      </c>
      <c r="L2084" s="3">
        <v>26</v>
      </c>
      <c r="M2084" s="3" t="s">
        <v>10210</v>
      </c>
      <c r="N2084" s="3" t="str">
        <f>HYPERLINK("http://ictvonline.org/taxonomyHistory.asp?taxnode_id=20161940","ICTVonline=20161940")</f>
        <v>ICTVonline=20161940</v>
      </c>
    </row>
    <row r="2085" spans="1:14" x14ac:dyDescent="0.15">
      <c r="A2085" s="3">
        <v>2084</v>
      </c>
      <c r="B2085" s="1" t="s">
        <v>926</v>
      </c>
      <c r="C2085" s="1" t="s">
        <v>681</v>
      </c>
      <c r="E2085" s="1" t="s">
        <v>590</v>
      </c>
      <c r="F2085" s="1" t="s">
        <v>55</v>
      </c>
      <c r="G2085" s="3">
        <v>0</v>
      </c>
      <c r="J2085" s="20" t="s">
        <v>3160</v>
      </c>
      <c r="K2085" s="20" t="s">
        <v>10013</v>
      </c>
      <c r="L2085" s="3">
        <v>26</v>
      </c>
      <c r="M2085" s="3" t="s">
        <v>10210</v>
      </c>
      <c r="N2085" s="3" t="str">
        <f>HYPERLINK("http://ictvonline.org/taxonomyHistory.asp?taxnode_id=20161941","ICTVonline=20161941")</f>
        <v>ICTVonline=20161941</v>
      </c>
    </row>
    <row r="2086" spans="1:14" x14ac:dyDescent="0.15">
      <c r="A2086" s="3">
        <v>2085</v>
      </c>
      <c r="B2086" s="1" t="s">
        <v>926</v>
      </c>
      <c r="C2086" s="1" t="s">
        <v>681</v>
      </c>
      <c r="E2086" s="1" t="s">
        <v>590</v>
      </c>
      <c r="F2086" s="1" t="s">
        <v>56</v>
      </c>
      <c r="G2086" s="3">
        <v>0</v>
      </c>
      <c r="J2086" s="20" t="s">
        <v>3160</v>
      </c>
      <c r="K2086" s="20" t="s">
        <v>10013</v>
      </c>
      <c r="L2086" s="3">
        <v>26</v>
      </c>
      <c r="M2086" s="3" t="s">
        <v>10210</v>
      </c>
      <c r="N2086" s="3" t="str">
        <f>HYPERLINK("http://ictvonline.org/taxonomyHistory.asp?taxnode_id=20161942","ICTVonline=20161942")</f>
        <v>ICTVonline=20161942</v>
      </c>
    </row>
    <row r="2087" spans="1:14" x14ac:dyDescent="0.15">
      <c r="A2087" s="3">
        <v>2086</v>
      </c>
      <c r="B2087" s="1" t="s">
        <v>926</v>
      </c>
      <c r="C2087" s="1" t="s">
        <v>681</v>
      </c>
      <c r="E2087" s="1" t="s">
        <v>590</v>
      </c>
      <c r="F2087" s="1" t="s">
        <v>57</v>
      </c>
      <c r="G2087" s="3">
        <v>0</v>
      </c>
      <c r="J2087" s="20" t="s">
        <v>3160</v>
      </c>
      <c r="K2087" s="20" t="s">
        <v>10013</v>
      </c>
      <c r="L2087" s="3">
        <v>26</v>
      </c>
      <c r="M2087" s="3" t="s">
        <v>10210</v>
      </c>
      <c r="N2087" s="3" t="str">
        <f>HYPERLINK("http://ictvonline.org/taxonomyHistory.asp?taxnode_id=20161943","ICTVonline=20161943")</f>
        <v>ICTVonline=20161943</v>
      </c>
    </row>
    <row r="2088" spans="1:14" x14ac:dyDescent="0.15">
      <c r="A2088" s="3">
        <v>2087</v>
      </c>
      <c r="B2088" s="1" t="s">
        <v>926</v>
      </c>
      <c r="C2088" s="1" t="s">
        <v>681</v>
      </c>
      <c r="E2088" s="1" t="s">
        <v>590</v>
      </c>
      <c r="F2088" s="1" t="s">
        <v>58</v>
      </c>
      <c r="G2088" s="3">
        <v>0</v>
      </c>
      <c r="J2088" s="20" t="s">
        <v>3160</v>
      </c>
      <c r="K2088" s="20" t="s">
        <v>10013</v>
      </c>
      <c r="L2088" s="3">
        <v>26</v>
      </c>
      <c r="M2088" s="3" t="s">
        <v>10210</v>
      </c>
      <c r="N2088" s="3" t="str">
        <f>HYPERLINK("http://ictvonline.org/taxonomyHistory.asp?taxnode_id=20161944","ICTVonline=20161944")</f>
        <v>ICTVonline=20161944</v>
      </c>
    </row>
    <row r="2089" spans="1:14" x14ac:dyDescent="0.15">
      <c r="A2089" s="3">
        <v>2088</v>
      </c>
      <c r="B2089" s="1" t="s">
        <v>926</v>
      </c>
      <c r="C2089" s="1" t="s">
        <v>565</v>
      </c>
      <c r="E2089" s="1" t="s">
        <v>566</v>
      </c>
      <c r="F2089" s="1" t="s">
        <v>567</v>
      </c>
      <c r="G2089" s="3">
        <v>1</v>
      </c>
      <c r="H2089" s="20" t="s">
        <v>4935</v>
      </c>
      <c r="I2089" s="20" t="s">
        <v>4936</v>
      </c>
      <c r="J2089" s="20" t="s">
        <v>10562</v>
      </c>
      <c r="K2089" s="20" t="s">
        <v>10016</v>
      </c>
      <c r="L2089" s="3">
        <v>17</v>
      </c>
      <c r="M2089" s="3" t="s">
        <v>10208</v>
      </c>
      <c r="N2089" s="3" t="str">
        <f>HYPERLINK("http://ictvonline.org/taxonomyHistory.asp?taxnode_id=20161948","ICTVonline=20161948")</f>
        <v>ICTVonline=20161948</v>
      </c>
    </row>
    <row r="2090" spans="1:14" x14ac:dyDescent="0.15">
      <c r="A2090" s="3">
        <v>2089</v>
      </c>
      <c r="B2090" s="1" t="s">
        <v>926</v>
      </c>
      <c r="C2090" s="1" t="s">
        <v>565</v>
      </c>
      <c r="E2090" s="1" t="s">
        <v>568</v>
      </c>
      <c r="F2090" s="1" t="s">
        <v>569</v>
      </c>
      <c r="G2090" s="3">
        <v>1</v>
      </c>
      <c r="H2090" s="20" t="s">
        <v>4937</v>
      </c>
      <c r="I2090" s="20" t="s">
        <v>6445</v>
      </c>
      <c r="J2090" s="20" t="s">
        <v>10562</v>
      </c>
      <c r="K2090" s="20" t="s">
        <v>10072</v>
      </c>
      <c r="L2090" s="3">
        <v>24</v>
      </c>
      <c r="M2090" s="3" t="s">
        <v>10211</v>
      </c>
      <c r="N2090" s="3" t="str">
        <f>HYPERLINK("http://ictvonline.org/taxonomyHistory.asp?taxnode_id=20161950","ICTVonline=20161950")</f>
        <v>ICTVonline=20161950</v>
      </c>
    </row>
    <row r="2091" spans="1:14" x14ac:dyDescent="0.15">
      <c r="A2091" s="3">
        <v>2090</v>
      </c>
      <c r="B2091" s="1" t="s">
        <v>926</v>
      </c>
      <c r="C2091" s="1" t="s">
        <v>565</v>
      </c>
      <c r="E2091" s="1" t="s">
        <v>570</v>
      </c>
      <c r="F2091" s="1" t="s">
        <v>571</v>
      </c>
      <c r="G2091" s="3">
        <v>0</v>
      </c>
      <c r="H2091" s="20" t="s">
        <v>4938</v>
      </c>
      <c r="I2091" s="20" t="s">
        <v>4939</v>
      </c>
      <c r="J2091" s="20" t="s">
        <v>10562</v>
      </c>
      <c r="K2091" s="20" t="s">
        <v>10013</v>
      </c>
      <c r="L2091" s="3">
        <v>17</v>
      </c>
      <c r="M2091" s="3" t="s">
        <v>10208</v>
      </c>
      <c r="N2091" s="3" t="str">
        <f>HYPERLINK("http://ictvonline.org/taxonomyHistory.asp?taxnode_id=20161952","ICTVonline=20161952")</f>
        <v>ICTVonline=20161952</v>
      </c>
    </row>
    <row r="2092" spans="1:14" x14ac:dyDescent="0.15">
      <c r="A2092" s="3">
        <v>2091</v>
      </c>
      <c r="B2092" s="1" t="s">
        <v>926</v>
      </c>
      <c r="C2092" s="1" t="s">
        <v>565</v>
      </c>
      <c r="E2092" s="1" t="s">
        <v>570</v>
      </c>
      <c r="F2092" s="1" t="s">
        <v>1787</v>
      </c>
      <c r="G2092" s="3">
        <v>1</v>
      </c>
      <c r="H2092" s="20" t="s">
        <v>4940</v>
      </c>
      <c r="I2092" s="20" t="s">
        <v>4941</v>
      </c>
      <c r="J2092" s="20" t="s">
        <v>10562</v>
      </c>
      <c r="K2092" s="20" t="s">
        <v>10076</v>
      </c>
      <c r="L2092" s="3">
        <v>17</v>
      </c>
      <c r="M2092" s="3" t="s">
        <v>10208</v>
      </c>
      <c r="N2092" s="3" t="str">
        <f>HYPERLINK("http://ictvonline.org/taxonomyHistory.asp?taxnode_id=20161953","ICTVonline=20161953")</f>
        <v>ICTVonline=20161953</v>
      </c>
    </row>
    <row r="2093" spans="1:14" x14ac:dyDescent="0.15">
      <c r="A2093" s="3">
        <v>2092</v>
      </c>
      <c r="B2093" s="1" t="s">
        <v>926</v>
      </c>
      <c r="C2093" s="1" t="s">
        <v>1788</v>
      </c>
      <c r="E2093" s="1" t="s">
        <v>1789</v>
      </c>
      <c r="F2093" s="1" t="s">
        <v>707</v>
      </c>
      <c r="G2093" s="3">
        <v>0</v>
      </c>
      <c r="J2093" s="20" t="s">
        <v>2860</v>
      </c>
      <c r="K2093" s="20" t="s">
        <v>10016</v>
      </c>
      <c r="L2093" s="3">
        <v>24</v>
      </c>
      <c r="M2093" s="3" t="s">
        <v>10212</v>
      </c>
      <c r="N2093" s="3" t="str">
        <f>HYPERLINK("http://ictvonline.org/taxonomyHistory.asp?taxnode_id=20161957","ICTVonline=20161957")</f>
        <v>ICTVonline=20161957</v>
      </c>
    </row>
    <row r="2094" spans="1:14" x14ac:dyDescent="0.15">
      <c r="A2094" s="3">
        <v>2093</v>
      </c>
      <c r="B2094" s="1" t="s">
        <v>926</v>
      </c>
      <c r="C2094" s="1" t="s">
        <v>1788</v>
      </c>
      <c r="E2094" s="1" t="s">
        <v>1789</v>
      </c>
      <c r="F2094" s="1" t="s">
        <v>708</v>
      </c>
      <c r="G2094" s="3">
        <v>0</v>
      </c>
      <c r="J2094" s="20" t="s">
        <v>2860</v>
      </c>
      <c r="K2094" s="20" t="s">
        <v>10016</v>
      </c>
      <c r="L2094" s="3">
        <v>24</v>
      </c>
      <c r="M2094" s="3" t="s">
        <v>10212</v>
      </c>
      <c r="N2094" s="3" t="str">
        <f>HYPERLINK("http://ictvonline.org/taxonomyHistory.asp?taxnode_id=20161958","ICTVonline=20161958")</f>
        <v>ICTVonline=20161958</v>
      </c>
    </row>
    <row r="2095" spans="1:14" x14ac:dyDescent="0.15">
      <c r="A2095" s="3">
        <v>2094</v>
      </c>
      <c r="B2095" s="1" t="s">
        <v>926</v>
      </c>
      <c r="C2095" s="1" t="s">
        <v>1788</v>
      </c>
      <c r="E2095" s="1" t="s">
        <v>1789</v>
      </c>
      <c r="F2095" s="1" t="s">
        <v>4942</v>
      </c>
      <c r="G2095" s="3">
        <v>0</v>
      </c>
      <c r="J2095" s="20" t="s">
        <v>2860</v>
      </c>
      <c r="K2095" s="20" t="s">
        <v>10021</v>
      </c>
      <c r="L2095" s="3">
        <v>30</v>
      </c>
      <c r="M2095" s="3" t="s">
        <v>10213</v>
      </c>
      <c r="N2095" s="3" t="str">
        <f>HYPERLINK("http://ictvonline.org/taxonomyHistory.asp?taxnode_id=20161959","ICTVonline=20161959")</f>
        <v>ICTVonline=20161959</v>
      </c>
    </row>
    <row r="2096" spans="1:14" x14ac:dyDescent="0.15">
      <c r="A2096" s="3">
        <v>2095</v>
      </c>
      <c r="B2096" s="1" t="s">
        <v>926</v>
      </c>
      <c r="C2096" s="1" t="s">
        <v>1788</v>
      </c>
      <c r="E2096" s="1" t="s">
        <v>1789</v>
      </c>
      <c r="F2096" s="1" t="s">
        <v>4943</v>
      </c>
      <c r="G2096" s="3">
        <v>0</v>
      </c>
      <c r="H2096" s="20" t="s">
        <v>6827</v>
      </c>
      <c r="I2096" s="20" t="s">
        <v>4943</v>
      </c>
      <c r="J2096" s="20" t="s">
        <v>2860</v>
      </c>
      <c r="K2096" s="20" t="s">
        <v>10013</v>
      </c>
      <c r="L2096" s="3">
        <v>30</v>
      </c>
      <c r="M2096" s="3" t="s">
        <v>10213</v>
      </c>
      <c r="N2096" s="3" t="str">
        <f>HYPERLINK("http://ictvonline.org/taxonomyHistory.asp?taxnode_id=20161960","ICTVonline=20161960")</f>
        <v>ICTVonline=20161960</v>
      </c>
    </row>
    <row r="2097" spans="1:14" x14ac:dyDescent="0.15">
      <c r="A2097" s="3">
        <v>2096</v>
      </c>
      <c r="B2097" s="1" t="s">
        <v>926</v>
      </c>
      <c r="C2097" s="1" t="s">
        <v>1788</v>
      </c>
      <c r="E2097" s="1" t="s">
        <v>1789</v>
      </c>
      <c r="F2097" s="1" t="s">
        <v>2300</v>
      </c>
      <c r="G2097" s="3">
        <v>0</v>
      </c>
      <c r="J2097" s="20" t="s">
        <v>2860</v>
      </c>
      <c r="K2097" s="20" t="s">
        <v>10013</v>
      </c>
      <c r="L2097" s="3">
        <v>27</v>
      </c>
      <c r="M2097" s="3" t="s">
        <v>10214</v>
      </c>
      <c r="N2097" s="3" t="str">
        <f>HYPERLINK("http://ictvonline.org/taxonomyHistory.asp?taxnode_id=20161961","ICTVonline=20161961")</f>
        <v>ICTVonline=20161961</v>
      </c>
    </row>
    <row r="2098" spans="1:14" x14ac:dyDescent="0.15">
      <c r="A2098" s="3">
        <v>2097</v>
      </c>
      <c r="B2098" s="1" t="s">
        <v>926</v>
      </c>
      <c r="C2098" s="1" t="s">
        <v>1788</v>
      </c>
      <c r="E2098" s="1" t="s">
        <v>1789</v>
      </c>
      <c r="F2098" s="1" t="s">
        <v>1805</v>
      </c>
      <c r="G2098" s="3">
        <v>0</v>
      </c>
      <c r="J2098" s="20" t="s">
        <v>2860</v>
      </c>
      <c r="K2098" s="20" t="s">
        <v>10016</v>
      </c>
      <c r="L2098" s="3">
        <v>24</v>
      </c>
      <c r="M2098" s="3" t="s">
        <v>10212</v>
      </c>
      <c r="N2098" s="3" t="str">
        <f>HYPERLINK("http://ictvonline.org/taxonomyHistory.asp?taxnode_id=20161962","ICTVonline=20161962")</f>
        <v>ICTVonline=20161962</v>
      </c>
    </row>
    <row r="2099" spans="1:14" x14ac:dyDescent="0.15">
      <c r="A2099" s="3">
        <v>2098</v>
      </c>
      <c r="B2099" s="1" t="s">
        <v>926</v>
      </c>
      <c r="C2099" s="1" t="s">
        <v>1788</v>
      </c>
      <c r="E2099" s="1" t="s">
        <v>1789</v>
      </c>
      <c r="F2099" s="1" t="s">
        <v>709</v>
      </c>
      <c r="G2099" s="3">
        <v>1</v>
      </c>
      <c r="J2099" s="20" t="s">
        <v>2860</v>
      </c>
      <c r="K2099" s="20" t="s">
        <v>10016</v>
      </c>
      <c r="L2099" s="3">
        <v>24</v>
      </c>
      <c r="M2099" s="3" t="s">
        <v>10212</v>
      </c>
      <c r="N2099" s="3" t="str">
        <f>HYPERLINK("http://ictvonline.org/taxonomyHistory.asp?taxnode_id=20161963","ICTVonline=20161963")</f>
        <v>ICTVonline=20161963</v>
      </c>
    </row>
    <row r="2100" spans="1:14" x14ac:dyDescent="0.15">
      <c r="A2100" s="3">
        <v>2099</v>
      </c>
      <c r="B2100" s="1" t="s">
        <v>926</v>
      </c>
      <c r="C2100" s="1" t="s">
        <v>1788</v>
      </c>
      <c r="E2100" s="1" t="s">
        <v>1789</v>
      </c>
      <c r="F2100" s="1" t="s">
        <v>710</v>
      </c>
      <c r="G2100" s="3">
        <v>0</v>
      </c>
      <c r="J2100" s="20" t="s">
        <v>2860</v>
      </c>
      <c r="K2100" s="20" t="s">
        <v>10016</v>
      </c>
      <c r="L2100" s="3">
        <v>24</v>
      </c>
      <c r="M2100" s="3" t="s">
        <v>10212</v>
      </c>
      <c r="N2100" s="3" t="str">
        <f>HYPERLINK("http://ictvonline.org/taxonomyHistory.asp?taxnode_id=20161964","ICTVonline=20161964")</f>
        <v>ICTVonline=20161964</v>
      </c>
    </row>
    <row r="2101" spans="1:14" x14ac:dyDescent="0.15">
      <c r="A2101" s="3">
        <v>2100</v>
      </c>
      <c r="B2101" s="1" t="s">
        <v>926</v>
      </c>
      <c r="C2101" s="1" t="s">
        <v>1788</v>
      </c>
      <c r="E2101" s="1" t="s">
        <v>1789</v>
      </c>
      <c r="F2101" s="1" t="s">
        <v>711</v>
      </c>
      <c r="G2101" s="3">
        <v>0</v>
      </c>
      <c r="J2101" s="20" t="s">
        <v>2860</v>
      </c>
      <c r="K2101" s="20" t="s">
        <v>10016</v>
      </c>
      <c r="L2101" s="3">
        <v>24</v>
      </c>
      <c r="M2101" s="3" t="s">
        <v>10212</v>
      </c>
      <c r="N2101" s="3" t="str">
        <f>HYPERLINK("http://ictvonline.org/taxonomyHistory.asp?taxnode_id=20161965","ICTVonline=20161965")</f>
        <v>ICTVonline=20161965</v>
      </c>
    </row>
    <row r="2102" spans="1:14" x14ac:dyDescent="0.15">
      <c r="A2102" s="3">
        <v>2101</v>
      </c>
      <c r="B2102" s="1" t="s">
        <v>926</v>
      </c>
      <c r="C2102" s="1" t="s">
        <v>1788</v>
      </c>
      <c r="E2102" s="1" t="s">
        <v>1789</v>
      </c>
      <c r="F2102" s="1" t="s">
        <v>9122</v>
      </c>
      <c r="G2102" s="3">
        <v>0</v>
      </c>
      <c r="H2102" s="20" t="s">
        <v>9123</v>
      </c>
      <c r="I2102" s="20" t="s">
        <v>9124</v>
      </c>
      <c r="J2102" s="20" t="s">
        <v>2860</v>
      </c>
      <c r="K2102" s="20" t="s">
        <v>10013</v>
      </c>
      <c r="L2102" s="3">
        <v>31</v>
      </c>
      <c r="M2102" s="3" t="s">
        <v>9125</v>
      </c>
      <c r="N2102" s="3" t="str">
        <f>HYPERLINK("http://ictvonline.org/taxonomyHistory.asp?taxnode_id=20165233","ICTVonline=20165233")</f>
        <v>ICTVonline=20165233</v>
      </c>
    </row>
    <row r="2103" spans="1:14" x14ac:dyDescent="0.15">
      <c r="A2103" s="3">
        <v>2102</v>
      </c>
      <c r="B2103" s="1" t="s">
        <v>926</v>
      </c>
      <c r="C2103" s="1" t="s">
        <v>1788</v>
      </c>
      <c r="E2103" s="1" t="s">
        <v>1789</v>
      </c>
      <c r="F2103" s="1" t="s">
        <v>712</v>
      </c>
      <c r="G2103" s="3">
        <v>0</v>
      </c>
      <c r="J2103" s="20" t="s">
        <v>2860</v>
      </c>
      <c r="K2103" s="20" t="s">
        <v>10016</v>
      </c>
      <c r="L2103" s="3">
        <v>24</v>
      </c>
      <c r="M2103" s="3" t="s">
        <v>10212</v>
      </c>
      <c r="N2103" s="3" t="str">
        <f>HYPERLINK("http://ictvonline.org/taxonomyHistory.asp?taxnode_id=20161966","ICTVonline=20161966")</f>
        <v>ICTVonline=20161966</v>
      </c>
    </row>
    <row r="2104" spans="1:14" x14ac:dyDescent="0.15">
      <c r="A2104" s="3">
        <v>2103</v>
      </c>
      <c r="B2104" s="1" t="s">
        <v>926</v>
      </c>
      <c r="C2104" s="1" t="s">
        <v>1788</v>
      </c>
      <c r="E2104" s="1" t="s">
        <v>1789</v>
      </c>
      <c r="F2104" s="1" t="s">
        <v>1809</v>
      </c>
      <c r="G2104" s="3">
        <v>0</v>
      </c>
      <c r="J2104" s="20" t="s">
        <v>2860</v>
      </c>
      <c r="K2104" s="20" t="s">
        <v>10016</v>
      </c>
      <c r="L2104" s="3">
        <v>24</v>
      </c>
      <c r="M2104" s="3" t="s">
        <v>10212</v>
      </c>
      <c r="N2104" s="3" t="str">
        <f>HYPERLINK("http://ictvonline.org/taxonomyHistory.asp?taxnode_id=20161967","ICTVonline=20161967")</f>
        <v>ICTVonline=20161967</v>
      </c>
    </row>
    <row r="2105" spans="1:14" x14ac:dyDescent="0.15">
      <c r="A2105" s="3">
        <v>2104</v>
      </c>
      <c r="B2105" s="1" t="s">
        <v>926</v>
      </c>
      <c r="C2105" s="1" t="s">
        <v>1788</v>
      </c>
      <c r="E2105" s="1" t="s">
        <v>1789</v>
      </c>
      <c r="F2105" s="1" t="s">
        <v>9126</v>
      </c>
      <c r="G2105" s="3">
        <v>0</v>
      </c>
      <c r="H2105" s="20" t="s">
        <v>9127</v>
      </c>
      <c r="I2105" s="20" t="s">
        <v>9128</v>
      </c>
      <c r="J2105" s="20" t="s">
        <v>2860</v>
      </c>
      <c r="K2105" s="20" t="s">
        <v>10013</v>
      </c>
      <c r="L2105" s="3">
        <v>31</v>
      </c>
      <c r="M2105" s="3" t="s">
        <v>9129</v>
      </c>
      <c r="N2105" s="3" t="str">
        <f>HYPERLINK("http://ictvonline.org/taxonomyHistory.asp?taxnode_id=20165234","ICTVonline=20165234")</f>
        <v>ICTVonline=20165234</v>
      </c>
    </row>
    <row r="2106" spans="1:14" x14ac:dyDescent="0.15">
      <c r="A2106" s="3">
        <v>2105</v>
      </c>
      <c r="B2106" s="1" t="s">
        <v>926</v>
      </c>
      <c r="C2106" s="1" t="s">
        <v>1788</v>
      </c>
      <c r="E2106" s="1" t="s">
        <v>1789</v>
      </c>
      <c r="F2106" s="1" t="s">
        <v>1811</v>
      </c>
      <c r="G2106" s="3">
        <v>0</v>
      </c>
      <c r="J2106" s="20" t="s">
        <v>2860</v>
      </c>
      <c r="K2106" s="20" t="s">
        <v>10016</v>
      </c>
      <c r="L2106" s="3">
        <v>24</v>
      </c>
      <c r="M2106" s="3" t="s">
        <v>10212</v>
      </c>
      <c r="N2106" s="3" t="str">
        <f>HYPERLINK("http://ictvonline.org/taxonomyHistory.asp?taxnode_id=20161968","ICTVonline=20161968")</f>
        <v>ICTVonline=20161968</v>
      </c>
    </row>
    <row r="2107" spans="1:14" x14ac:dyDescent="0.15">
      <c r="A2107" s="3">
        <v>2106</v>
      </c>
      <c r="B2107" s="1" t="s">
        <v>926</v>
      </c>
      <c r="C2107" s="1" t="s">
        <v>1788</v>
      </c>
      <c r="E2107" s="1" t="s">
        <v>1789</v>
      </c>
      <c r="F2107" s="1" t="s">
        <v>2301</v>
      </c>
      <c r="G2107" s="3">
        <v>0</v>
      </c>
      <c r="J2107" s="20" t="s">
        <v>2860</v>
      </c>
      <c r="K2107" s="20" t="s">
        <v>10013</v>
      </c>
      <c r="L2107" s="3">
        <v>27</v>
      </c>
      <c r="M2107" s="3" t="s">
        <v>10214</v>
      </c>
      <c r="N2107" s="3" t="str">
        <f>HYPERLINK("http://ictvonline.org/taxonomyHistory.asp?taxnode_id=20161969","ICTVonline=20161969")</f>
        <v>ICTVonline=20161969</v>
      </c>
    </row>
    <row r="2108" spans="1:14" x14ac:dyDescent="0.15">
      <c r="A2108" s="3">
        <v>2107</v>
      </c>
      <c r="B2108" s="1" t="s">
        <v>926</v>
      </c>
      <c r="C2108" s="1" t="s">
        <v>1788</v>
      </c>
      <c r="E2108" s="1" t="s">
        <v>1789</v>
      </c>
      <c r="F2108" s="1" t="s">
        <v>4944</v>
      </c>
      <c r="G2108" s="3">
        <v>0</v>
      </c>
      <c r="H2108" s="20" t="s">
        <v>6828</v>
      </c>
      <c r="I2108" s="20" t="s">
        <v>4945</v>
      </c>
      <c r="J2108" s="20" t="s">
        <v>2860</v>
      </c>
      <c r="K2108" s="20" t="s">
        <v>10013</v>
      </c>
      <c r="L2108" s="3">
        <v>30</v>
      </c>
      <c r="M2108" s="3" t="s">
        <v>10215</v>
      </c>
      <c r="N2108" s="3" t="str">
        <f>HYPERLINK("http://ictvonline.org/taxonomyHistory.asp?taxnode_id=20161970","ICTVonline=20161970")</f>
        <v>ICTVonline=20161970</v>
      </c>
    </row>
    <row r="2109" spans="1:14" x14ac:dyDescent="0.15">
      <c r="A2109" s="3">
        <v>2108</v>
      </c>
      <c r="B2109" s="1" t="s">
        <v>926</v>
      </c>
      <c r="C2109" s="1" t="s">
        <v>1788</v>
      </c>
      <c r="E2109" s="1" t="s">
        <v>1789</v>
      </c>
      <c r="F2109" s="1" t="s">
        <v>2302</v>
      </c>
      <c r="G2109" s="3">
        <v>0</v>
      </c>
      <c r="J2109" s="20" t="s">
        <v>2860</v>
      </c>
      <c r="K2109" s="20" t="s">
        <v>10013</v>
      </c>
      <c r="L2109" s="3">
        <v>27</v>
      </c>
      <c r="M2109" s="3" t="s">
        <v>10214</v>
      </c>
      <c r="N2109" s="3" t="str">
        <f>HYPERLINK("http://ictvonline.org/taxonomyHistory.asp?taxnode_id=20161971","ICTVonline=20161971")</f>
        <v>ICTVonline=20161971</v>
      </c>
    </row>
    <row r="2110" spans="1:14" x14ac:dyDescent="0.15">
      <c r="A2110" s="3">
        <v>2109</v>
      </c>
      <c r="B2110" s="1" t="s">
        <v>926</v>
      </c>
      <c r="C2110" s="1" t="s">
        <v>1788</v>
      </c>
      <c r="E2110" s="1" t="s">
        <v>1789</v>
      </c>
      <c r="F2110" s="1" t="s">
        <v>1812</v>
      </c>
      <c r="G2110" s="3">
        <v>0</v>
      </c>
      <c r="J2110" s="20" t="s">
        <v>2860</v>
      </c>
      <c r="K2110" s="20" t="s">
        <v>10014</v>
      </c>
      <c r="L2110" s="3">
        <v>24</v>
      </c>
      <c r="M2110" s="3" t="s">
        <v>10212</v>
      </c>
      <c r="N2110" s="3" t="str">
        <f>HYPERLINK("http://ictvonline.org/taxonomyHistory.asp?taxnode_id=20161972","ICTVonline=20161972")</f>
        <v>ICTVonline=20161972</v>
      </c>
    </row>
    <row r="2111" spans="1:14" x14ac:dyDescent="0.15">
      <c r="A2111" s="3">
        <v>2110</v>
      </c>
      <c r="B2111" s="1" t="s">
        <v>926</v>
      </c>
      <c r="C2111" s="1" t="s">
        <v>1788</v>
      </c>
      <c r="E2111" s="1" t="s">
        <v>1789</v>
      </c>
      <c r="F2111" s="1" t="s">
        <v>1813</v>
      </c>
      <c r="G2111" s="3">
        <v>0</v>
      </c>
      <c r="J2111" s="20" t="s">
        <v>2860</v>
      </c>
      <c r="K2111" s="20" t="s">
        <v>10016</v>
      </c>
      <c r="L2111" s="3">
        <v>24</v>
      </c>
      <c r="M2111" s="3" t="s">
        <v>10212</v>
      </c>
      <c r="N2111" s="3" t="str">
        <f>HYPERLINK("http://ictvonline.org/taxonomyHistory.asp?taxnode_id=20161973","ICTVonline=20161973")</f>
        <v>ICTVonline=20161973</v>
      </c>
    </row>
    <row r="2112" spans="1:14" x14ac:dyDescent="0.15">
      <c r="A2112" s="3">
        <v>2111</v>
      </c>
      <c r="B2112" s="1" t="s">
        <v>926</v>
      </c>
      <c r="C2112" s="1" t="s">
        <v>1788</v>
      </c>
      <c r="E2112" s="1" t="s">
        <v>1789</v>
      </c>
      <c r="F2112" s="1" t="s">
        <v>2303</v>
      </c>
      <c r="G2112" s="3">
        <v>0</v>
      </c>
      <c r="J2112" s="20" t="s">
        <v>2860</v>
      </c>
      <c r="K2112" s="20" t="s">
        <v>10013</v>
      </c>
      <c r="L2112" s="3">
        <v>27</v>
      </c>
      <c r="M2112" s="3" t="s">
        <v>10214</v>
      </c>
      <c r="N2112" s="3" t="str">
        <f>HYPERLINK("http://ictvonline.org/taxonomyHistory.asp?taxnode_id=20161974","ICTVonline=20161974")</f>
        <v>ICTVonline=20161974</v>
      </c>
    </row>
    <row r="2113" spans="1:14" x14ac:dyDescent="0.15">
      <c r="A2113" s="3">
        <v>2112</v>
      </c>
      <c r="B2113" s="1" t="s">
        <v>926</v>
      </c>
      <c r="C2113" s="1" t="s">
        <v>1788</v>
      </c>
      <c r="E2113" s="1" t="s">
        <v>1789</v>
      </c>
      <c r="F2113" s="1" t="s">
        <v>1814</v>
      </c>
      <c r="G2113" s="3">
        <v>0</v>
      </c>
      <c r="J2113" s="20" t="s">
        <v>2860</v>
      </c>
      <c r="K2113" s="20" t="s">
        <v>10216</v>
      </c>
      <c r="L2113" s="3">
        <v>29</v>
      </c>
      <c r="M2113" s="3" t="s">
        <v>10217</v>
      </c>
      <c r="N2113" s="3" t="str">
        <f>HYPERLINK("http://ictvonline.org/taxonomyHistory.asp?taxnode_id=20161975","ICTVonline=20161975")</f>
        <v>ICTVonline=20161975</v>
      </c>
    </row>
    <row r="2114" spans="1:14" x14ac:dyDescent="0.15">
      <c r="A2114" s="3">
        <v>2113</v>
      </c>
      <c r="B2114" s="1" t="s">
        <v>926</v>
      </c>
      <c r="C2114" s="1" t="s">
        <v>1788</v>
      </c>
      <c r="E2114" s="1" t="s">
        <v>1789</v>
      </c>
      <c r="F2114" s="1" t="s">
        <v>2304</v>
      </c>
      <c r="G2114" s="3">
        <v>0</v>
      </c>
      <c r="J2114" s="20" t="s">
        <v>2860</v>
      </c>
      <c r="K2114" s="20" t="s">
        <v>10013</v>
      </c>
      <c r="L2114" s="3">
        <v>27</v>
      </c>
      <c r="M2114" s="3" t="s">
        <v>10214</v>
      </c>
      <c r="N2114" s="3" t="str">
        <f>HYPERLINK("http://ictvonline.org/taxonomyHistory.asp?taxnode_id=20161976","ICTVonline=20161976")</f>
        <v>ICTVonline=20161976</v>
      </c>
    </row>
    <row r="2115" spans="1:14" x14ac:dyDescent="0.15">
      <c r="A2115" s="3">
        <v>2114</v>
      </c>
      <c r="B2115" s="1" t="s">
        <v>926</v>
      </c>
      <c r="C2115" s="1" t="s">
        <v>1788</v>
      </c>
      <c r="E2115" s="1" t="s">
        <v>1789</v>
      </c>
      <c r="F2115" s="1" t="s">
        <v>9130</v>
      </c>
      <c r="G2115" s="3">
        <v>0</v>
      </c>
      <c r="H2115" s="20" t="s">
        <v>9131</v>
      </c>
      <c r="I2115" s="20" t="s">
        <v>9132</v>
      </c>
      <c r="J2115" s="20" t="s">
        <v>2860</v>
      </c>
      <c r="K2115" s="20" t="s">
        <v>10013</v>
      </c>
      <c r="L2115" s="3">
        <v>31</v>
      </c>
      <c r="M2115" s="3" t="s">
        <v>9129</v>
      </c>
      <c r="N2115" s="3" t="str">
        <f>HYPERLINK("http://ictvonline.org/taxonomyHistory.asp?taxnode_id=20165235","ICTVonline=20165235")</f>
        <v>ICTVonline=20165235</v>
      </c>
    </row>
    <row r="2116" spans="1:14" x14ac:dyDescent="0.15">
      <c r="A2116" s="3">
        <v>2115</v>
      </c>
      <c r="B2116" s="1" t="s">
        <v>926</v>
      </c>
      <c r="C2116" s="1" t="s">
        <v>1788</v>
      </c>
      <c r="E2116" s="1" t="s">
        <v>1789</v>
      </c>
      <c r="F2116" s="1" t="s">
        <v>2305</v>
      </c>
      <c r="G2116" s="3">
        <v>0</v>
      </c>
      <c r="J2116" s="20" t="s">
        <v>2860</v>
      </c>
      <c r="K2116" s="20" t="s">
        <v>10013</v>
      </c>
      <c r="L2116" s="3">
        <v>27</v>
      </c>
      <c r="M2116" s="3" t="s">
        <v>10214</v>
      </c>
      <c r="N2116" s="3" t="str">
        <f>HYPERLINK("http://ictvonline.org/taxonomyHistory.asp?taxnode_id=20161977","ICTVonline=20161977")</f>
        <v>ICTVonline=20161977</v>
      </c>
    </row>
    <row r="2117" spans="1:14" x14ac:dyDescent="0.15">
      <c r="A2117" s="3">
        <v>2116</v>
      </c>
      <c r="B2117" s="1" t="s">
        <v>926</v>
      </c>
      <c r="C2117" s="1" t="s">
        <v>1788</v>
      </c>
      <c r="E2117" s="1" t="s">
        <v>1789</v>
      </c>
      <c r="F2117" s="1" t="s">
        <v>1815</v>
      </c>
      <c r="G2117" s="3">
        <v>0</v>
      </c>
      <c r="J2117" s="20" t="s">
        <v>2860</v>
      </c>
      <c r="K2117" s="20" t="s">
        <v>10016</v>
      </c>
      <c r="L2117" s="3">
        <v>24</v>
      </c>
      <c r="M2117" s="3" t="s">
        <v>10212</v>
      </c>
      <c r="N2117" s="3" t="str">
        <f>HYPERLINK("http://ictvonline.org/taxonomyHistory.asp?taxnode_id=20161978","ICTVonline=20161978")</f>
        <v>ICTVonline=20161978</v>
      </c>
    </row>
    <row r="2118" spans="1:14" x14ac:dyDescent="0.15">
      <c r="A2118" s="3">
        <v>2117</v>
      </c>
      <c r="B2118" s="1" t="s">
        <v>926</v>
      </c>
      <c r="C2118" s="1" t="s">
        <v>1788</v>
      </c>
      <c r="E2118" s="1" t="s">
        <v>1789</v>
      </c>
      <c r="F2118" s="1" t="s">
        <v>9133</v>
      </c>
      <c r="G2118" s="3">
        <v>0</v>
      </c>
      <c r="H2118" s="20" t="s">
        <v>9134</v>
      </c>
      <c r="I2118" s="20" t="s">
        <v>9135</v>
      </c>
      <c r="J2118" s="20" t="s">
        <v>2860</v>
      </c>
      <c r="K2118" s="20" t="s">
        <v>10013</v>
      </c>
      <c r="L2118" s="3">
        <v>31</v>
      </c>
      <c r="M2118" s="3" t="s">
        <v>9129</v>
      </c>
      <c r="N2118" s="3" t="str">
        <f>HYPERLINK("http://ictvonline.org/taxonomyHistory.asp?taxnode_id=20165236","ICTVonline=20165236")</f>
        <v>ICTVonline=20165236</v>
      </c>
    </row>
    <row r="2119" spans="1:14" x14ac:dyDescent="0.15">
      <c r="A2119" s="3">
        <v>2118</v>
      </c>
      <c r="B2119" s="1" t="s">
        <v>926</v>
      </c>
      <c r="C2119" s="1" t="s">
        <v>1788</v>
      </c>
      <c r="E2119" s="1" t="s">
        <v>1789</v>
      </c>
      <c r="F2119" s="1" t="s">
        <v>714</v>
      </c>
      <c r="G2119" s="3">
        <v>0</v>
      </c>
      <c r="J2119" s="20" t="s">
        <v>2860</v>
      </c>
      <c r="K2119" s="20" t="s">
        <v>10016</v>
      </c>
      <c r="L2119" s="3">
        <v>24</v>
      </c>
      <c r="M2119" s="3" t="s">
        <v>10212</v>
      </c>
      <c r="N2119" s="3" t="str">
        <f>HYPERLINK("http://ictvonline.org/taxonomyHistory.asp?taxnode_id=20161979","ICTVonline=20161979")</f>
        <v>ICTVonline=20161979</v>
      </c>
    </row>
    <row r="2120" spans="1:14" x14ac:dyDescent="0.15">
      <c r="A2120" s="3">
        <v>2119</v>
      </c>
      <c r="B2120" s="1" t="s">
        <v>926</v>
      </c>
      <c r="C2120" s="1" t="s">
        <v>1788</v>
      </c>
      <c r="E2120" s="1" t="s">
        <v>1789</v>
      </c>
      <c r="F2120" s="1" t="s">
        <v>715</v>
      </c>
      <c r="G2120" s="3">
        <v>0</v>
      </c>
      <c r="J2120" s="20" t="s">
        <v>2860</v>
      </c>
      <c r="K2120" s="20" t="s">
        <v>10016</v>
      </c>
      <c r="L2120" s="3">
        <v>24</v>
      </c>
      <c r="M2120" s="3" t="s">
        <v>10212</v>
      </c>
      <c r="N2120" s="3" t="str">
        <f>HYPERLINK("http://ictvonline.org/taxonomyHistory.asp?taxnode_id=20161980","ICTVonline=20161980")</f>
        <v>ICTVonline=20161980</v>
      </c>
    </row>
    <row r="2121" spans="1:14" x14ac:dyDescent="0.15">
      <c r="A2121" s="3">
        <v>2120</v>
      </c>
      <c r="B2121" s="1" t="s">
        <v>926</v>
      </c>
      <c r="C2121" s="1" t="s">
        <v>1788</v>
      </c>
      <c r="E2121" s="1" t="s">
        <v>1789</v>
      </c>
      <c r="F2121" s="1" t="s">
        <v>716</v>
      </c>
      <c r="G2121" s="3">
        <v>0</v>
      </c>
      <c r="J2121" s="20" t="s">
        <v>2860</v>
      </c>
      <c r="K2121" s="20" t="s">
        <v>10016</v>
      </c>
      <c r="L2121" s="3">
        <v>24</v>
      </c>
      <c r="M2121" s="3" t="s">
        <v>10212</v>
      </c>
      <c r="N2121" s="3" t="str">
        <f>HYPERLINK("http://ictvonline.org/taxonomyHistory.asp?taxnode_id=20161981","ICTVonline=20161981")</f>
        <v>ICTVonline=20161981</v>
      </c>
    </row>
    <row r="2122" spans="1:14" x14ac:dyDescent="0.15">
      <c r="A2122" s="3">
        <v>2121</v>
      </c>
      <c r="B2122" s="1" t="s">
        <v>926</v>
      </c>
      <c r="C2122" s="1" t="s">
        <v>1788</v>
      </c>
      <c r="E2122" s="1" t="s">
        <v>1789</v>
      </c>
      <c r="F2122" s="1" t="s">
        <v>2306</v>
      </c>
      <c r="G2122" s="3">
        <v>0</v>
      </c>
      <c r="J2122" s="20" t="s">
        <v>2860</v>
      </c>
      <c r="K2122" s="20" t="s">
        <v>10013</v>
      </c>
      <c r="L2122" s="3">
        <v>27</v>
      </c>
      <c r="M2122" s="3" t="s">
        <v>10214</v>
      </c>
      <c r="N2122" s="3" t="str">
        <f>HYPERLINK("http://ictvonline.org/taxonomyHistory.asp?taxnode_id=20161982","ICTVonline=20161982")</f>
        <v>ICTVonline=20161982</v>
      </c>
    </row>
    <row r="2123" spans="1:14" x14ac:dyDescent="0.15">
      <c r="A2123" s="3">
        <v>2122</v>
      </c>
      <c r="B2123" s="1" t="s">
        <v>926</v>
      </c>
      <c r="C2123" s="1" t="s">
        <v>1788</v>
      </c>
      <c r="E2123" s="1" t="s">
        <v>1789</v>
      </c>
      <c r="F2123" s="1" t="s">
        <v>9136</v>
      </c>
      <c r="G2123" s="3">
        <v>0</v>
      </c>
      <c r="H2123" s="20" t="s">
        <v>9137</v>
      </c>
      <c r="I2123" s="20" t="s">
        <v>9138</v>
      </c>
      <c r="J2123" s="20" t="s">
        <v>2860</v>
      </c>
      <c r="K2123" s="20" t="s">
        <v>10013</v>
      </c>
      <c r="L2123" s="3">
        <v>31</v>
      </c>
      <c r="M2123" s="3" t="s">
        <v>9129</v>
      </c>
      <c r="N2123" s="3" t="str">
        <f>HYPERLINK("http://ictvonline.org/taxonomyHistory.asp?taxnode_id=20165237","ICTVonline=20165237")</f>
        <v>ICTVonline=20165237</v>
      </c>
    </row>
    <row r="2124" spans="1:14" x14ac:dyDescent="0.15">
      <c r="A2124" s="3">
        <v>2123</v>
      </c>
      <c r="B2124" s="1" t="s">
        <v>926</v>
      </c>
      <c r="C2124" s="1" t="s">
        <v>1788</v>
      </c>
      <c r="E2124" s="1" t="s">
        <v>1789</v>
      </c>
      <c r="F2124" s="1" t="s">
        <v>717</v>
      </c>
      <c r="G2124" s="3">
        <v>0</v>
      </c>
      <c r="J2124" s="20" t="s">
        <v>2860</v>
      </c>
      <c r="K2124" s="20" t="s">
        <v>10016</v>
      </c>
      <c r="L2124" s="3">
        <v>24</v>
      </c>
      <c r="M2124" s="3" t="s">
        <v>10212</v>
      </c>
      <c r="N2124" s="3" t="str">
        <f>HYPERLINK("http://ictvonline.org/taxonomyHistory.asp?taxnode_id=20161983","ICTVonline=20161983")</f>
        <v>ICTVonline=20161983</v>
      </c>
    </row>
    <row r="2125" spans="1:14" x14ac:dyDescent="0.15">
      <c r="A2125" s="3">
        <v>2124</v>
      </c>
      <c r="B2125" s="1" t="s">
        <v>926</v>
      </c>
      <c r="C2125" s="1" t="s">
        <v>1788</v>
      </c>
      <c r="E2125" s="1" t="s">
        <v>1789</v>
      </c>
      <c r="F2125" s="1" t="s">
        <v>718</v>
      </c>
      <c r="G2125" s="3">
        <v>0</v>
      </c>
      <c r="J2125" s="20" t="s">
        <v>2860</v>
      </c>
      <c r="K2125" s="20" t="s">
        <v>10016</v>
      </c>
      <c r="L2125" s="3">
        <v>24</v>
      </c>
      <c r="M2125" s="3" t="s">
        <v>10212</v>
      </c>
      <c r="N2125" s="3" t="str">
        <f>HYPERLINK("http://ictvonline.org/taxonomyHistory.asp?taxnode_id=20161984","ICTVonline=20161984")</f>
        <v>ICTVonline=20161984</v>
      </c>
    </row>
    <row r="2126" spans="1:14" x14ac:dyDescent="0.15">
      <c r="A2126" s="3">
        <v>2125</v>
      </c>
      <c r="B2126" s="1" t="s">
        <v>926</v>
      </c>
      <c r="C2126" s="1" t="s">
        <v>1788</v>
      </c>
      <c r="E2126" s="1" t="s">
        <v>1789</v>
      </c>
      <c r="F2126" s="1" t="s">
        <v>822</v>
      </c>
      <c r="G2126" s="3">
        <v>0</v>
      </c>
      <c r="J2126" s="20" t="s">
        <v>2860</v>
      </c>
      <c r="K2126" s="20" t="s">
        <v>10016</v>
      </c>
      <c r="L2126" s="3">
        <v>24</v>
      </c>
      <c r="M2126" s="3" t="s">
        <v>10212</v>
      </c>
      <c r="N2126" s="3" t="str">
        <f>HYPERLINK("http://ictvonline.org/taxonomyHistory.asp?taxnode_id=20161985","ICTVonline=20161985")</f>
        <v>ICTVonline=20161985</v>
      </c>
    </row>
    <row r="2127" spans="1:14" x14ac:dyDescent="0.15">
      <c r="A2127" s="3">
        <v>2126</v>
      </c>
      <c r="B2127" s="1" t="s">
        <v>926</v>
      </c>
      <c r="C2127" s="1" t="s">
        <v>1788</v>
      </c>
      <c r="E2127" s="1" t="s">
        <v>1789</v>
      </c>
      <c r="F2127" s="1" t="s">
        <v>823</v>
      </c>
      <c r="G2127" s="3">
        <v>0</v>
      </c>
      <c r="J2127" s="20" t="s">
        <v>2860</v>
      </c>
      <c r="K2127" s="20" t="s">
        <v>10016</v>
      </c>
      <c r="L2127" s="3">
        <v>24</v>
      </c>
      <c r="M2127" s="3" t="s">
        <v>10212</v>
      </c>
      <c r="N2127" s="3" t="str">
        <f>HYPERLINK("http://ictvonline.org/taxonomyHistory.asp?taxnode_id=20161986","ICTVonline=20161986")</f>
        <v>ICTVonline=20161986</v>
      </c>
    </row>
    <row r="2128" spans="1:14" x14ac:dyDescent="0.15">
      <c r="A2128" s="3">
        <v>2127</v>
      </c>
      <c r="B2128" s="1" t="s">
        <v>926</v>
      </c>
      <c r="C2128" s="1" t="s">
        <v>1788</v>
      </c>
      <c r="E2128" s="1" t="s">
        <v>1789</v>
      </c>
      <c r="F2128" s="1" t="s">
        <v>824</v>
      </c>
      <c r="G2128" s="3">
        <v>0</v>
      </c>
      <c r="J2128" s="20" t="s">
        <v>2860</v>
      </c>
      <c r="K2128" s="20" t="s">
        <v>10016</v>
      </c>
      <c r="L2128" s="3">
        <v>24</v>
      </c>
      <c r="M2128" s="3" t="s">
        <v>10212</v>
      </c>
      <c r="N2128" s="3" t="str">
        <f>HYPERLINK("http://ictvonline.org/taxonomyHistory.asp?taxnode_id=20161987","ICTVonline=20161987")</f>
        <v>ICTVonline=20161987</v>
      </c>
    </row>
    <row r="2129" spans="1:14" x14ac:dyDescent="0.15">
      <c r="A2129" s="3">
        <v>2128</v>
      </c>
      <c r="B2129" s="1" t="s">
        <v>926</v>
      </c>
      <c r="C2129" s="1" t="s">
        <v>1788</v>
      </c>
      <c r="E2129" s="1" t="s">
        <v>1789</v>
      </c>
      <c r="F2129" s="1" t="s">
        <v>4946</v>
      </c>
      <c r="G2129" s="3">
        <v>0</v>
      </c>
      <c r="H2129" s="20" t="s">
        <v>6829</v>
      </c>
      <c r="I2129" s="20" t="s">
        <v>4947</v>
      </c>
      <c r="J2129" s="20" t="s">
        <v>2860</v>
      </c>
      <c r="K2129" s="20" t="s">
        <v>10013</v>
      </c>
      <c r="L2129" s="3">
        <v>30</v>
      </c>
      <c r="M2129" s="3" t="s">
        <v>10218</v>
      </c>
      <c r="N2129" s="3" t="str">
        <f>HYPERLINK("http://ictvonline.org/taxonomyHistory.asp?taxnode_id=20161988","ICTVonline=20161988")</f>
        <v>ICTVonline=20161988</v>
      </c>
    </row>
    <row r="2130" spans="1:14" x14ac:dyDescent="0.15">
      <c r="A2130" s="3">
        <v>2129</v>
      </c>
      <c r="B2130" s="1" t="s">
        <v>926</v>
      </c>
      <c r="C2130" s="1" t="s">
        <v>1788</v>
      </c>
      <c r="E2130" s="1" t="s">
        <v>1789</v>
      </c>
      <c r="F2130" s="1" t="s">
        <v>825</v>
      </c>
      <c r="G2130" s="3">
        <v>0</v>
      </c>
      <c r="J2130" s="20" t="s">
        <v>2860</v>
      </c>
      <c r="K2130" s="20" t="s">
        <v>10016</v>
      </c>
      <c r="L2130" s="3">
        <v>24</v>
      </c>
      <c r="M2130" s="3" t="s">
        <v>10212</v>
      </c>
      <c r="N2130" s="3" t="str">
        <f>HYPERLINK("http://ictvonline.org/taxonomyHistory.asp?taxnode_id=20161989","ICTVonline=20161989")</f>
        <v>ICTVonline=20161989</v>
      </c>
    </row>
    <row r="2131" spans="1:14" x14ac:dyDescent="0.15">
      <c r="A2131" s="3">
        <v>2130</v>
      </c>
      <c r="B2131" s="1" t="s">
        <v>926</v>
      </c>
      <c r="C2131" s="1" t="s">
        <v>1788</v>
      </c>
      <c r="E2131" s="1" t="s">
        <v>1789</v>
      </c>
      <c r="F2131" s="1" t="s">
        <v>826</v>
      </c>
      <c r="G2131" s="3">
        <v>0</v>
      </c>
      <c r="J2131" s="20" t="s">
        <v>2860</v>
      </c>
      <c r="K2131" s="20" t="s">
        <v>10016</v>
      </c>
      <c r="L2131" s="3">
        <v>24</v>
      </c>
      <c r="M2131" s="3" t="s">
        <v>10212</v>
      </c>
      <c r="N2131" s="3" t="str">
        <f>HYPERLINK("http://ictvonline.org/taxonomyHistory.asp?taxnode_id=20161990","ICTVonline=20161990")</f>
        <v>ICTVonline=20161990</v>
      </c>
    </row>
    <row r="2132" spans="1:14" x14ac:dyDescent="0.15">
      <c r="A2132" s="3">
        <v>2131</v>
      </c>
      <c r="B2132" s="1" t="s">
        <v>926</v>
      </c>
      <c r="C2132" s="1" t="s">
        <v>1788</v>
      </c>
      <c r="E2132" s="1" t="s">
        <v>1789</v>
      </c>
      <c r="F2132" s="1" t="s">
        <v>1191</v>
      </c>
      <c r="G2132" s="3">
        <v>0</v>
      </c>
      <c r="J2132" s="20" t="s">
        <v>2860</v>
      </c>
      <c r="K2132" s="20" t="s">
        <v>10016</v>
      </c>
      <c r="L2132" s="3">
        <v>24</v>
      </c>
      <c r="M2132" s="3" t="s">
        <v>10212</v>
      </c>
      <c r="N2132" s="3" t="str">
        <f>HYPERLINK("http://ictvonline.org/taxonomyHistory.asp?taxnode_id=20161991","ICTVonline=20161991")</f>
        <v>ICTVonline=20161991</v>
      </c>
    </row>
    <row r="2133" spans="1:14" x14ac:dyDescent="0.15">
      <c r="A2133" s="3">
        <v>2132</v>
      </c>
      <c r="B2133" s="1" t="s">
        <v>926</v>
      </c>
      <c r="C2133" s="1" t="s">
        <v>1788</v>
      </c>
      <c r="E2133" s="1" t="s">
        <v>1192</v>
      </c>
      <c r="F2133" s="1" t="s">
        <v>1193</v>
      </c>
      <c r="G2133" s="3">
        <v>0</v>
      </c>
      <c r="J2133" s="20" t="s">
        <v>2860</v>
      </c>
      <c r="K2133" s="20" t="s">
        <v>10016</v>
      </c>
      <c r="L2133" s="3">
        <v>24</v>
      </c>
      <c r="M2133" s="3" t="s">
        <v>10219</v>
      </c>
      <c r="N2133" s="3" t="str">
        <f>HYPERLINK("http://ictvonline.org/taxonomyHistory.asp?taxnode_id=20161993","ICTVonline=20161993")</f>
        <v>ICTVonline=20161993</v>
      </c>
    </row>
    <row r="2134" spans="1:14" x14ac:dyDescent="0.15">
      <c r="A2134" s="3">
        <v>2133</v>
      </c>
      <c r="B2134" s="1" t="s">
        <v>926</v>
      </c>
      <c r="C2134" s="1" t="s">
        <v>1788</v>
      </c>
      <c r="E2134" s="1" t="s">
        <v>1192</v>
      </c>
      <c r="F2134" s="1" t="s">
        <v>4948</v>
      </c>
      <c r="G2134" s="3">
        <v>0</v>
      </c>
      <c r="H2134" s="20" t="s">
        <v>6830</v>
      </c>
      <c r="I2134" s="20" t="s">
        <v>4949</v>
      </c>
      <c r="J2134" s="20" t="s">
        <v>2860</v>
      </c>
      <c r="K2134" s="20" t="s">
        <v>10013</v>
      </c>
      <c r="L2134" s="3">
        <v>30</v>
      </c>
      <c r="M2134" s="3" t="s">
        <v>10220</v>
      </c>
      <c r="N2134" s="3" t="str">
        <f>HYPERLINK("http://ictvonline.org/taxonomyHistory.asp?taxnode_id=20161994","ICTVonline=20161994")</f>
        <v>ICTVonline=20161994</v>
      </c>
    </row>
    <row r="2135" spans="1:14" x14ac:dyDescent="0.15">
      <c r="A2135" s="3">
        <v>2134</v>
      </c>
      <c r="B2135" s="1" t="s">
        <v>926</v>
      </c>
      <c r="C2135" s="1" t="s">
        <v>1788</v>
      </c>
      <c r="E2135" s="1" t="s">
        <v>1192</v>
      </c>
      <c r="F2135" s="1" t="s">
        <v>1194</v>
      </c>
      <c r="G2135" s="3">
        <v>0</v>
      </c>
      <c r="J2135" s="20" t="s">
        <v>2860</v>
      </c>
      <c r="K2135" s="20" t="s">
        <v>10016</v>
      </c>
      <c r="L2135" s="3">
        <v>24</v>
      </c>
      <c r="M2135" s="3" t="s">
        <v>10219</v>
      </c>
      <c r="N2135" s="3" t="str">
        <f>HYPERLINK("http://ictvonline.org/taxonomyHistory.asp?taxnode_id=20161995","ICTVonline=20161995")</f>
        <v>ICTVonline=20161995</v>
      </c>
    </row>
    <row r="2136" spans="1:14" x14ac:dyDescent="0.15">
      <c r="A2136" s="3">
        <v>2135</v>
      </c>
      <c r="B2136" s="1" t="s">
        <v>926</v>
      </c>
      <c r="C2136" s="1" t="s">
        <v>1788</v>
      </c>
      <c r="E2136" s="1" t="s">
        <v>1192</v>
      </c>
      <c r="F2136" s="1" t="s">
        <v>1195</v>
      </c>
      <c r="G2136" s="3">
        <v>0</v>
      </c>
      <c r="J2136" s="20" t="s">
        <v>2860</v>
      </c>
      <c r="K2136" s="20" t="s">
        <v>10016</v>
      </c>
      <c r="L2136" s="3">
        <v>24</v>
      </c>
      <c r="M2136" s="3" t="s">
        <v>10219</v>
      </c>
      <c r="N2136" s="3" t="str">
        <f>HYPERLINK("http://ictvonline.org/taxonomyHistory.asp?taxnode_id=20161996","ICTVonline=20161996")</f>
        <v>ICTVonline=20161996</v>
      </c>
    </row>
    <row r="2137" spans="1:14" x14ac:dyDescent="0.15">
      <c r="A2137" s="3">
        <v>2136</v>
      </c>
      <c r="B2137" s="1" t="s">
        <v>926</v>
      </c>
      <c r="C2137" s="1" t="s">
        <v>1788</v>
      </c>
      <c r="E2137" s="1" t="s">
        <v>1192</v>
      </c>
      <c r="F2137" s="1" t="s">
        <v>9139</v>
      </c>
      <c r="G2137" s="3">
        <v>0</v>
      </c>
      <c r="H2137" s="20" t="s">
        <v>9140</v>
      </c>
      <c r="I2137" s="20" t="s">
        <v>9141</v>
      </c>
      <c r="J2137" s="20" t="s">
        <v>2860</v>
      </c>
      <c r="K2137" s="20" t="s">
        <v>10013</v>
      </c>
      <c r="L2137" s="3">
        <v>31</v>
      </c>
      <c r="M2137" s="3" t="s">
        <v>9142</v>
      </c>
      <c r="N2137" s="3" t="str">
        <f>HYPERLINK("http://ictvonline.org/taxonomyHistory.asp?taxnode_id=20165238","ICTVonline=20165238")</f>
        <v>ICTVonline=20165238</v>
      </c>
    </row>
    <row r="2138" spans="1:14" x14ac:dyDescent="0.15">
      <c r="A2138" s="3">
        <v>2137</v>
      </c>
      <c r="B2138" s="1" t="s">
        <v>926</v>
      </c>
      <c r="C2138" s="1" t="s">
        <v>1788</v>
      </c>
      <c r="E2138" s="1" t="s">
        <v>1192</v>
      </c>
      <c r="F2138" s="1" t="s">
        <v>9143</v>
      </c>
      <c r="G2138" s="3">
        <v>0</v>
      </c>
      <c r="H2138" s="20" t="s">
        <v>9144</v>
      </c>
      <c r="I2138" s="20" t="s">
        <v>9145</v>
      </c>
      <c r="J2138" s="20" t="s">
        <v>2860</v>
      </c>
      <c r="K2138" s="20" t="s">
        <v>10013</v>
      </c>
      <c r="L2138" s="3">
        <v>31</v>
      </c>
      <c r="M2138" s="3" t="s">
        <v>9142</v>
      </c>
      <c r="N2138" s="3" t="str">
        <f>HYPERLINK("http://ictvonline.org/taxonomyHistory.asp?taxnode_id=20165239","ICTVonline=20165239")</f>
        <v>ICTVonline=20165239</v>
      </c>
    </row>
    <row r="2139" spans="1:14" x14ac:dyDescent="0.15">
      <c r="A2139" s="3">
        <v>2138</v>
      </c>
      <c r="B2139" s="1" t="s">
        <v>926</v>
      </c>
      <c r="C2139" s="1" t="s">
        <v>1788</v>
      </c>
      <c r="E2139" s="1" t="s">
        <v>1192</v>
      </c>
      <c r="F2139" s="1" t="s">
        <v>9146</v>
      </c>
      <c r="G2139" s="3">
        <v>0</v>
      </c>
      <c r="H2139" s="20" t="s">
        <v>9147</v>
      </c>
      <c r="I2139" s="20" t="s">
        <v>9146</v>
      </c>
      <c r="J2139" s="20" t="s">
        <v>2860</v>
      </c>
      <c r="K2139" s="20" t="s">
        <v>10013</v>
      </c>
      <c r="L2139" s="3">
        <v>31</v>
      </c>
      <c r="M2139" s="3" t="s">
        <v>9142</v>
      </c>
      <c r="N2139" s="3" t="str">
        <f>HYPERLINK("http://ictvonline.org/taxonomyHistory.asp?taxnode_id=20165240","ICTVonline=20165240")</f>
        <v>ICTVonline=20165240</v>
      </c>
    </row>
    <row r="2140" spans="1:14" x14ac:dyDescent="0.15">
      <c r="A2140" s="3">
        <v>2139</v>
      </c>
      <c r="B2140" s="1" t="s">
        <v>926</v>
      </c>
      <c r="C2140" s="1" t="s">
        <v>1788</v>
      </c>
      <c r="E2140" s="1" t="s">
        <v>1192</v>
      </c>
      <c r="F2140" s="1" t="s">
        <v>721</v>
      </c>
      <c r="G2140" s="3">
        <v>0</v>
      </c>
      <c r="J2140" s="20" t="s">
        <v>2860</v>
      </c>
      <c r="K2140" s="20" t="s">
        <v>10016</v>
      </c>
      <c r="L2140" s="3">
        <v>24</v>
      </c>
      <c r="M2140" s="3" t="s">
        <v>10219</v>
      </c>
      <c r="N2140" s="3" t="str">
        <f>HYPERLINK("http://ictvonline.org/taxonomyHistory.asp?taxnode_id=20161997","ICTVonline=20161997")</f>
        <v>ICTVonline=20161997</v>
      </c>
    </row>
    <row r="2141" spans="1:14" x14ac:dyDescent="0.15">
      <c r="A2141" s="3">
        <v>2140</v>
      </c>
      <c r="B2141" s="1" t="s">
        <v>926</v>
      </c>
      <c r="C2141" s="1" t="s">
        <v>1788</v>
      </c>
      <c r="E2141" s="1" t="s">
        <v>1192</v>
      </c>
      <c r="F2141" s="1" t="s">
        <v>722</v>
      </c>
      <c r="G2141" s="3">
        <v>1</v>
      </c>
      <c r="J2141" s="20" t="s">
        <v>2860</v>
      </c>
      <c r="K2141" s="20" t="s">
        <v>10016</v>
      </c>
      <c r="L2141" s="3">
        <v>24</v>
      </c>
      <c r="M2141" s="3" t="s">
        <v>10219</v>
      </c>
      <c r="N2141" s="3" t="str">
        <f>HYPERLINK("http://ictvonline.org/taxonomyHistory.asp?taxnode_id=20161998","ICTVonline=20161998")</f>
        <v>ICTVonline=20161998</v>
      </c>
    </row>
    <row r="2142" spans="1:14" x14ac:dyDescent="0.15">
      <c r="A2142" s="3">
        <v>2141</v>
      </c>
      <c r="B2142" s="1" t="s">
        <v>926</v>
      </c>
      <c r="C2142" s="1" t="s">
        <v>1788</v>
      </c>
      <c r="E2142" s="1" t="s">
        <v>1192</v>
      </c>
      <c r="F2142" s="1" t="s">
        <v>9148</v>
      </c>
      <c r="G2142" s="3">
        <v>0</v>
      </c>
      <c r="H2142" s="20" t="s">
        <v>9149</v>
      </c>
      <c r="I2142" s="20" t="s">
        <v>9150</v>
      </c>
      <c r="J2142" s="20" t="s">
        <v>2860</v>
      </c>
      <c r="K2142" s="20" t="s">
        <v>10013</v>
      </c>
      <c r="L2142" s="3">
        <v>31</v>
      </c>
      <c r="M2142" s="3" t="s">
        <v>9142</v>
      </c>
      <c r="N2142" s="3" t="str">
        <f>HYPERLINK("http://ictvonline.org/taxonomyHistory.asp?taxnode_id=20165241","ICTVonline=20165241")</f>
        <v>ICTVonline=20165241</v>
      </c>
    </row>
    <row r="2143" spans="1:14" x14ac:dyDescent="0.15">
      <c r="A2143" s="3">
        <v>2142</v>
      </c>
      <c r="B2143" s="1" t="s">
        <v>926</v>
      </c>
      <c r="C2143" s="1" t="s">
        <v>1788</v>
      </c>
      <c r="E2143" s="1" t="s">
        <v>1192</v>
      </c>
      <c r="F2143" s="1" t="s">
        <v>9151</v>
      </c>
      <c r="G2143" s="3">
        <v>0</v>
      </c>
      <c r="H2143" s="20" t="s">
        <v>9152</v>
      </c>
      <c r="I2143" s="20" t="s">
        <v>9153</v>
      </c>
      <c r="J2143" s="20" t="s">
        <v>2860</v>
      </c>
      <c r="K2143" s="20" t="s">
        <v>10013</v>
      </c>
      <c r="L2143" s="3">
        <v>31</v>
      </c>
      <c r="M2143" s="3" t="s">
        <v>9142</v>
      </c>
      <c r="N2143" s="3" t="str">
        <f>HYPERLINK("http://ictvonline.org/taxonomyHistory.asp?taxnode_id=20165242","ICTVonline=20165242")</f>
        <v>ICTVonline=20165242</v>
      </c>
    </row>
    <row r="2144" spans="1:14" x14ac:dyDescent="0.15">
      <c r="A2144" s="3">
        <v>2143</v>
      </c>
      <c r="B2144" s="1" t="s">
        <v>926</v>
      </c>
      <c r="C2144" s="1" t="s">
        <v>1788</v>
      </c>
      <c r="E2144" s="1" t="s">
        <v>1192</v>
      </c>
      <c r="F2144" s="1" t="s">
        <v>4950</v>
      </c>
      <c r="G2144" s="3">
        <v>0</v>
      </c>
      <c r="H2144" s="20" t="s">
        <v>6831</v>
      </c>
      <c r="I2144" s="20" t="s">
        <v>4951</v>
      </c>
      <c r="J2144" s="20" t="s">
        <v>2860</v>
      </c>
      <c r="K2144" s="20" t="s">
        <v>10013</v>
      </c>
      <c r="L2144" s="3">
        <v>30</v>
      </c>
      <c r="M2144" s="3" t="s">
        <v>10221</v>
      </c>
      <c r="N2144" s="3" t="str">
        <f>HYPERLINK("http://ictvonline.org/taxonomyHistory.asp?taxnode_id=20161999","ICTVonline=20161999")</f>
        <v>ICTVonline=20161999</v>
      </c>
    </row>
    <row r="2145" spans="1:14" x14ac:dyDescent="0.15">
      <c r="A2145" s="3">
        <v>2144</v>
      </c>
      <c r="B2145" s="1" t="s">
        <v>926</v>
      </c>
      <c r="C2145" s="1" t="s">
        <v>1788</v>
      </c>
      <c r="E2145" s="1" t="s">
        <v>1192</v>
      </c>
      <c r="F2145" s="1" t="s">
        <v>720</v>
      </c>
      <c r="G2145" s="3">
        <v>0</v>
      </c>
      <c r="J2145" s="20" t="s">
        <v>2860</v>
      </c>
      <c r="K2145" s="20" t="s">
        <v>10016</v>
      </c>
      <c r="L2145" s="3">
        <v>24</v>
      </c>
      <c r="M2145" s="3" t="s">
        <v>10219</v>
      </c>
      <c r="N2145" s="3" t="str">
        <f>HYPERLINK("http://ictvonline.org/taxonomyHistory.asp?taxnode_id=20162000","ICTVonline=20162000")</f>
        <v>ICTVonline=20162000</v>
      </c>
    </row>
    <row r="2146" spans="1:14" x14ac:dyDescent="0.15">
      <c r="A2146" s="3">
        <v>2145</v>
      </c>
      <c r="B2146" s="1" t="s">
        <v>926</v>
      </c>
      <c r="C2146" s="1" t="s">
        <v>1788</v>
      </c>
      <c r="E2146" s="1" t="s">
        <v>1192</v>
      </c>
      <c r="F2146" s="1" t="s">
        <v>724</v>
      </c>
      <c r="G2146" s="3">
        <v>0</v>
      </c>
      <c r="J2146" s="20" t="s">
        <v>2860</v>
      </c>
      <c r="K2146" s="20" t="s">
        <v>10016</v>
      </c>
      <c r="L2146" s="3">
        <v>24</v>
      </c>
      <c r="M2146" s="3" t="s">
        <v>10219</v>
      </c>
      <c r="N2146" s="3" t="str">
        <f>HYPERLINK("http://ictvonline.org/taxonomyHistory.asp?taxnode_id=20162001","ICTVonline=20162001")</f>
        <v>ICTVonline=20162001</v>
      </c>
    </row>
    <row r="2147" spans="1:14" x14ac:dyDescent="0.15">
      <c r="A2147" s="3">
        <v>2146</v>
      </c>
      <c r="B2147" s="1" t="s">
        <v>926</v>
      </c>
      <c r="C2147" s="1" t="s">
        <v>1788</v>
      </c>
      <c r="E2147" s="1" t="s">
        <v>1192</v>
      </c>
      <c r="F2147" s="1" t="s">
        <v>1819</v>
      </c>
      <c r="G2147" s="3">
        <v>0</v>
      </c>
      <c r="J2147" s="20" t="s">
        <v>2860</v>
      </c>
      <c r="K2147" s="20" t="s">
        <v>10016</v>
      </c>
      <c r="L2147" s="3">
        <v>24</v>
      </c>
      <c r="M2147" s="3" t="s">
        <v>10219</v>
      </c>
      <c r="N2147" s="3" t="str">
        <f>HYPERLINK("http://ictvonline.org/taxonomyHistory.asp?taxnode_id=20162002","ICTVonline=20162002")</f>
        <v>ICTVonline=20162002</v>
      </c>
    </row>
    <row r="2148" spans="1:14" x14ac:dyDescent="0.15">
      <c r="A2148" s="3">
        <v>2147</v>
      </c>
      <c r="B2148" s="1" t="s">
        <v>926</v>
      </c>
      <c r="C2148" s="1" t="s">
        <v>1788</v>
      </c>
      <c r="E2148" s="1" t="s">
        <v>1192</v>
      </c>
      <c r="F2148" s="1" t="s">
        <v>1820</v>
      </c>
      <c r="G2148" s="3">
        <v>0</v>
      </c>
      <c r="J2148" s="20" t="s">
        <v>2860</v>
      </c>
      <c r="K2148" s="20" t="s">
        <v>10016</v>
      </c>
      <c r="L2148" s="3">
        <v>24</v>
      </c>
      <c r="M2148" s="3" t="s">
        <v>10219</v>
      </c>
      <c r="N2148" s="3" t="str">
        <f>HYPERLINK("http://ictvonline.org/taxonomyHistory.asp?taxnode_id=20162003","ICTVonline=20162003")</f>
        <v>ICTVonline=20162003</v>
      </c>
    </row>
    <row r="2149" spans="1:14" x14ac:dyDescent="0.15">
      <c r="A2149" s="3">
        <v>2148</v>
      </c>
      <c r="B2149" s="1" t="s">
        <v>926</v>
      </c>
      <c r="C2149" s="1" t="s">
        <v>1788</v>
      </c>
      <c r="E2149" s="1" t="s">
        <v>1192</v>
      </c>
      <c r="F2149" s="1" t="s">
        <v>637</v>
      </c>
      <c r="G2149" s="3">
        <v>0</v>
      </c>
      <c r="J2149" s="20" t="s">
        <v>2860</v>
      </c>
      <c r="K2149" s="20" t="s">
        <v>10016</v>
      </c>
      <c r="L2149" s="3">
        <v>24</v>
      </c>
      <c r="M2149" s="3" t="s">
        <v>10219</v>
      </c>
      <c r="N2149" s="3" t="str">
        <f>HYPERLINK("http://ictvonline.org/taxonomyHistory.asp?taxnode_id=20162004","ICTVonline=20162004")</f>
        <v>ICTVonline=20162004</v>
      </c>
    </row>
    <row r="2150" spans="1:14" x14ac:dyDescent="0.15">
      <c r="A2150" s="3">
        <v>2149</v>
      </c>
      <c r="B2150" s="1" t="s">
        <v>926</v>
      </c>
      <c r="C2150" s="1" t="s">
        <v>1788</v>
      </c>
      <c r="E2150" s="1" t="s">
        <v>1192</v>
      </c>
      <c r="F2150" s="1" t="s">
        <v>638</v>
      </c>
      <c r="G2150" s="3">
        <v>0</v>
      </c>
      <c r="J2150" s="20" t="s">
        <v>2860</v>
      </c>
      <c r="K2150" s="20" t="s">
        <v>10016</v>
      </c>
      <c r="L2150" s="3">
        <v>24</v>
      </c>
      <c r="M2150" s="3" t="s">
        <v>10219</v>
      </c>
      <c r="N2150" s="3" t="str">
        <f>HYPERLINK("http://ictvonline.org/taxonomyHistory.asp?taxnode_id=20162005","ICTVonline=20162005")</f>
        <v>ICTVonline=20162005</v>
      </c>
    </row>
    <row r="2151" spans="1:14" x14ac:dyDescent="0.15">
      <c r="A2151" s="3">
        <v>2150</v>
      </c>
      <c r="B2151" s="1" t="s">
        <v>926</v>
      </c>
      <c r="C2151" s="1" t="s">
        <v>1788</v>
      </c>
      <c r="E2151" s="1" t="s">
        <v>1192</v>
      </c>
      <c r="F2151" s="1" t="s">
        <v>1825</v>
      </c>
      <c r="G2151" s="3">
        <v>0</v>
      </c>
      <c r="J2151" s="20" t="s">
        <v>2860</v>
      </c>
      <c r="K2151" s="20" t="s">
        <v>10016</v>
      </c>
      <c r="L2151" s="3">
        <v>24</v>
      </c>
      <c r="M2151" s="3" t="s">
        <v>10219</v>
      </c>
      <c r="N2151" s="3" t="str">
        <f>HYPERLINK("http://ictvonline.org/taxonomyHistory.asp?taxnode_id=20162006","ICTVonline=20162006")</f>
        <v>ICTVonline=20162006</v>
      </c>
    </row>
    <row r="2152" spans="1:14" x14ac:dyDescent="0.15">
      <c r="A2152" s="3">
        <v>2151</v>
      </c>
      <c r="B2152" s="1" t="s">
        <v>926</v>
      </c>
      <c r="C2152" s="1" t="s">
        <v>1788</v>
      </c>
      <c r="E2152" s="1" t="s">
        <v>1192</v>
      </c>
      <c r="F2152" s="1" t="s">
        <v>4952</v>
      </c>
      <c r="G2152" s="3">
        <v>0</v>
      </c>
      <c r="H2152" s="20" t="s">
        <v>6832</v>
      </c>
      <c r="I2152" s="20" t="s">
        <v>4953</v>
      </c>
      <c r="J2152" s="20" t="s">
        <v>2860</v>
      </c>
      <c r="K2152" s="20" t="s">
        <v>10013</v>
      </c>
      <c r="L2152" s="3">
        <v>30</v>
      </c>
      <c r="M2152" s="3" t="s">
        <v>10222</v>
      </c>
      <c r="N2152" s="3" t="str">
        <f>HYPERLINK("http://ictvonline.org/taxonomyHistory.asp?taxnode_id=20162007","ICTVonline=20162007")</f>
        <v>ICTVonline=20162007</v>
      </c>
    </row>
    <row r="2153" spans="1:14" x14ac:dyDescent="0.15">
      <c r="A2153" s="3">
        <v>2152</v>
      </c>
      <c r="B2153" s="1" t="s">
        <v>926</v>
      </c>
      <c r="C2153" s="1" t="s">
        <v>1788</v>
      </c>
      <c r="E2153" s="1" t="s">
        <v>1192</v>
      </c>
      <c r="F2153" s="1" t="s">
        <v>9154</v>
      </c>
      <c r="G2153" s="3">
        <v>0</v>
      </c>
      <c r="H2153" s="20" t="s">
        <v>9155</v>
      </c>
      <c r="I2153" s="20" t="s">
        <v>9156</v>
      </c>
      <c r="J2153" s="20" t="s">
        <v>2860</v>
      </c>
      <c r="K2153" s="20" t="s">
        <v>10013</v>
      </c>
      <c r="L2153" s="3">
        <v>31</v>
      </c>
      <c r="M2153" s="3" t="s">
        <v>9142</v>
      </c>
      <c r="N2153" s="3" t="str">
        <f>HYPERLINK("http://ictvonline.org/taxonomyHistory.asp?taxnode_id=20165243","ICTVonline=20165243")</f>
        <v>ICTVonline=20165243</v>
      </c>
    </row>
    <row r="2154" spans="1:14" x14ac:dyDescent="0.15">
      <c r="A2154" s="3">
        <v>2153</v>
      </c>
      <c r="B2154" s="1" t="s">
        <v>926</v>
      </c>
      <c r="C2154" s="1" t="s">
        <v>1788</v>
      </c>
      <c r="E2154" s="1" t="s">
        <v>1192</v>
      </c>
      <c r="F2154" s="1" t="s">
        <v>1826</v>
      </c>
      <c r="G2154" s="3">
        <v>0</v>
      </c>
      <c r="J2154" s="20" t="s">
        <v>2860</v>
      </c>
      <c r="K2154" s="20" t="s">
        <v>10016</v>
      </c>
      <c r="L2154" s="3">
        <v>24</v>
      </c>
      <c r="M2154" s="3" t="s">
        <v>10219</v>
      </c>
      <c r="N2154" s="3" t="str">
        <f>HYPERLINK("http://ictvonline.org/taxonomyHistory.asp?taxnode_id=20162008","ICTVonline=20162008")</f>
        <v>ICTVonline=20162008</v>
      </c>
    </row>
    <row r="2155" spans="1:14" x14ac:dyDescent="0.15">
      <c r="A2155" s="3">
        <v>2154</v>
      </c>
      <c r="B2155" s="1" t="s">
        <v>926</v>
      </c>
      <c r="C2155" s="1" t="s">
        <v>1788</v>
      </c>
      <c r="E2155" s="1" t="s">
        <v>1192</v>
      </c>
      <c r="F2155" s="1" t="s">
        <v>1827</v>
      </c>
      <c r="G2155" s="3">
        <v>0</v>
      </c>
      <c r="J2155" s="20" t="s">
        <v>2860</v>
      </c>
      <c r="K2155" s="20" t="s">
        <v>10016</v>
      </c>
      <c r="L2155" s="3">
        <v>24</v>
      </c>
      <c r="M2155" s="3" t="s">
        <v>10219</v>
      </c>
      <c r="N2155" s="3" t="str">
        <f>HYPERLINK("http://ictvonline.org/taxonomyHistory.asp?taxnode_id=20162009","ICTVonline=20162009")</f>
        <v>ICTVonline=20162009</v>
      </c>
    </row>
    <row r="2156" spans="1:14" x14ac:dyDescent="0.15">
      <c r="A2156" s="3">
        <v>2155</v>
      </c>
      <c r="B2156" s="1" t="s">
        <v>926</v>
      </c>
      <c r="C2156" s="1" t="s">
        <v>1788</v>
      </c>
      <c r="E2156" s="1" t="s">
        <v>1828</v>
      </c>
      <c r="F2156" s="1" t="s">
        <v>642</v>
      </c>
      <c r="G2156" s="3">
        <v>1</v>
      </c>
      <c r="J2156" s="20" t="s">
        <v>2860</v>
      </c>
      <c r="K2156" s="20" t="s">
        <v>10076</v>
      </c>
      <c r="L2156" s="3">
        <v>24</v>
      </c>
      <c r="M2156" s="3" t="s">
        <v>10223</v>
      </c>
      <c r="N2156" s="3" t="str">
        <f>HYPERLINK("http://ictvonline.org/taxonomyHistory.asp?taxnode_id=20162011","ICTVonline=20162011")</f>
        <v>ICTVonline=20162011</v>
      </c>
    </row>
    <row r="2157" spans="1:14" x14ac:dyDescent="0.15">
      <c r="A2157" s="3">
        <v>2156</v>
      </c>
      <c r="B2157" s="1" t="s">
        <v>926</v>
      </c>
      <c r="C2157" s="1" t="s">
        <v>1788</v>
      </c>
      <c r="E2157" s="1" t="s">
        <v>643</v>
      </c>
      <c r="F2157" s="1" t="s">
        <v>644</v>
      </c>
      <c r="G2157" s="3">
        <v>1</v>
      </c>
      <c r="J2157" s="20" t="s">
        <v>2860</v>
      </c>
      <c r="K2157" s="20" t="s">
        <v>10105</v>
      </c>
      <c r="L2157" s="3">
        <v>24</v>
      </c>
      <c r="M2157" s="3" t="s">
        <v>10224</v>
      </c>
      <c r="N2157" s="3" t="str">
        <f>HYPERLINK("http://ictvonline.org/taxonomyHistory.asp?taxnode_id=20162013","ICTVonline=20162013")</f>
        <v>ICTVonline=20162013</v>
      </c>
    </row>
    <row r="2158" spans="1:14" x14ac:dyDescent="0.15">
      <c r="A2158" s="3">
        <v>2157</v>
      </c>
      <c r="B2158" s="1" t="s">
        <v>926</v>
      </c>
      <c r="C2158" s="1" t="s">
        <v>1788</v>
      </c>
      <c r="E2158" s="1" t="s">
        <v>643</v>
      </c>
      <c r="F2158" s="1" t="s">
        <v>1833</v>
      </c>
      <c r="G2158" s="3">
        <v>0</v>
      </c>
      <c r="J2158" s="20" t="s">
        <v>2860</v>
      </c>
      <c r="K2158" s="20" t="s">
        <v>10016</v>
      </c>
      <c r="L2158" s="3">
        <v>24</v>
      </c>
      <c r="M2158" s="3" t="s">
        <v>10224</v>
      </c>
      <c r="N2158" s="3" t="str">
        <f>HYPERLINK("http://ictvonline.org/taxonomyHistory.asp?taxnode_id=20162014","ICTVonline=20162014")</f>
        <v>ICTVonline=20162014</v>
      </c>
    </row>
    <row r="2159" spans="1:14" x14ac:dyDescent="0.15">
      <c r="A2159" s="3">
        <v>2158</v>
      </c>
      <c r="B2159" s="1" t="s">
        <v>926</v>
      </c>
      <c r="C2159" s="1" t="s">
        <v>1834</v>
      </c>
      <c r="E2159" s="1" t="s">
        <v>1835</v>
      </c>
      <c r="F2159" s="1" t="s">
        <v>1836</v>
      </c>
      <c r="G2159" s="3">
        <v>1</v>
      </c>
      <c r="H2159" s="20" t="s">
        <v>4954</v>
      </c>
      <c r="I2159" s="20" t="s">
        <v>4955</v>
      </c>
      <c r="J2159" s="20" t="s">
        <v>3160</v>
      </c>
      <c r="K2159" s="20" t="s">
        <v>10072</v>
      </c>
      <c r="L2159" s="3">
        <v>13</v>
      </c>
      <c r="M2159" s="3" t="s">
        <v>10225</v>
      </c>
      <c r="N2159" s="3" t="str">
        <f>HYPERLINK("http://ictvonline.org/taxonomyHistory.asp?taxnode_id=20162018","ICTVonline=20162018")</f>
        <v>ICTVonline=20162018</v>
      </c>
    </row>
    <row r="2160" spans="1:14" x14ac:dyDescent="0.15">
      <c r="A2160" s="3">
        <v>2159</v>
      </c>
      <c r="B2160" s="1" t="s">
        <v>926</v>
      </c>
      <c r="C2160" s="1" t="s">
        <v>2468</v>
      </c>
      <c r="E2160" s="1" t="s">
        <v>1287</v>
      </c>
      <c r="F2160" s="1" t="s">
        <v>1288</v>
      </c>
      <c r="G2160" s="3">
        <v>1</v>
      </c>
      <c r="H2160" s="20" t="s">
        <v>7133</v>
      </c>
      <c r="I2160" s="20" t="s">
        <v>4956</v>
      </c>
      <c r="J2160" s="20" t="s">
        <v>3160</v>
      </c>
      <c r="K2160" s="20" t="s">
        <v>10016</v>
      </c>
      <c r="L2160" s="3">
        <v>28</v>
      </c>
      <c r="M2160" s="3" t="s">
        <v>10226</v>
      </c>
      <c r="N2160" s="3" t="str">
        <f>HYPERLINK("http://ictvonline.org/taxonomyHistory.asp?taxnode_id=20162022","ICTVonline=20162022")</f>
        <v>ICTVonline=20162022</v>
      </c>
    </row>
    <row r="2161" spans="1:14" x14ac:dyDescent="0.15">
      <c r="A2161" s="3">
        <v>2160</v>
      </c>
      <c r="B2161" s="1" t="s">
        <v>926</v>
      </c>
      <c r="C2161" s="1" t="s">
        <v>2468</v>
      </c>
      <c r="E2161" s="1" t="s">
        <v>1287</v>
      </c>
      <c r="F2161" s="1" t="s">
        <v>1289</v>
      </c>
      <c r="G2161" s="3">
        <v>0</v>
      </c>
      <c r="H2161" s="20" t="s">
        <v>7134</v>
      </c>
      <c r="I2161" s="20" t="s">
        <v>4957</v>
      </c>
      <c r="J2161" s="20" t="s">
        <v>3160</v>
      </c>
      <c r="K2161" s="20" t="s">
        <v>10016</v>
      </c>
      <c r="L2161" s="3">
        <v>28</v>
      </c>
      <c r="M2161" s="3" t="s">
        <v>10226</v>
      </c>
      <c r="N2161" s="3" t="str">
        <f>HYPERLINK("http://ictvonline.org/taxonomyHistory.asp?taxnode_id=20162023","ICTVonline=20162023")</f>
        <v>ICTVonline=20162023</v>
      </c>
    </row>
    <row r="2162" spans="1:14" x14ac:dyDescent="0.15">
      <c r="A2162" s="3">
        <v>2161</v>
      </c>
      <c r="B2162" s="1" t="s">
        <v>926</v>
      </c>
      <c r="C2162" s="1" t="s">
        <v>2468</v>
      </c>
      <c r="E2162" s="1" t="s">
        <v>1287</v>
      </c>
      <c r="F2162" s="1" t="s">
        <v>2469</v>
      </c>
      <c r="G2162" s="3">
        <v>0</v>
      </c>
      <c r="H2162" s="20" t="s">
        <v>7135</v>
      </c>
      <c r="I2162" s="20" t="s">
        <v>4958</v>
      </c>
      <c r="J2162" s="20" t="s">
        <v>3160</v>
      </c>
      <c r="K2162" s="20" t="s">
        <v>10013</v>
      </c>
      <c r="L2162" s="3">
        <v>28</v>
      </c>
      <c r="M2162" s="3" t="s">
        <v>10226</v>
      </c>
      <c r="N2162" s="3" t="str">
        <f>HYPERLINK("http://ictvonline.org/taxonomyHistory.asp?taxnode_id=20162024","ICTVonline=20162024")</f>
        <v>ICTVonline=20162024</v>
      </c>
    </row>
    <row r="2163" spans="1:14" x14ac:dyDescent="0.15">
      <c r="A2163" s="3">
        <v>2162</v>
      </c>
      <c r="B2163" s="1" t="s">
        <v>926</v>
      </c>
      <c r="C2163" s="1" t="s">
        <v>2468</v>
      </c>
      <c r="E2163" s="1" t="s">
        <v>1287</v>
      </c>
      <c r="F2163" s="1" t="s">
        <v>2371</v>
      </c>
      <c r="G2163" s="3">
        <v>0</v>
      </c>
      <c r="H2163" s="20" t="s">
        <v>7136</v>
      </c>
      <c r="I2163" s="20" t="s">
        <v>4959</v>
      </c>
      <c r="J2163" s="20" t="s">
        <v>3160</v>
      </c>
      <c r="K2163" s="20" t="s">
        <v>10016</v>
      </c>
      <c r="L2163" s="3">
        <v>28</v>
      </c>
      <c r="M2163" s="3" t="s">
        <v>10226</v>
      </c>
      <c r="N2163" s="3" t="str">
        <f>HYPERLINK("http://ictvonline.org/taxonomyHistory.asp?taxnode_id=20162025","ICTVonline=20162025")</f>
        <v>ICTVonline=20162025</v>
      </c>
    </row>
    <row r="2164" spans="1:14" x14ac:dyDescent="0.15">
      <c r="A2164" s="3">
        <v>2163</v>
      </c>
      <c r="B2164" s="1" t="s">
        <v>926</v>
      </c>
      <c r="C2164" s="1" t="s">
        <v>661</v>
      </c>
      <c r="E2164" s="1" t="s">
        <v>662</v>
      </c>
      <c r="F2164" s="1" t="s">
        <v>663</v>
      </c>
      <c r="G2164" s="3">
        <v>1</v>
      </c>
      <c r="H2164" s="20" t="s">
        <v>4960</v>
      </c>
      <c r="J2164" s="20" t="s">
        <v>2860</v>
      </c>
      <c r="K2164" s="20" t="s">
        <v>10072</v>
      </c>
      <c r="L2164" s="3">
        <v>25</v>
      </c>
      <c r="M2164" s="3" t="s">
        <v>10227</v>
      </c>
      <c r="N2164" s="3" t="str">
        <f>HYPERLINK("http://ictvonline.org/taxonomyHistory.asp?taxnode_id=20162029","ICTVonline=20162029")</f>
        <v>ICTVonline=20162029</v>
      </c>
    </row>
    <row r="2165" spans="1:14" x14ac:dyDescent="0.15">
      <c r="A2165" s="3">
        <v>2164</v>
      </c>
      <c r="B2165" s="1" t="s">
        <v>926</v>
      </c>
      <c r="C2165" s="1" t="s">
        <v>67</v>
      </c>
      <c r="E2165" s="1" t="s">
        <v>68</v>
      </c>
      <c r="F2165" s="1" t="s">
        <v>69</v>
      </c>
      <c r="G2165" s="3">
        <v>1</v>
      </c>
      <c r="J2165" s="36" t="s">
        <v>5199</v>
      </c>
      <c r="K2165" s="20" t="s">
        <v>10072</v>
      </c>
      <c r="L2165" s="3">
        <v>26</v>
      </c>
      <c r="M2165" s="3" t="s">
        <v>10228</v>
      </c>
      <c r="N2165" s="3" t="str">
        <f>HYPERLINK("http://ictvonline.org/taxonomyHistory.asp?taxnode_id=20162033","ICTVonline=20162033")</f>
        <v>ICTVonline=20162033</v>
      </c>
    </row>
    <row r="2166" spans="1:14" x14ac:dyDescent="0.15">
      <c r="A2166" s="3">
        <v>2165</v>
      </c>
      <c r="B2166" s="1" t="s">
        <v>926</v>
      </c>
      <c r="C2166" s="1" t="s">
        <v>1837</v>
      </c>
      <c r="E2166" s="1" t="s">
        <v>1838</v>
      </c>
      <c r="F2166" s="1" t="s">
        <v>1839</v>
      </c>
      <c r="G2166" s="3">
        <v>1</v>
      </c>
      <c r="J2166" s="20" t="s">
        <v>3176</v>
      </c>
      <c r="K2166" s="20" t="s">
        <v>10016</v>
      </c>
      <c r="L2166" s="3">
        <v>13</v>
      </c>
      <c r="M2166" s="3" t="s">
        <v>10225</v>
      </c>
      <c r="N2166" s="3" t="str">
        <f>HYPERLINK("http://ictvonline.org/taxonomyHistory.asp?taxnode_id=20162037","ICTVonline=20162037")</f>
        <v>ICTVonline=20162037</v>
      </c>
    </row>
    <row r="2167" spans="1:14" x14ac:dyDescent="0.15">
      <c r="A2167" s="3">
        <v>2166</v>
      </c>
      <c r="B2167" s="1" t="s">
        <v>926</v>
      </c>
      <c r="C2167" s="1" t="s">
        <v>1837</v>
      </c>
      <c r="E2167" s="1" t="s">
        <v>1838</v>
      </c>
      <c r="F2167" s="1" t="s">
        <v>1840</v>
      </c>
      <c r="G2167" s="3">
        <v>0</v>
      </c>
      <c r="J2167" s="20" t="s">
        <v>3176</v>
      </c>
      <c r="K2167" s="20" t="s">
        <v>10013</v>
      </c>
      <c r="L2167" s="3">
        <v>23</v>
      </c>
      <c r="M2167" s="3" t="s">
        <v>10229</v>
      </c>
      <c r="N2167" s="3" t="str">
        <f>HYPERLINK("http://ictvonline.org/taxonomyHistory.asp?taxnode_id=20162038","ICTVonline=20162038")</f>
        <v>ICTVonline=20162038</v>
      </c>
    </row>
    <row r="2168" spans="1:14" x14ac:dyDescent="0.15">
      <c r="A2168" s="3">
        <v>2167</v>
      </c>
      <c r="B2168" s="1" t="s">
        <v>926</v>
      </c>
      <c r="C2168" s="1" t="s">
        <v>1837</v>
      </c>
      <c r="E2168" s="1" t="s">
        <v>1838</v>
      </c>
      <c r="F2168" s="1" t="s">
        <v>1841</v>
      </c>
      <c r="G2168" s="3">
        <v>0</v>
      </c>
      <c r="J2168" s="20" t="s">
        <v>3176</v>
      </c>
      <c r="K2168" s="20" t="s">
        <v>10013</v>
      </c>
      <c r="L2168" s="3">
        <v>18</v>
      </c>
      <c r="M2168" s="3" t="s">
        <v>10101</v>
      </c>
      <c r="N2168" s="3" t="str">
        <f>HYPERLINK("http://ictvonline.org/taxonomyHistory.asp?taxnode_id=20162039","ICTVonline=20162039")</f>
        <v>ICTVonline=20162039</v>
      </c>
    </row>
    <row r="2169" spans="1:14" x14ac:dyDescent="0.15">
      <c r="A2169" s="3">
        <v>2168</v>
      </c>
      <c r="B2169" s="1" t="s">
        <v>926</v>
      </c>
      <c r="C2169" s="1" t="s">
        <v>1837</v>
      </c>
      <c r="E2169" s="1" t="s">
        <v>1842</v>
      </c>
      <c r="F2169" s="1" t="s">
        <v>1851</v>
      </c>
      <c r="G2169" s="3">
        <v>1</v>
      </c>
      <c r="J2169" s="20" t="s">
        <v>3176</v>
      </c>
      <c r="K2169" s="20" t="s">
        <v>10076</v>
      </c>
      <c r="L2169" s="3">
        <v>13</v>
      </c>
      <c r="M2169" s="3" t="s">
        <v>10225</v>
      </c>
      <c r="N2169" s="3" t="str">
        <f>HYPERLINK("http://ictvonline.org/taxonomyHistory.asp?taxnode_id=20162041","ICTVonline=20162041")</f>
        <v>ICTVonline=20162041</v>
      </c>
    </row>
    <row r="2170" spans="1:14" x14ac:dyDescent="0.15">
      <c r="A2170" s="3">
        <v>2169</v>
      </c>
      <c r="B2170" s="1" t="s">
        <v>926</v>
      </c>
      <c r="C2170" s="1" t="s">
        <v>1837</v>
      </c>
      <c r="E2170" s="1" t="s">
        <v>1852</v>
      </c>
      <c r="F2170" s="1" t="s">
        <v>1853</v>
      </c>
      <c r="G2170" s="3">
        <v>1</v>
      </c>
      <c r="J2170" s="20" t="s">
        <v>3176</v>
      </c>
      <c r="K2170" s="20" t="s">
        <v>10072</v>
      </c>
      <c r="L2170" s="3">
        <v>24</v>
      </c>
      <c r="M2170" s="3" t="s">
        <v>10230</v>
      </c>
      <c r="N2170" s="3" t="str">
        <f>HYPERLINK("http://ictvonline.org/taxonomyHistory.asp?taxnode_id=20162043","ICTVonline=20162043")</f>
        <v>ICTVonline=20162043</v>
      </c>
    </row>
    <row r="2171" spans="1:14" x14ac:dyDescent="0.15">
      <c r="A2171" s="3">
        <v>2170</v>
      </c>
      <c r="B2171" s="1" t="s">
        <v>926</v>
      </c>
      <c r="C2171" s="1" t="s">
        <v>1837</v>
      </c>
      <c r="E2171" s="1" t="s">
        <v>1854</v>
      </c>
      <c r="F2171" s="1" t="s">
        <v>1855</v>
      </c>
      <c r="G2171" s="3">
        <v>1</v>
      </c>
      <c r="J2171" s="20" t="s">
        <v>3176</v>
      </c>
      <c r="K2171" s="20" t="s">
        <v>10076</v>
      </c>
      <c r="L2171" s="3">
        <v>13</v>
      </c>
      <c r="M2171" s="3" t="s">
        <v>10225</v>
      </c>
      <c r="N2171" s="3" t="str">
        <f>HYPERLINK("http://ictvonline.org/taxonomyHistory.asp?taxnode_id=20162045","ICTVonline=20162045")</f>
        <v>ICTVonline=20162045</v>
      </c>
    </row>
    <row r="2172" spans="1:14" x14ac:dyDescent="0.15">
      <c r="A2172" s="3">
        <v>2171</v>
      </c>
      <c r="B2172" s="1" t="s">
        <v>926</v>
      </c>
      <c r="C2172" s="1" t="s">
        <v>1856</v>
      </c>
      <c r="E2172" s="1" t="s">
        <v>759</v>
      </c>
      <c r="F2172" s="1" t="s">
        <v>760</v>
      </c>
      <c r="G2172" s="3">
        <v>1</v>
      </c>
      <c r="H2172" s="20" t="s">
        <v>7137</v>
      </c>
      <c r="I2172" s="20" t="s">
        <v>6446</v>
      </c>
      <c r="J2172" s="20" t="s">
        <v>3160</v>
      </c>
      <c r="K2172" s="20" t="s">
        <v>10016</v>
      </c>
      <c r="L2172" s="3">
        <v>13</v>
      </c>
      <c r="M2172" s="3" t="s">
        <v>10225</v>
      </c>
      <c r="N2172" s="3" t="str">
        <f>HYPERLINK("http://ictvonline.org/taxonomyHistory.asp?taxnode_id=20162049","ICTVonline=20162049")</f>
        <v>ICTVonline=20162049</v>
      </c>
    </row>
    <row r="2173" spans="1:14" x14ac:dyDescent="0.15">
      <c r="A2173" s="3">
        <v>2172</v>
      </c>
      <c r="B2173" s="1" t="s">
        <v>926</v>
      </c>
      <c r="C2173" s="1" t="s">
        <v>1856</v>
      </c>
      <c r="E2173" s="1" t="s">
        <v>761</v>
      </c>
      <c r="F2173" s="1" t="s">
        <v>2470</v>
      </c>
      <c r="G2173" s="3">
        <v>0</v>
      </c>
      <c r="H2173" s="20" t="s">
        <v>7138</v>
      </c>
      <c r="I2173" s="20" t="s">
        <v>4663</v>
      </c>
      <c r="J2173" s="20" t="s">
        <v>3160</v>
      </c>
      <c r="K2173" s="20" t="s">
        <v>10013</v>
      </c>
      <c r="L2173" s="3">
        <v>28</v>
      </c>
      <c r="M2173" s="3" t="s">
        <v>10231</v>
      </c>
      <c r="N2173" s="3" t="str">
        <f>HYPERLINK("http://ictvonline.org/taxonomyHistory.asp?taxnode_id=20162051","ICTVonline=20162051")</f>
        <v>ICTVonline=20162051</v>
      </c>
    </row>
    <row r="2174" spans="1:14" x14ac:dyDescent="0.15">
      <c r="A2174" s="3">
        <v>2173</v>
      </c>
      <c r="B2174" s="1" t="s">
        <v>926</v>
      </c>
      <c r="C2174" s="1" t="s">
        <v>1856</v>
      </c>
      <c r="E2174" s="1" t="s">
        <v>761</v>
      </c>
      <c r="F2174" s="1" t="s">
        <v>762</v>
      </c>
      <c r="G2174" s="3">
        <v>1</v>
      </c>
      <c r="H2174" s="20" t="s">
        <v>7139</v>
      </c>
      <c r="I2174" s="20" t="s">
        <v>4961</v>
      </c>
      <c r="J2174" s="20" t="s">
        <v>3160</v>
      </c>
      <c r="K2174" s="20" t="s">
        <v>10072</v>
      </c>
      <c r="L2174" s="3">
        <v>24</v>
      </c>
      <c r="M2174" s="3" t="s">
        <v>10232</v>
      </c>
      <c r="N2174" s="3" t="str">
        <f>HYPERLINK("http://ictvonline.org/taxonomyHistory.asp?taxnode_id=20162052","ICTVonline=20162052")</f>
        <v>ICTVonline=20162052</v>
      </c>
    </row>
    <row r="2175" spans="1:14" x14ac:dyDescent="0.15">
      <c r="A2175" s="3">
        <v>2174</v>
      </c>
      <c r="B2175" s="1" t="s">
        <v>926</v>
      </c>
      <c r="C2175" s="1" t="s">
        <v>1856</v>
      </c>
      <c r="E2175" s="1" t="s">
        <v>763</v>
      </c>
      <c r="F2175" s="1" t="s">
        <v>764</v>
      </c>
      <c r="G2175" s="3">
        <v>0</v>
      </c>
      <c r="H2175" s="20" t="s">
        <v>7140</v>
      </c>
      <c r="I2175" s="20" t="s">
        <v>4962</v>
      </c>
      <c r="J2175" s="20" t="s">
        <v>3160</v>
      </c>
      <c r="K2175" s="20" t="s">
        <v>10016</v>
      </c>
      <c r="L2175" s="3">
        <v>13</v>
      </c>
      <c r="M2175" s="3" t="s">
        <v>10225</v>
      </c>
      <c r="N2175" s="3" t="str">
        <f>HYPERLINK("http://ictvonline.org/taxonomyHistory.asp?taxnode_id=20162054","ICTVonline=20162054")</f>
        <v>ICTVonline=20162054</v>
      </c>
    </row>
    <row r="2176" spans="1:14" x14ac:dyDescent="0.15">
      <c r="A2176" s="3">
        <v>2175</v>
      </c>
      <c r="B2176" s="1" t="s">
        <v>926</v>
      </c>
      <c r="C2176" s="1" t="s">
        <v>1856</v>
      </c>
      <c r="E2176" s="1" t="s">
        <v>763</v>
      </c>
      <c r="F2176" s="1" t="s">
        <v>765</v>
      </c>
      <c r="G2176" s="3">
        <v>1</v>
      </c>
      <c r="H2176" s="20" t="s">
        <v>7141</v>
      </c>
      <c r="I2176" s="20" t="s">
        <v>4963</v>
      </c>
      <c r="J2176" s="20" t="s">
        <v>3160</v>
      </c>
      <c r="K2176" s="20" t="s">
        <v>10016</v>
      </c>
      <c r="L2176" s="3">
        <v>13</v>
      </c>
      <c r="M2176" s="3" t="s">
        <v>10225</v>
      </c>
      <c r="N2176" s="3" t="str">
        <f>HYPERLINK("http://ictvonline.org/taxonomyHistory.asp?taxnode_id=20162055","ICTVonline=20162055")</f>
        <v>ICTVonline=20162055</v>
      </c>
    </row>
    <row r="2177" spans="1:14" x14ac:dyDescent="0.15">
      <c r="A2177" s="3">
        <v>2176</v>
      </c>
      <c r="B2177" s="1" t="s">
        <v>926</v>
      </c>
      <c r="C2177" s="1" t="s">
        <v>1856</v>
      </c>
      <c r="E2177" s="1" t="s">
        <v>763</v>
      </c>
      <c r="F2177" s="1" t="s">
        <v>766</v>
      </c>
      <c r="G2177" s="3">
        <v>0</v>
      </c>
      <c r="H2177" s="20" t="s">
        <v>7142</v>
      </c>
      <c r="I2177" s="20" t="s">
        <v>4964</v>
      </c>
      <c r="J2177" s="20" t="s">
        <v>3160</v>
      </c>
      <c r="K2177" s="20" t="s">
        <v>10016</v>
      </c>
      <c r="L2177" s="3">
        <v>13</v>
      </c>
      <c r="M2177" s="3" t="s">
        <v>10225</v>
      </c>
      <c r="N2177" s="3" t="str">
        <f>HYPERLINK("http://ictvonline.org/taxonomyHistory.asp?taxnode_id=20162056","ICTVonline=20162056")</f>
        <v>ICTVonline=20162056</v>
      </c>
    </row>
    <row r="2178" spans="1:14" x14ac:dyDescent="0.15">
      <c r="A2178" s="3">
        <v>2177</v>
      </c>
      <c r="B2178" s="1" t="s">
        <v>926</v>
      </c>
      <c r="C2178" s="1" t="s">
        <v>1856</v>
      </c>
      <c r="E2178" s="1" t="s">
        <v>763</v>
      </c>
      <c r="F2178" s="1" t="s">
        <v>1859</v>
      </c>
      <c r="G2178" s="3">
        <v>0</v>
      </c>
      <c r="H2178" s="20" t="s">
        <v>7143</v>
      </c>
      <c r="I2178" s="20" t="s">
        <v>4965</v>
      </c>
      <c r="J2178" s="20" t="s">
        <v>3160</v>
      </c>
      <c r="K2178" s="20" t="s">
        <v>10016</v>
      </c>
      <c r="L2178" s="3">
        <v>13</v>
      </c>
      <c r="M2178" s="3" t="s">
        <v>10225</v>
      </c>
      <c r="N2178" s="3" t="str">
        <f>HYPERLINK("http://ictvonline.org/taxonomyHistory.asp?taxnode_id=20162057","ICTVonline=20162057")</f>
        <v>ICTVonline=20162057</v>
      </c>
    </row>
    <row r="2179" spans="1:14" x14ac:dyDescent="0.15">
      <c r="A2179" s="3">
        <v>2178</v>
      </c>
      <c r="B2179" s="1" t="s">
        <v>926</v>
      </c>
      <c r="C2179" s="1" t="s">
        <v>1856</v>
      </c>
      <c r="E2179" s="1" t="s">
        <v>763</v>
      </c>
      <c r="F2179" s="1" t="s">
        <v>1860</v>
      </c>
      <c r="G2179" s="3">
        <v>0</v>
      </c>
      <c r="H2179" s="20" t="s">
        <v>7144</v>
      </c>
      <c r="I2179" s="20" t="s">
        <v>4964</v>
      </c>
      <c r="J2179" s="20" t="s">
        <v>3160</v>
      </c>
      <c r="K2179" s="20" t="s">
        <v>10016</v>
      </c>
      <c r="L2179" s="3">
        <v>13</v>
      </c>
      <c r="M2179" s="3" t="s">
        <v>10225</v>
      </c>
      <c r="N2179" s="3" t="str">
        <f>HYPERLINK("http://ictvonline.org/taxonomyHistory.asp?taxnode_id=20162058","ICTVonline=20162058")</f>
        <v>ICTVonline=20162058</v>
      </c>
    </row>
    <row r="2180" spans="1:14" x14ac:dyDescent="0.15">
      <c r="A2180" s="3">
        <v>2179</v>
      </c>
      <c r="B2180" s="1" t="s">
        <v>926</v>
      </c>
      <c r="C2180" s="1" t="s">
        <v>1856</v>
      </c>
      <c r="E2180" s="1" t="s">
        <v>763</v>
      </c>
      <c r="F2180" s="1" t="s">
        <v>664</v>
      </c>
      <c r="G2180" s="3">
        <v>0</v>
      </c>
      <c r="H2180" s="20" t="s">
        <v>7145</v>
      </c>
      <c r="I2180" s="20" t="s">
        <v>4964</v>
      </c>
      <c r="J2180" s="20" t="s">
        <v>3160</v>
      </c>
      <c r="K2180" s="20" t="s">
        <v>10016</v>
      </c>
      <c r="L2180" s="3">
        <v>13</v>
      </c>
      <c r="M2180" s="3" t="s">
        <v>10225</v>
      </c>
      <c r="N2180" s="3" t="str">
        <f>HYPERLINK("http://ictvonline.org/taxonomyHistory.asp?taxnode_id=20162059","ICTVonline=20162059")</f>
        <v>ICTVonline=20162059</v>
      </c>
    </row>
    <row r="2181" spans="1:14" x14ac:dyDescent="0.15">
      <c r="A2181" s="3">
        <v>2180</v>
      </c>
      <c r="B2181" s="1" t="s">
        <v>926</v>
      </c>
      <c r="C2181" s="1" t="s">
        <v>1856</v>
      </c>
      <c r="E2181" s="1" t="s">
        <v>665</v>
      </c>
      <c r="F2181" s="1" t="s">
        <v>666</v>
      </c>
      <c r="G2181" s="3">
        <v>1</v>
      </c>
      <c r="H2181" s="20" t="s">
        <v>7146</v>
      </c>
      <c r="I2181" s="20" t="s">
        <v>4966</v>
      </c>
      <c r="J2181" s="20" t="s">
        <v>3160</v>
      </c>
      <c r="K2181" s="20" t="s">
        <v>10016</v>
      </c>
      <c r="L2181" s="3">
        <v>13</v>
      </c>
      <c r="M2181" s="3" t="s">
        <v>10225</v>
      </c>
      <c r="N2181" s="3" t="str">
        <f>HYPERLINK("http://ictvonline.org/taxonomyHistory.asp?taxnode_id=20162061","ICTVonline=20162061")</f>
        <v>ICTVonline=20162061</v>
      </c>
    </row>
    <row r="2182" spans="1:14" x14ac:dyDescent="0.15">
      <c r="A2182" s="3">
        <v>2181</v>
      </c>
      <c r="B2182" s="1" t="s">
        <v>926</v>
      </c>
      <c r="C2182" s="1" t="s">
        <v>1856</v>
      </c>
      <c r="E2182" s="1" t="s">
        <v>665</v>
      </c>
      <c r="F2182" s="1" t="s">
        <v>70</v>
      </c>
      <c r="G2182" s="3">
        <v>0</v>
      </c>
      <c r="H2182" s="20" t="s">
        <v>7147</v>
      </c>
      <c r="I2182" s="20" t="s">
        <v>4967</v>
      </c>
      <c r="J2182" s="20" t="s">
        <v>3160</v>
      </c>
      <c r="K2182" s="20" t="s">
        <v>10013</v>
      </c>
      <c r="L2182" s="3">
        <v>26</v>
      </c>
      <c r="M2182" s="3" t="s">
        <v>10233</v>
      </c>
      <c r="N2182" s="3" t="str">
        <f>HYPERLINK("http://ictvonline.org/taxonomyHistory.asp?taxnode_id=20162062","ICTVonline=20162062")</f>
        <v>ICTVonline=20162062</v>
      </c>
    </row>
    <row r="2183" spans="1:14" x14ac:dyDescent="0.15">
      <c r="A2183" s="3">
        <v>2182</v>
      </c>
      <c r="B2183" s="1" t="s">
        <v>926</v>
      </c>
      <c r="C2183" s="1" t="s">
        <v>1856</v>
      </c>
      <c r="E2183" s="1" t="s">
        <v>665</v>
      </c>
      <c r="F2183" s="1" t="s">
        <v>1863</v>
      </c>
      <c r="G2183" s="3">
        <v>0</v>
      </c>
      <c r="H2183" s="20" t="s">
        <v>7148</v>
      </c>
      <c r="I2183" s="20" t="s">
        <v>4968</v>
      </c>
      <c r="J2183" s="20" t="s">
        <v>3160</v>
      </c>
      <c r="K2183" s="20" t="s">
        <v>10016</v>
      </c>
      <c r="L2183" s="3">
        <v>13</v>
      </c>
      <c r="M2183" s="3" t="s">
        <v>10225</v>
      </c>
      <c r="N2183" s="3" t="str">
        <f>HYPERLINK("http://ictvonline.org/taxonomyHistory.asp?taxnode_id=20162063","ICTVonline=20162063")</f>
        <v>ICTVonline=20162063</v>
      </c>
    </row>
    <row r="2184" spans="1:14" x14ac:dyDescent="0.15">
      <c r="A2184" s="3">
        <v>2183</v>
      </c>
      <c r="B2184" s="1" t="s">
        <v>926</v>
      </c>
      <c r="C2184" s="1" t="s">
        <v>1856</v>
      </c>
      <c r="E2184" s="1" t="s">
        <v>665</v>
      </c>
      <c r="F2184" s="1" t="s">
        <v>1864</v>
      </c>
      <c r="G2184" s="3">
        <v>0</v>
      </c>
      <c r="H2184" s="20" t="s">
        <v>7149</v>
      </c>
      <c r="I2184" s="20" t="s">
        <v>4969</v>
      </c>
      <c r="J2184" s="20" t="s">
        <v>3160</v>
      </c>
      <c r="K2184" s="20" t="s">
        <v>10016</v>
      </c>
      <c r="L2184" s="3">
        <v>13</v>
      </c>
      <c r="M2184" s="3" t="s">
        <v>10225</v>
      </c>
      <c r="N2184" s="3" t="str">
        <f>HYPERLINK("http://ictvonline.org/taxonomyHistory.asp?taxnode_id=20162064","ICTVonline=20162064")</f>
        <v>ICTVonline=20162064</v>
      </c>
    </row>
    <row r="2185" spans="1:14" x14ac:dyDescent="0.15">
      <c r="A2185" s="3">
        <v>2184</v>
      </c>
      <c r="B2185" s="1" t="s">
        <v>926</v>
      </c>
      <c r="C2185" s="1" t="s">
        <v>1856</v>
      </c>
      <c r="E2185" s="1" t="s">
        <v>1865</v>
      </c>
      <c r="F2185" s="1" t="s">
        <v>1866</v>
      </c>
      <c r="G2185" s="3">
        <v>0</v>
      </c>
      <c r="H2185" s="20" t="s">
        <v>7150</v>
      </c>
      <c r="I2185" s="20" t="s">
        <v>4970</v>
      </c>
      <c r="J2185" s="20" t="s">
        <v>3160</v>
      </c>
      <c r="K2185" s="20" t="s">
        <v>10016</v>
      </c>
      <c r="L2185" s="3">
        <v>13</v>
      </c>
      <c r="M2185" s="3" t="s">
        <v>10225</v>
      </c>
      <c r="N2185" s="3" t="str">
        <f>HYPERLINK("http://ictvonline.org/taxonomyHistory.asp?taxnode_id=20162066","ICTVonline=20162066")</f>
        <v>ICTVonline=20162066</v>
      </c>
    </row>
    <row r="2186" spans="1:14" x14ac:dyDescent="0.15">
      <c r="A2186" s="3">
        <v>2185</v>
      </c>
      <c r="B2186" s="1" t="s">
        <v>926</v>
      </c>
      <c r="C2186" s="1" t="s">
        <v>1856</v>
      </c>
      <c r="E2186" s="1" t="s">
        <v>1865</v>
      </c>
      <c r="F2186" s="1" t="s">
        <v>1867</v>
      </c>
      <c r="G2186" s="3">
        <v>0</v>
      </c>
      <c r="H2186" s="20" t="s">
        <v>7151</v>
      </c>
      <c r="I2186" s="20" t="s">
        <v>4971</v>
      </c>
      <c r="J2186" s="20" t="s">
        <v>3160</v>
      </c>
      <c r="K2186" s="20" t="s">
        <v>10216</v>
      </c>
      <c r="L2186" s="3">
        <v>14</v>
      </c>
      <c r="M2186" s="3" t="s">
        <v>10234</v>
      </c>
      <c r="N2186" s="3" t="str">
        <f>HYPERLINK("http://ictvonline.org/taxonomyHistory.asp?taxnode_id=20162067","ICTVonline=20162067")</f>
        <v>ICTVonline=20162067</v>
      </c>
    </row>
    <row r="2187" spans="1:14" x14ac:dyDescent="0.15">
      <c r="A2187" s="3">
        <v>2186</v>
      </c>
      <c r="B2187" s="1" t="s">
        <v>926</v>
      </c>
      <c r="C2187" s="1" t="s">
        <v>1856</v>
      </c>
      <c r="E2187" s="1" t="s">
        <v>1865</v>
      </c>
      <c r="F2187" s="1" t="s">
        <v>1868</v>
      </c>
      <c r="G2187" s="3">
        <v>0</v>
      </c>
      <c r="H2187" s="20" t="s">
        <v>7152</v>
      </c>
      <c r="I2187" s="20" t="s">
        <v>4610</v>
      </c>
      <c r="J2187" s="20" t="s">
        <v>3160</v>
      </c>
      <c r="K2187" s="20" t="s">
        <v>10021</v>
      </c>
      <c r="L2187" s="3">
        <v>14</v>
      </c>
      <c r="M2187" s="3" t="s">
        <v>10234</v>
      </c>
      <c r="N2187" s="3" t="str">
        <f>HYPERLINK("http://ictvonline.org/taxonomyHistory.asp?taxnode_id=20162068","ICTVonline=20162068")</f>
        <v>ICTVonline=20162068</v>
      </c>
    </row>
    <row r="2188" spans="1:14" x14ac:dyDescent="0.15">
      <c r="A2188" s="3">
        <v>2187</v>
      </c>
      <c r="B2188" s="1" t="s">
        <v>926</v>
      </c>
      <c r="C2188" s="1" t="s">
        <v>1856</v>
      </c>
      <c r="E2188" s="1" t="s">
        <v>1865</v>
      </c>
      <c r="F2188" s="1" t="s">
        <v>71</v>
      </c>
      <c r="G2188" s="3">
        <v>0</v>
      </c>
      <c r="H2188" s="20" t="s">
        <v>7153</v>
      </c>
      <c r="I2188" s="20" t="s">
        <v>4972</v>
      </c>
      <c r="J2188" s="20" t="s">
        <v>3160</v>
      </c>
      <c r="K2188" s="20" t="s">
        <v>10013</v>
      </c>
      <c r="L2188" s="3">
        <v>26</v>
      </c>
      <c r="M2188" s="3" t="s">
        <v>10235</v>
      </c>
      <c r="N2188" s="3" t="str">
        <f>HYPERLINK("http://ictvonline.org/taxonomyHistory.asp?taxnode_id=20162069","ICTVonline=20162069")</f>
        <v>ICTVonline=20162069</v>
      </c>
    </row>
    <row r="2189" spans="1:14" x14ac:dyDescent="0.15">
      <c r="A2189" s="3">
        <v>2188</v>
      </c>
      <c r="B2189" s="1" t="s">
        <v>926</v>
      </c>
      <c r="C2189" s="1" t="s">
        <v>1856</v>
      </c>
      <c r="E2189" s="1" t="s">
        <v>1865</v>
      </c>
      <c r="F2189" s="1" t="s">
        <v>1869</v>
      </c>
      <c r="G2189" s="3">
        <v>0</v>
      </c>
      <c r="H2189" s="20" t="s">
        <v>7154</v>
      </c>
      <c r="I2189" s="20" t="s">
        <v>4973</v>
      </c>
      <c r="J2189" s="20" t="s">
        <v>3160</v>
      </c>
      <c r="K2189" s="20" t="s">
        <v>10021</v>
      </c>
      <c r="L2189" s="3">
        <v>14</v>
      </c>
      <c r="M2189" s="3" t="s">
        <v>10234</v>
      </c>
      <c r="N2189" s="3" t="str">
        <f>HYPERLINK("http://ictvonline.org/taxonomyHistory.asp?taxnode_id=20162070","ICTVonline=20162070")</f>
        <v>ICTVonline=20162070</v>
      </c>
    </row>
    <row r="2190" spans="1:14" x14ac:dyDescent="0.15">
      <c r="A2190" s="3">
        <v>2189</v>
      </c>
      <c r="B2190" s="1" t="s">
        <v>926</v>
      </c>
      <c r="C2190" s="1" t="s">
        <v>1856</v>
      </c>
      <c r="E2190" s="1" t="s">
        <v>1865</v>
      </c>
      <c r="F2190" s="1" t="s">
        <v>1870</v>
      </c>
      <c r="G2190" s="3">
        <v>0</v>
      </c>
      <c r="H2190" s="20" t="s">
        <v>7155</v>
      </c>
      <c r="I2190" s="20" t="s">
        <v>4970</v>
      </c>
      <c r="J2190" s="20" t="s">
        <v>3160</v>
      </c>
      <c r="K2190" s="20" t="s">
        <v>10016</v>
      </c>
      <c r="L2190" s="3">
        <v>13</v>
      </c>
      <c r="M2190" s="3" t="s">
        <v>10225</v>
      </c>
      <c r="N2190" s="3" t="str">
        <f>HYPERLINK("http://ictvonline.org/taxonomyHistory.asp?taxnode_id=20162071","ICTVonline=20162071")</f>
        <v>ICTVonline=20162071</v>
      </c>
    </row>
    <row r="2191" spans="1:14" x14ac:dyDescent="0.15">
      <c r="A2191" s="3">
        <v>2190</v>
      </c>
      <c r="B2191" s="1" t="s">
        <v>926</v>
      </c>
      <c r="C2191" s="1" t="s">
        <v>1856</v>
      </c>
      <c r="E2191" s="1" t="s">
        <v>1865</v>
      </c>
      <c r="F2191" s="1" t="s">
        <v>778</v>
      </c>
      <c r="G2191" s="3">
        <v>0</v>
      </c>
      <c r="H2191" s="20" t="s">
        <v>7156</v>
      </c>
      <c r="I2191" s="20" t="s">
        <v>4974</v>
      </c>
      <c r="J2191" s="20" t="s">
        <v>3160</v>
      </c>
      <c r="K2191" s="20" t="s">
        <v>10016</v>
      </c>
      <c r="L2191" s="3">
        <v>13</v>
      </c>
      <c r="M2191" s="3" t="s">
        <v>10225</v>
      </c>
      <c r="N2191" s="3" t="str">
        <f>HYPERLINK("http://ictvonline.org/taxonomyHistory.asp?taxnode_id=20162072","ICTVonline=20162072")</f>
        <v>ICTVonline=20162072</v>
      </c>
    </row>
    <row r="2192" spans="1:14" x14ac:dyDescent="0.15">
      <c r="A2192" s="3">
        <v>2191</v>
      </c>
      <c r="B2192" s="1" t="s">
        <v>926</v>
      </c>
      <c r="C2192" s="1" t="s">
        <v>1856</v>
      </c>
      <c r="E2192" s="1" t="s">
        <v>1865</v>
      </c>
      <c r="F2192" s="1" t="s">
        <v>779</v>
      </c>
      <c r="G2192" s="3">
        <v>0</v>
      </c>
      <c r="H2192" s="20" t="s">
        <v>7157</v>
      </c>
      <c r="I2192" s="20" t="s">
        <v>4970</v>
      </c>
      <c r="J2192" s="20" t="s">
        <v>3160</v>
      </c>
      <c r="K2192" s="20" t="s">
        <v>10216</v>
      </c>
      <c r="L2192" s="3">
        <v>23</v>
      </c>
      <c r="M2192" s="3" t="s">
        <v>10229</v>
      </c>
      <c r="N2192" s="3" t="str">
        <f>HYPERLINK("http://ictvonline.org/taxonomyHistory.asp?taxnode_id=20162073","ICTVonline=20162073")</f>
        <v>ICTVonline=20162073</v>
      </c>
    </row>
    <row r="2193" spans="1:14" x14ac:dyDescent="0.15">
      <c r="A2193" s="3">
        <v>2192</v>
      </c>
      <c r="B2193" s="1" t="s">
        <v>926</v>
      </c>
      <c r="C2193" s="1" t="s">
        <v>1856</v>
      </c>
      <c r="E2193" s="1" t="s">
        <v>1865</v>
      </c>
      <c r="F2193" s="1" t="s">
        <v>780</v>
      </c>
      <c r="G2193" s="3">
        <v>0</v>
      </c>
      <c r="H2193" s="20" t="s">
        <v>7158</v>
      </c>
      <c r="I2193" s="20" t="s">
        <v>4975</v>
      </c>
      <c r="J2193" s="20" t="s">
        <v>3160</v>
      </c>
      <c r="K2193" s="20" t="s">
        <v>10013</v>
      </c>
      <c r="L2193" s="3">
        <v>18</v>
      </c>
      <c r="M2193" s="3" t="s">
        <v>10101</v>
      </c>
      <c r="N2193" s="3" t="str">
        <f>HYPERLINK("http://ictvonline.org/taxonomyHistory.asp?taxnode_id=20162074","ICTVonline=20162074")</f>
        <v>ICTVonline=20162074</v>
      </c>
    </row>
    <row r="2194" spans="1:14" x14ac:dyDescent="0.15">
      <c r="A2194" s="3">
        <v>2193</v>
      </c>
      <c r="B2194" s="1" t="s">
        <v>926</v>
      </c>
      <c r="C2194" s="1" t="s">
        <v>1856</v>
      </c>
      <c r="E2194" s="1" t="s">
        <v>1865</v>
      </c>
      <c r="F2194" s="1" t="s">
        <v>781</v>
      </c>
      <c r="G2194" s="3">
        <v>0</v>
      </c>
      <c r="H2194" s="20" t="s">
        <v>7159</v>
      </c>
      <c r="I2194" s="20" t="s">
        <v>4972</v>
      </c>
      <c r="J2194" s="20" t="s">
        <v>3160</v>
      </c>
      <c r="K2194" s="20" t="s">
        <v>10021</v>
      </c>
      <c r="L2194" s="3">
        <v>18</v>
      </c>
      <c r="M2194" s="3" t="s">
        <v>10101</v>
      </c>
      <c r="N2194" s="3" t="str">
        <f>HYPERLINK("http://ictvonline.org/taxonomyHistory.asp?taxnode_id=20162075","ICTVonline=20162075")</f>
        <v>ICTVonline=20162075</v>
      </c>
    </row>
    <row r="2195" spans="1:14" x14ac:dyDescent="0.15">
      <c r="A2195" s="3">
        <v>2194</v>
      </c>
      <c r="B2195" s="1" t="s">
        <v>926</v>
      </c>
      <c r="C2195" s="1" t="s">
        <v>1856</v>
      </c>
      <c r="E2195" s="1" t="s">
        <v>1865</v>
      </c>
      <c r="F2195" s="1" t="s">
        <v>72</v>
      </c>
      <c r="G2195" s="3">
        <v>0</v>
      </c>
      <c r="H2195" s="20" t="s">
        <v>7160</v>
      </c>
      <c r="I2195" s="20" t="s">
        <v>4976</v>
      </c>
      <c r="J2195" s="20" t="s">
        <v>3160</v>
      </c>
      <c r="K2195" s="20" t="s">
        <v>10013</v>
      </c>
      <c r="L2195" s="3">
        <v>26</v>
      </c>
      <c r="M2195" s="3" t="s">
        <v>10236</v>
      </c>
      <c r="N2195" s="3" t="str">
        <f>HYPERLINK("http://ictvonline.org/taxonomyHistory.asp?taxnode_id=20162076","ICTVonline=20162076")</f>
        <v>ICTVonline=20162076</v>
      </c>
    </row>
    <row r="2196" spans="1:14" x14ac:dyDescent="0.15">
      <c r="A2196" s="3">
        <v>2195</v>
      </c>
      <c r="B2196" s="1" t="s">
        <v>926</v>
      </c>
      <c r="C2196" s="1" t="s">
        <v>1856</v>
      </c>
      <c r="E2196" s="1" t="s">
        <v>1865</v>
      </c>
      <c r="F2196" s="1" t="s">
        <v>782</v>
      </c>
      <c r="G2196" s="3">
        <v>0</v>
      </c>
      <c r="H2196" s="20" t="s">
        <v>7161</v>
      </c>
      <c r="I2196" s="20" t="s">
        <v>4661</v>
      </c>
      <c r="J2196" s="20" t="s">
        <v>3160</v>
      </c>
      <c r="K2196" s="20" t="s">
        <v>10016</v>
      </c>
      <c r="L2196" s="3">
        <v>13</v>
      </c>
      <c r="M2196" s="3" t="s">
        <v>10225</v>
      </c>
      <c r="N2196" s="3" t="str">
        <f>HYPERLINK("http://ictvonline.org/taxonomyHistory.asp?taxnode_id=20162077","ICTVonline=20162077")</f>
        <v>ICTVonline=20162077</v>
      </c>
    </row>
    <row r="2197" spans="1:14" x14ac:dyDescent="0.15">
      <c r="A2197" s="3">
        <v>2196</v>
      </c>
      <c r="B2197" s="1" t="s">
        <v>926</v>
      </c>
      <c r="C2197" s="1" t="s">
        <v>1856</v>
      </c>
      <c r="E2197" s="1" t="s">
        <v>1865</v>
      </c>
      <c r="F2197" s="1" t="s">
        <v>228</v>
      </c>
      <c r="G2197" s="3">
        <v>0</v>
      </c>
      <c r="H2197" s="20" t="s">
        <v>7162</v>
      </c>
      <c r="I2197" s="20" t="s">
        <v>4977</v>
      </c>
      <c r="J2197" s="20" t="s">
        <v>3160</v>
      </c>
      <c r="K2197" s="20" t="s">
        <v>10016</v>
      </c>
      <c r="L2197" s="3">
        <v>13</v>
      </c>
      <c r="M2197" s="3" t="s">
        <v>10225</v>
      </c>
      <c r="N2197" s="3" t="str">
        <f>HYPERLINK("http://ictvonline.org/taxonomyHistory.asp?taxnode_id=20162078","ICTVonline=20162078")</f>
        <v>ICTVonline=20162078</v>
      </c>
    </row>
    <row r="2198" spans="1:14" x14ac:dyDescent="0.15">
      <c r="A2198" s="3">
        <v>2197</v>
      </c>
      <c r="B2198" s="1" t="s">
        <v>926</v>
      </c>
      <c r="C2198" s="1" t="s">
        <v>1856</v>
      </c>
      <c r="E2198" s="1" t="s">
        <v>1865</v>
      </c>
      <c r="F2198" s="1" t="s">
        <v>229</v>
      </c>
      <c r="G2198" s="3">
        <v>0</v>
      </c>
      <c r="H2198" s="20" t="s">
        <v>7163</v>
      </c>
      <c r="I2198" s="20" t="s">
        <v>4978</v>
      </c>
      <c r="J2198" s="20" t="s">
        <v>3160</v>
      </c>
      <c r="K2198" s="20" t="s">
        <v>10016</v>
      </c>
      <c r="L2198" s="3">
        <v>13</v>
      </c>
      <c r="M2198" s="3" t="s">
        <v>10225</v>
      </c>
      <c r="N2198" s="3" t="str">
        <f>HYPERLINK("http://ictvonline.org/taxonomyHistory.asp?taxnode_id=20162079","ICTVonline=20162079")</f>
        <v>ICTVonline=20162079</v>
      </c>
    </row>
    <row r="2199" spans="1:14" x14ac:dyDescent="0.15">
      <c r="A2199" s="3">
        <v>2198</v>
      </c>
      <c r="B2199" s="1" t="s">
        <v>926</v>
      </c>
      <c r="C2199" s="1" t="s">
        <v>1856</v>
      </c>
      <c r="E2199" s="1" t="s">
        <v>1865</v>
      </c>
      <c r="F2199" s="1" t="s">
        <v>230</v>
      </c>
      <c r="G2199" s="3">
        <v>0</v>
      </c>
      <c r="H2199" s="20" t="s">
        <v>7164</v>
      </c>
      <c r="I2199" s="20" t="s">
        <v>4979</v>
      </c>
      <c r="J2199" s="20" t="s">
        <v>3160</v>
      </c>
      <c r="K2199" s="20" t="s">
        <v>10216</v>
      </c>
      <c r="L2199" s="3">
        <v>14</v>
      </c>
      <c r="M2199" s="3" t="s">
        <v>10234</v>
      </c>
      <c r="N2199" s="3" t="str">
        <f>HYPERLINK("http://ictvonline.org/taxonomyHistory.asp?taxnode_id=20162080","ICTVonline=20162080")</f>
        <v>ICTVonline=20162080</v>
      </c>
    </row>
    <row r="2200" spans="1:14" x14ac:dyDescent="0.15">
      <c r="A2200" s="3">
        <v>2199</v>
      </c>
      <c r="B2200" s="1" t="s">
        <v>926</v>
      </c>
      <c r="C2200" s="1" t="s">
        <v>1856</v>
      </c>
      <c r="E2200" s="1" t="s">
        <v>1865</v>
      </c>
      <c r="F2200" s="1" t="s">
        <v>1251</v>
      </c>
      <c r="G2200" s="3">
        <v>0</v>
      </c>
      <c r="H2200" s="20" t="s">
        <v>7165</v>
      </c>
      <c r="I2200" s="20" t="s">
        <v>4970</v>
      </c>
      <c r="J2200" s="20" t="s">
        <v>3160</v>
      </c>
      <c r="K2200" s="20" t="s">
        <v>10016</v>
      </c>
      <c r="L2200" s="3">
        <v>13</v>
      </c>
      <c r="M2200" s="3" t="s">
        <v>10225</v>
      </c>
      <c r="N2200" s="3" t="str">
        <f>HYPERLINK("http://ictvonline.org/taxonomyHistory.asp?taxnode_id=20162081","ICTVonline=20162081")</f>
        <v>ICTVonline=20162081</v>
      </c>
    </row>
    <row r="2201" spans="1:14" x14ac:dyDescent="0.15">
      <c r="A2201" s="3">
        <v>2200</v>
      </c>
      <c r="B2201" s="1" t="s">
        <v>926</v>
      </c>
      <c r="C2201" s="1" t="s">
        <v>1856</v>
      </c>
      <c r="E2201" s="1" t="s">
        <v>1865</v>
      </c>
      <c r="F2201" s="1" t="s">
        <v>73</v>
      </c>
      <c r="G2201" s="3">
        <v>0</v>
      </c>
      <c r="H2201" s="20" t="s">
        <v>7166</v>
      </c>
      <c r="I2201" s="20" t="s">
        <v>4980</v>
      </c>
      <c r="J2201" s="20" t="s">
        <v>3160</v>
      </c>
      <c r="K2201" s="20" t="s">
        <v>10013</v>
      </c>
      <c r="L2201" s="3">
        <v>26</v>
      </c>
      <c r="M2201" s="3" t="s">
        <v>10235</v>
      </c>
      <c r="N2201" s="3" t="str">
        <f>HYPERLINK("http://ictvonline.org/taxonomyHistory.asp?taxnode_id=20162082","ICTVonline=20162082")</f>
        <v>ICTVonline=20162082</v>
      </c>
    </row>
    <row r="2202" spans="1:14" x14ac:dyDescent="0.15">
      <c r="A2202" s="3">
        <v>2201</v>
      </c>
      <c r="B2202" s="1" t="s">
        <v>926</v>
      </c>
      <c r="C2202" s="1" t="s">
        <v>1856</v>
      </c>
      <c r="E2202" s="1" t="s">
        <v>1865</v>
      </c>
      <c r="F2202" s="1" t="s">
        <v>2037</v>
      </c>
      <c r="G2202" s="3">
        <v>1</v>
      </c>
      <c r="H2202" s="20" t="s">
        <v>7167</v>
      </c>
      <c r="I2202" s="20" t="s">
        <v>4981</v>
      </c>
      <c r="J2202" s="20" t="s">
        <v>3160</v>
      </c>
      <c r="K2202" s="20" t="s">
        <v>10016</v>
      </c>
      <c r="L2202" s="3">
        <v>13</v>
      </c>
      <c r="M2202" s="3" t="s">
        <v>10225</v>
      </c>
      <c r="N2202" s="3" t="str">
        <f>HYPERLINK("http://ictvonline.org/taxonomyHistory.asp?taxnode_id=20162083","ICTVonline=20162083")</f>
        <v>ICTVonline=20162083</v>
      </c>
    </row>
    <row r="2203" spans="1:14" x14ac:dyDescent="0.15">
      <c r="A2203" s="3">
        <v>2202</v>
      </c>
      <c r="B2203" s="1" t="s">
        <v>926</v>
      </c>
      <c r="C2203" s="1" t="s">
        <v>1856</v>
      </c>
      <c r="E2203" s="1" t="s">
        <v>1865</v>
      </c>
      <c r="F2203" s="1" t="s">
        <v>2038</v>
      </c>
      <c r="G2203" s="3">
        <v>0</v>
      </c>
      <c r="H2203" s="20" t="s">
        <v>7168</v>
      </c>
      <c r="I2203" s="20" t="s">
        <v>4970</v>
      </c>
      <c r="J2203" s="20" t="s">
        <v>3160</v>
      </c>
      <c r="K2203" s="20" t="s">
        <v>10016</v>
      </c>
      <c r="L2203" s="3">
        <v>13</v>
      </c>
      <c r="M2203" s="3" t="s">
        <v>10225</v>
      </c>
      <c r="N2203" s="3" t="str">
        <f>HYPERLINK("http://ictvonline.org/taxonomyHistory.asp?taxnode_id=20162084","ICTVonline=20162084")</f>
        <v>ICTVonline=20162084</v>
      </c>
    </row>
    <row r="2204" spans="1:14" x14ac:dyDescent="0.15">
      <c r="A2204" s="3">
        <v>2203</v>
      </c>
      <c r="B2204" s="1" t="s">
        <v>926</v>
      </c>
      <c r="C2204" s="1" t="s">
        <v>1856</v>
      </c>
      <c r="E2204" s="1" t="s">
        <v>2039</v>
      </c>
      <c r="F2204" s="1" t="s">
        <v>2040</v>
      </c>
      <c r="G2204" s="3">
        <v>1</v>
      </c>
      <c r="H2204" s="20" t="s">
        <v>7169</v>
      </c>
      <c r="I2204" s="20" t="s">
        <v>4982</v>
      </c>
      <c r="J2204" s="20" t="s">
        <v>3160</v>
      </c>
      <c r="K2204" s="20" t="s">
        <v>10072</v>
      </c>
      <c r="L2204" s="3">
        <v>16</v>
      </c>
      <c r="M2204" s="3" t="s">
        <v>10237</v>
      </c>
      <c r="N2204" s="3" t="str">
        <f>HYPERLINK("http://ictvonline.org/taxonomyHistory.asp?taxnode_id=20162086","ICTVonline=20162086")</f>
        <v>ICTVonline=20162086</v>
      </c>
    </row>
    <row r="2205" spans="1:14" x14ac:dyDescent="0.15">
      <c r="A2205" s="3">
        <v>2204</v>
      </c>
      <c r="B2205" s="1" t="s">
        <v>926</v>
      </c>
      <c r="C2205" s="1" t="s">
        <v>2078</v>
      </c>
      <c r="E2205" s="1" t="s">
        <v>2079</v>
      </c>
      <c r="F2205" s="1" t="s">
        <v>2080</v>
      </c>
      <c r="G2205" s="3">
        <v>0</v>
      </c>
      <c r="J2205" s="20" t="s">
        <v>3160</v>
      </c>
      <c r="K2205" s="20" t="s">
        <v>10021</v>
      </c>
      <c r="L2205" s="3">
        <v>18</v>
      </c>
      <c r="M2205" s="3" t="s">
        <v>10101</v>
      </c>
      <c r="N2205" s="3" t="str">
        <f>HYPERLINK("http://ictvonline.org/taxonomyHistory.asp?taxnode_id=20162197","ICTVonline=20162197")</f>
        <v>ICTVonline=20162197</v>
      </c>
    </row>
    <row r="2206" spans="1:14" x14ac:dyDescent="0.15">
      <c r="A2206" s="3">
        <v>2205</v>
      </c>
      <c r="B2206" s="1" t="s">
        <v>926</v>
      </c>
      <c r="C2206" s="1" t="s">
        <v>2078</v>
      </c>
      <c r="E2206" s="1" t="s">
        <v>2079</v>
      </c>
      <c r="F2206" s="1" t="s">
        <v>2081</v>
      </c>
      <c r="G2206" s="3">
        <v>1</v>
      </c>
      <c r="J2206" s="20" t="s">
        <v>3160</v>
      </c>
      <c r="K2206" s="20" t="s">
        <v>10076</v>
      </c>
      <c r="L2206" s="3">
        <v>17</v>
      </c>
      <c r="M2206" s="3" t="s">
        <v>10208</v>
      </c>
      <c r="N2206" s="3" t="str">
        <f>HYPERLINK("http://ictvonline.org/taxonomyHistory.asp?taxnode_id=20162198","ICTVonline=20162198")</f>
        <v>ICTVonline=20162198</v>
      </c>
    </row>
    <row r="2207" spans="1:14" x14ac:dyDescent="0.15">
      <c r="A2207" s="3">
        <v>2206</v>
      </c>
      <c r="B2207" s="1" t="s">
        <v>926</v>
      </c>
      <c r="C2207" s="1" t="s">
        <v>2078</v>
      </c>
      <c r="E2207" s="1" t="s">
        <v>1910</v>
      </c>
      <c r="F2207" s="1" t="s">
        <v>1911</v>
      </c>
      <c r="G2207" s="3">
        <v>1</v>
      </c>
      <c r="J2207" s="20" t="s">
        <v>3160</v>
      </c>
      <c r="K2207" s="20" t="s">
        <v>10072</v>
      </c>
      <c r="L2207" s="3">
        <v>25</v>
      </c>
      <c r="M2207" s="3" t="s">
        <v>10238</v>
      </c>
      <c r="N2207" s="3" t="str">
        <f>HYPERLINK("http://ictvonline.org/taxonomyHistory.asp?taxnode_id=20162200","ICTVonline=20162200")</f>
        <v>ICTVonline=20162200</v>
      </c>
    </row>
    <row r="2208" spans="1:14" x14ac:dyDescent="0.15">
      <c r="A2208" s="3">
        <v>2207</v>
      </c>
      <c r="B2208" s="1" t="s">
        <v>926</v>
      </c>
      <c r="C2208" s="1" t="s">
        <v>2078</v>
      </c>
      <c r="E2208" s="1" t="s">
        <v>2082</v>
      </c>
      <c r="F2208" s="1" t="s">
        <v>2083</v>
      </c>
      <c r="G2208" s="3">
        <v>1</v>
      </c>
      <c r="J2208" s="20" t="s">
        <v>3160</v>
      </c>
      <c r="K2208" s="20" t="s">
        <v>10016</v>
      </c>
      <c r="L2208" s="3">
        <v>20</v>
      </c>
      <c r="M2208" s="3" t="s">
        <v>10115</v>
      </c>
      <c r="N2208" s="3" t="str">
        <f>HYPERLINK("http://ictvonline.org/taxonomyHistory.asp?taxnode_id=20162202","ICTVonline=20162202")</f>
        <v>ICTVonline=20162202</v>
      </c>
    </row>
    <row r="2209" spans="1:14" x14ac:dyDescent="0.15">
      <c r="A2209" s="3">
        <v>2208</v>
      </c>
      <c r="B2209" s="1" t="s">
        <v>926</v>
      </c>
      <c r="C2209" s="1" t="s">
        <v>2078</v>
      </c>
      <c r="E2209" s="1" t="s">
        <v>2084</v>
      </c>
      <c r="F2209" s="1" t="s">
        <v>2085</v>
      </c>
      <c r="G2209" s="3">
        <v>1</v>
      </c>
      <c r="J2209" s="20" t="s">
        <v>3160</v>
      </c>
      <c r="K2209" s="20" t="s">
        <v>10016</v>
      </c>
      <c r="L2209" s="3">
        <v>20</v>
      </c>
      <c r="M2209" s="3" t="s">
        <v>10115</v>
      </c>
      <c r="N2209" s="3" t="str">
        <f>HYPERLINK("http://ictvonline.org/taxonomyHistory.asp?taxnode_id=20162204","ICTVonline=20162204")</f>
        <v>ICTVonline=20162204</v>
      </c>
    </row>
    <row r="2210" spans="1:14" x14ac:dyDescent="0.15">
      <c r="A2210" s="3">
        <v>2209</v>
      </c>
      <c r="B2210" s="1" t="s">
        <v>926</v>
      </c>
      <c r="C2210" s="1" t="s">
        <v>2078</v>
      </c>
      <c r="E2210" s="1" t="s">
        <v>2086</v>
      </c>
      <c r="F2210" s="1" t="s">
        <v>2087</v>
      </c>
      <c r="G2210" s="3">
        <v>0</v>
      </c>
      <c r="J2210" s="20" t="s">
        <v>3160</v>
      </c>
      <c r="K2210" s="20" t="s">
        <v>10016</v>
      </c>
      <c r="L2210" s="3">
        <v>17</v>
      </c>
      <c r="M2210" s="3" t="s">
        <v>10208</v>
      </c>
      <c r="N2210" s="3" t="str">
        <f>HYPERLINK("http://ictvonline.org/taxonomyHistory.asp?taxnode_id=20162206","ICTVonline=20162206")</f>
        <v>ICTVonline=20162206</v>
      </c>
    </row>
    <row r="2211" spans="1:14" x14ac:dyDescent="0.15">
      <c r="A2211" s="3">
        <v>2210</v>
      </c>
      <c r="B2211" s="1" t="s">
        <v>926</v>
      </c>
      <c r="C2211" s="1" t="s">
        <v>2078</v>
      </c>
      <c r="E2211" s="1" t="s">
        <v>2086</v>
      </c>
      <c r="F2211" s="1" t="s">
        <v>2088</v>
      </c>
      <c r="G2211" s="3">
        <v>1</v>
      </c>
      <c r="J2211" s="20" t="s">
        <v>3160</v>
      </c>
      <c r="K2211" s="20" t="s">
        <v>10239</v>
      </c>
      <c r="L2211" s="3">
        <v>18</v>
      </c>
      <c r="M2211" s="3" t="s">
        <v>10101</v>
      </c>
      <c r="N2211" s="3" t="str">
        <f>HYPERLINK("http://ictvonline.org/taxonomyHistory.asp?taxnode_id=20162207","ICTVonline=20162207")</f>
        <v>ICTVonline=20162207</v>
      </c>
    </row>
    <row r="2212" spans="1:14" x14ac:dyDescent="0.15">
      <c r="A2212" s="3">
        <v>2211</v>
      </c>
      <c r="B2212" s="1" t="s">
        <v>926</v>
      </c>
      <c r="C2212" s="1" t="s">
        <v>74</v>
      </c>
      <c r="E2212" s="1" t="s">
        <v>75</v>
      </c>
      <c r="F2212" s="1" t="s">
        <v>1623</v>
      </c>
      <c r="G2212" s="3">
        <v>1</v>
      </c>
      <c r="J2212" s="20" t="s">
        <v>3160</v>
      </c>
      <c r="K2212" s="20" t="s">
        <v>10076</v>
      </c>
      <c r="L2212" s="3">
        <v>26</v>
      </c>
      <c r="M2212" s="3" t="s">
        <v>10192</v>
      </c>
      <c r="N2212" s="3" t="str">
        <f>HYPERLINK("http://ictvonline.org/taxonomyHistory.asp?taxnode_id=20162211","ICTVonline=20162211")</f>
        <v>ICTVonline=20162211</v>
      </c>
    </row>
    <row r="2213" spans="1:14" x14ac:dyDescent="0.15">
      <c r="A2213" s="3">
        <v>2212</v>
      </c>
      <c r="B2213" s="1" t="s">
        <v>926</v>
      </c>
      <c r="C2213" s="1" t="s">
        <v>2089</v>
      </c>
      <c r="E2213" s="1" t="s">
        <v>2090</v>
      </c>
      <c r="F2213" s="1" t="s">
        <v>2091</v>
      </c>
      <c r="G2213" s="3">
        <v>0</v>
      </c>
      <c r="J2213" s="20" t="s">
        <v>5115</v>
      </c>
      <c r="K2213" s="20" t="s">
        <v>10013</v>
      </c>
      <c r="L2213" s="3">
        <v>18</v>
      </c>
      <c r="M2213" s="3" t="s">
        <v>10101</v>
      </c>
      <c r="N2213" s="3" t="str">
        <f>HYPERLINK("http://ictvonline.org/taxonomyHistory.asp?taxnode_id=20162215","ICTVonline=20162215")</f>
        <v>ICTVonline=20162215</v>
      </c>
    </row>
    <row r="2214" spans="1:14" x14ac:dyDescent="0.15">
      <c r="A2214" s="3">
        <v>2213</v>
      </c>
      <c r="B2214" s="1" t="s">
        <v>926</v>
      </c>
      <c r="C2214" s="1" t="s">
        <v>2089</v>
      </c>
      <c r="E2214" s="1" t="s">
        <v>2090</v>
      </c>
      <c r="F2214" s="1" t="s">
        <v>2206</v>
      </c>
      <c r="G2214" s="3">
        <v>0</v>
      </c>
      <c r="H2214" s="20" t="s">
        <v>7170</v>
      </c>
      <c r="I2214" s="20" t="s">
        <v>7171</v>
      </c>
      <c r="J2214" s="20" t="s">
        <v>5115</v>
      </c>
      <c r="K2214" s="20" t="s">
        <v>10021</v>
      </c>
      <c r="L2214" s="3">
        <v>26</v>
      </c>
      <c r="M2214" s="3" t="s">
        <v>10240</v>
      </c>
      <c r="N2214" s="3" t="str">
        <f>HYPERLINK("http://ictvonline.org/taxonomyHistory.asp?taxnode_id=20162216","ICTVonline=20162216")</f>
        <v>ICTVonline=20162216</v>
      </c>
    </row>
    <row r="2215" spans="1:14" x14ac:dyDescent="0.15">
      <c r="A2215" s="3">
        <v>2214</v>
      </c>
      <c r="B2215" s="1" t="s">
        <v>926</v>
      </c>
      <c r="C2215" s="1" t="s">
        <v>2089</v>
      </c>
      <c r="E2215" s="1" t="s">
        <v>2090</v>
      </c>
      <c r="F2215" s="1" t="s">
        <v>2777</v>
      </c>
      <c r="G2215" s="3">
        <v>0</v>
      </c>
      <c r="H2215" s="20" t="s">
        <v>5116</v>
      </c>
      <c r="I2215" s="20" t="s">
        <v>5117</v>
      </c>
      <c r="J2215" s="20" t="s">
        <v>5115</v>
      </c>
      <c r="K2215" s="20" t="s">
        <v>10013</v>
      </c>
      <c r="L2215" s="3">
        <v>29</v>
      </c>
      <c r="M2215" s="3" t="s">
        <v>10241</v>
      </c>
      <c r="N2215" s="3" t="str">
        <f>HYPERLINK("http://ictvonline.org/taxonomyHistory.asp?taxnode_id=20162217","ICTVonline=20162217")</f>
        <v>ICTVonline=20162217</v>
      </c>
    </row>
    <row r="2216" spans="1:14" x14ac:dyDescent="0.15">
      <c r="A2216" s="3">
        <v>2215</v>
      </c>
      <c r="B2216" s="1" t="s">
        <v>926</v>
      </c>
      <c r="C2216" s="1" t="s">
        <v>2089</v>
      </c>
      <c r="E2216" s="1" t="s">
        <v>2090</v>
      </c>
      <c r="F2216" s="1" t="s">
        <v>574</v>
      </c>
      <c r="G2216" s="3">
        <v>0</v>
      </c>
      <c r="H2216" s="20" t="s">
        <v>7374</v>
      </c>
      <c r="I2216" s="20" t="s">
        <v>4747</v>
      </c>
      <c r="J2216" s="20" t="s">
        <v>5115</v>
      </c>
      <c r="K2216" s="20" t="s">
        <v>10021</v>
      </c>
      <c r="L2216" s="3">
        <v>26</v>
      </c>
      <c r="M2216" s="3" t="s">
        <v>10240</v>
      </c>
      <c r="N2216" s="3" t="str">
        <f>HYPERLINK("http://ictvonline.org/taxonomyHistory.asp?taxnode_id=20162218","ICTVonline=20162218")</f>
        <v>ICTVonline=20162218</v>
      </c>
    </row>
    <row r="2217" spans="1:14" x14ac:dyDescent="0.15">
      <c r="A2217" s="3">
        <v>2216</v>
      </c>
      <c r="B2217" s="1" t="s">
        <v>926</v>
      </c>
      <c r="C2217" s="1" t="s">
        <v>2089</v>
      </c>
      <c r="E2217" s="1" t="s">
        <v>2090</v>
      </c>
      <c r="F2217" s="1" t="s">
        <v>2207</v>
      </c>
      <c r="G2217" s="3">
        <v>0</v>
      </c>
      <c r="H2217" s="20" t="s">
        <v>7375</v>
      </c>
      <c r="I2217" s="20" t="s">
        <v>6340</v>
      </c>
      <c r="J2217" s="20" t="s">
        <v>5115</v>
      </c>
      <c r="K2217" s="20" t="s">
        <v>10021</v>
      </c>
      <c r="L2217" s="3">
        <v>26</v>
      </c>
      <c r="M2217" s="3" t="s">
        <v>10240</v>
      </c>
      <c r="N2217" s="3" t="str">
        <f>HYPERLINK("http://ictvonline.org/taxonomyHistory.asp?taxnode_id=20162219","ICTVonline=20162219")</f>
        <v>ICTVonline=20162219</v>
      </c>
    </row>
    <row r="2218" spans="1:14" x14ac:dyDescent="0.15">
      <c r="A2218" s="3">
        <v>2217</v>
      </c>
      <c r="B2218" s="1" t="s">
        <v>926</v>
      </c>
      <c r="C2218" s="1" t="s">
        <v>2089</v>
      </c>
      <c r="E2218" s="1" t="s">
        <v>2090</v>
      </c>
      <c r="F2218" s="1" t="s">
        <v>2778</v>
      </c>
      <c r="G2218" s="3">
        <v>0</v>
      </c>
      <c r="H2218" s="20" t="s">
        <v>3179</v>
      </c>
      <c r="I2218" s="20" t="s">
        <v>5117</v>
      </c>
      <c r="J2218" s="20" t="s">
        <v>5115</v>
      </c>
      <c r="K2218" s="20" t="s">
        <v>10013</v>
      </c>
      <c r="L2218" s="3">
        <v>29</v>
      </c>
      <c r="M2218" s="3" t="s">
        <v>10241</v>
      </c>
      <c r="N2218" s="3" t="str">
        <f>HYPERLINK("http://ictvonline.org/taxonomyHistory.asp?taxnode_id=20162220","ICTVonline=20162220")</f>
        <v>ICTVonline=20162220</v>
      </c>
    </row>
    <row r="2219" spans="1:14" x14ac:dyDescent="0.15">
      <c r="A2219" s="3">
        <v>2218</v>
      </c>
      <c r="B2219" s="1" t="s">
        <v>926</v>
      </c>
      <c r="C2219" s="1" t="s">
        <v>2089</v>
      </c>
      <c r="E2219" s="1" t="s">
        <v>2090</v>
      </c>
      <c r="F2219" s="1" t="s">
        <v>2779</v>
      </c>
      <c r="G2219" s="3">
        <v>0</v>
      </c>
      <c r="H2219" s="20" t="s">
        <v>3180</v>
      </c>
      <c r="I2219" s="20" t="s">
        <v>4785</v>
      </c>
      <c r="J2219" s="20" t="s">
        <v>5115</v>
      </c>
      <c r="K2219" s="20" t="s">
        <v>10013</v>
      </c>
      <c r="L2219" s="3">
        <v>29</v>
      </c>
      <c r="M2219" s="3" t="s">
        <v>10241</v>
      </c>
      <c r="N2219" s="3" t="str">
        <f>HYPERLINK("http://ictvonline.org/taxonomyHistory.asp?taxnode_id=20162221","ICTVonline=20162221")</f>
        <v>ICTVonline=20162221</v>
      </c>
    </row>
    <row r="2220" spans="1:14" x14ac:dyDescent="0.15">
      <c r="A2220" s="3">
        <v>2219</v>
      </c>
      <c r="B2220" s="1" t="s">
        <v>926</v>
      </c>
      <c r="C2220" s="1" t="s">
        <v>2089</v>
      </c>
      <c r="E2220" s="1" t="s">
        <v>2090</v>
      </c>
      <c r="F2220" s="1" t="s">
        <v>2780</v>
      </c>
      <c r="G2220" s="3">
        <v>0</v>
      </c>
      <c r="H2220" s="20" t="s">
        <v>3181</v>
      </c>
      <c r="I2220" s="20" t="s">
        <v>4785</v>
      </c>
      <c r="J2220" s="20" t="s">
        <v>5115</v>
      </c>
      <c r="K2220" s="20" t="s">
        <v>10013</v>
      </c>
      <c r="L2220" s="3">
        <v>29</v>
      </c>
      <c r="M2220" s="3" t="s">
        <v>10241</v>
      </c>
      <c r="N2220" s="3" t="str">
        <f>HYPERLINK("http://ictvonline.org/taxonomyHistory.asp?taxnode_id=20162222","ICTVonline=20162222")</f>
        <v>ICTVonline=20162222</v>
      </c>
    </row>
    <row r="2221" spans="1:14" x14ac:dyDescent="0.15">
      <c r="A2221" s="3">
        <v>2220</v>
      </c>
      <c r="B2221" s="1" t="s">
        <v>926</v>
      </c>
      <c r="C2221" s="1" t="s">
        <v>2089</v>
      </c>
      <c r="E2221" s="1" t="s">
        <v>2090</v>
      </c>
      <c r="F2221" s="1" t="s">
        <v>2781</v>
      </c>
      <c r="G2221" s="3">
        <v>0</v>
      </c>
      <c r="H2221" s="20" t="s">
        <v>3182</v>
      </c>
      <c r="I2221" s="20" t="s">
        <v>4785</v>
      </c>
      <c r="J2221" s="20" t="s">
        <v>5115</v>
      </c>
      <c r="K2221" s="20" t="s">
        <v>10013</v>
      </c>
      <c r="L2221" s="3">
        <v>29</v>
      </c>
      <c r="M2221" s="3" t="s">
        <v>10241</v>
      </c>
      <c r="N2221" s="3" t="str">
        <f>HYPERLINK("http://ictvonline.org/taxonomyHistory.asp?taxnode_id=20162223","ICTVonline=20162223")</f>
        <v>ICTVonline=20162223</v>
      </c>
    </row>
    <row r="2222" spans="1:14" x14ac:dyDescent="0.15">
      <c r="A2222" s="3">
        <v>2221</v>
      </c>
      <c r="B2222" s="1" t="s">
        <v>926</v>
      </c>
      <c r="C2222" s="1" t="s">
        <v>2089</v>
      </c>
      <c r="E2222" s="1" t="s">
        <v>2090</v>
      </c>
      <c r="F2222" s="1" t="s">
        <v>76</v>
      </c>
      <c r="G2222" s="3">
        <v>0</v>
      </c>
      <c r="H2222" s="20" t="s">
        <v>5118</v>
      </c>
      <c r="I2222" s="20" t="s">
        <v>5119</v>
      </c>
      <c r="J2222" s="20" t="s">
        <v>5115</v>
      </c>
      <c r="K2222" s="20" t="s">
        <v>10013</v>
      </c>
      <c r="L2222" s="3">
        <v>26</v>
      </c>
      <c r="M2222" s="3" t="s">
        <v>10240</v>
      </c>
      <c r="N2222" s="3" t="str">
        <f>HYPERLINK("http://ictvonline.org/taxonomyHistory.asp?taxnode_id=20162224","ICTVonline=20162224")</f>
        <v>ICTVonline=20162224</v>
      </c>
    </row>
    <row r="2223" spans="1:14" x14ac:dyDescent="0.15">
      <c r="A2223" s="3">
        <v>2222</v>
      </c>
      <c r="B2223" s="1" t="s">
        <v>926</v>
      </c>
      <c r="C2223" s="1" t="s">
        <v>2089</v>
      </c>
      <c r="E2223" s="1" t="s">
        <v>2090</v>
      </c>
      <c r="F2223" s="1" t="s">
        <v>77</v>
      </c>
      <c r="G2223" s="3">
        <v>0</v>
      </c>
      <c r="H2223" s="20" t="s">
        <v>5120</v>
      </c>
      <c r="I2223" s="20" t="s">
        <v>4671</v>
      </c>
      <c r="J2223" s="20" t="s">
        <v>5115</v>
      </c>
      <c r="K2223" s="20" t="s">
        <v>10013</v>
      </c>
      <c r="L2223" s="3">
        <v>26</v>
      </c>
      <c r="M2223" s="3" t="s">
        <v>10240</v>
      </c>
      <c r="N2223" s="3" t="str">
        <f>HYPERLINK("http://ictvonline.org/taxonomyHistory.asp?taxnode_id=20162225","ICTVonline=20162225")</f>
        <v>ICTVonline=20162225</v>
      </c>
    </row>
    <row r="2224" spans="1:14" x14ac:dyDescent="0.15">
      <c r="A2224" s="3">
        <v>2223</v>
      </c>
      <c r="B2224" s="1" t="s">
        <v>926</v>
      </c>
      <c r="C2224" s="1" t="s">
        <v>2089</v>
      </c>
      <c r="E2224" s="1" t="s">
        <v>2090</v>
      </c>
      <c r="F2224" s="1" t="s">
        <v>5121</v>
      </c>
      <c r="G2224" s="3">
        <v>0</v>
      </c>
      <c r="H2224" s="20" t="s">
        <v>6834</v>
      </c>
      <c r="I2224" s="20" t="s">
        <v>5122</v>
      </c>
      <c r="J2224" s="20" t="s">
        <v>5115</v>
      </c>
      <c r="K2224" s="20" t="s">
        <v>10013</v>
      </c>
      <c r="L2224" s="3">
        <v>30</v>
      </c>
      <c r="M2224" s="3" t="s">
        <v>10242</v>
      </c>
      <c r="N2224" s="3" t="str">
        <f>HYPERLINK("http://ictvonline.org/taxonomyHistory.asp?taxnode_id=20162226","ICTVonline=20162226")</f>
        <v>ICTVonline=20162226</v>
      </c>
    </row>
    <row r="2225" spans="1:14" x14ac:dyDescent="0.15">
      <c r="A2225" s="3">
        <v>2224</v>
      </c>
      <c r="B2225" s="1" t="s">
        <v>926</v>
      </c>
      <c r="C2225" s="1" t="s">
        <v>2089</v>
      </c>
      <c r="E2225" s="1" t="s">
        <v>2090</v>
      </c>
      <c r="F2225" s="1" t="s">
        <v>5123</v>
      </c>
      <c r="G2225" s="3">
        <v>0</v>
      </c>
      <c r="H2225" s="20" t="s">
        <v>6835</v>
      </c>
      <c r="I2225" s="20" t="s">
        <v>5124</v>
      </c>
      <c r="J2225" s="20" t="s">
        <v>5115</v>
      </c>
      <c r="K2225" s="20" t="s">
        <v>10013</v>
      </c>
      <c r="L2225" s="3">
        <v>30</v>
      </c>
      <c r="M2225" s="3" t="s">
        <v>10242</v>
      </c>
      <c r="N2225" s="3" t="str">
        <f>HYPERLINK("http://ictvonline.org/taxonomyHistory.asp?taxnode_id=20162227","ICTVonline=20162227")</f>
        <v>ICTVonline=20162227</v>
      </c>
    </row>
    <row r="2226" spans="1:14" x14ac:dyDescent="0.15">
      <c r="A2226" s="3">
        <v>2225</v>
      </c>
      <c r="B2226" s="1" t="s">
        <v>926</v>
      </c>
      <c r="C2226" s="1" t="s">
        <v>2089</v>
      </c>
      <c r="E2226" s="1" t="s">
        <v>2090</v>
      </c>
      <c r="F2226" s="1" t="s">
        <v>2208</v>
      </c>
      <c r="G2226" s="3">
        <v>0</v>
      </c>
      <c r="H2226" s="20" t="s">
        <v>5125</v>
      </c>
      <c r="I2226" s="20" t="s">
        <v>5126</v>
      </c>
      <c r="J2226" s="20" t="s">
        <v>5115</v>
      </c>
      <c r="K2226" s="20" t="s">
        <v>10016</v>
      </c>
      <c r="L2226" s="3">
        <v>16</v>
      </c>
      <c r="M2226" s="3" t="s">
        <v>10237</v>
      </c>
      <c r="N2226" s="3" t="str">
        <f>HYPERLINK("http://ictvonline.org/taxonomyHistory.asp?taxnode_id=20162228","ICTVonline=20162228")</f>
        <v>ICTVonline=20162228</v>
      </c>
    </row>
    <row r="2227" spans="1:14" x14ac:dyDescent="0.15">
      <c r="A2227" s="3">
        <v>2226</v>
      </c>
      <c r="B2227" s="1" t="s">
        <v>926</v>
      </c>
      <c r="C2227" s="1" t="s">
        <v>2089</v>
      </c>
      <c r="E2227" s="1" t="s">
        <v>2090</v>
      </c>
      <c r="F2227" s="1" t="s">
        <v>2096</v>
      </c>
      <c r="G2227" s="3">
        <v>0</v>
      </c>
      <c r="J2227" s="20" t="s">
        <v>5115</v>
      </c>
      <c r="K2227" s="20" t="s">
        <v>10016</v>
      </c>
      <c r="L2227" s="3">
        <v>16</v>
      </c>
      <c r="M2227" s="3" t="s">
        <v>10237</v>
      </c>
      <c r="N2227" s="3" t="str">
        <f>HYPERLINK("http://ictvonline.org/taxonomyHistory.asp?taxnode_id=20162229","ICTVonline=20162229")</f>
        <v>ICTVonline=20162229</v>
      </c>
    </row>
    <row r="2228" spans="1:14" x14ac:dyDescent="0.15">
      <c r="A2228" s="3">
        <v>2227</v>
      </c>
      <c r="B2228" s="1" t="s">
        <v>926</v>
      </c>
      <c r="C2228" s="1" t="s">
        <v>2089</v>
      </c>
      <c r="E2228" s="1" t="s">
        <v>2090</v>
      </c>
      <c r="F2228" s="1" t="s">
        <v>78</v>
      </c>
      <c r="G2228" s="3">
        <v>0</v>
      </c>
      <c r="H2228" s="20" t="s">
        <v>5127</v>
      </c>
      <c r="I2228" s="20" t="s">
        <v>5128</v>
      </c>
      <c r="J2228" s="20" t="s">
        <v>5115</v>
      </c>
      <c r="K2228" s="20" t="s">
        <v>10021</v>
      </c>
      <c r="L2228" s="3">
        <v>26</v>
      </c>
      <c r="M2228" s="3" t="s">
        <v>10240</v>
      </c>
      <c r="N2228" s="3" t="str">
        <f>HYPERLINK("http://ictvonline.org/taxonomyHistory.asp?taxnode_id=20162230","ICTVonline=20162230")</f>
        <v>ICTVonline=20162230</v>
      </c>
    </row>
    <row r="2229" spans="1:14" x14ac:dyDescent="0.15">
      <c r="A2229" s="3">
        <v>2228</v>
      </c>
      <c r="B2229" s="1" t="s">
        <v>926</v>
      </c>
      <c r="C2229" s="1" t="s">
        <v>2089</v>
      </c>
      <c r="E2229" s="1" t="s">
        <v>2090</v>
      </c>
      <c r="F2229" s="1" t="s">
        <v>2013</v>
      </c>
      <c r="G2229" s="3">
        <v>1</v>
      </c>
      <c r="H2229" s="20" t="s">
        <v>5129</v>
      </c>
      <c r="I2229" s="20" t="s">
        <v>5130</v>
      </c>
      <c r="J2229" s="20" t="s">
        <v>5115</v>
      </c>
      <c r="K2229" s="20" t="s">
        <v>10016</v>
      </c>
      <c r="L2229" s="3">
        <v>16</v>
      </c>
      <c r="M2229" s="3" t="s">
        <v>10237</v>
      </c>
      <c r="N2229" s="3" t="str">
        <f>HYPERLINK("http://ictvonline.org/taxonomyHistory.asp?taxnode_id=20162231","ICTVonline=20162231")</f>
        <v>ICTVonline=20162231</v>
      </c>
    </row>
    <row r="2230" spans="1:14" x14ac:dyDescent="0.15">
      <c r="A2230" s="3">
        <v>2229</v>
      </c>
      <c r="B2230" s="1" t="s">
        <v>926</v>
      </c>
      <c r="C2230" s="1" t="s">
        <v>2089</v>
      </c>
      <c r="E2230" s="1" t="s">
        <v>2090</v>
      </c>
      <c r="F2230" s="1" t="s">
        <v>79</v>
      </c>
      <c r="G2230" s="3">
        <v>0</v>
      </c>
      <c r="J2230" s="20" t="s">
        <v>5115</v>
      </c>
      <c r="K2230" s="20" t="s">
        <v>10021</v>
      </c>
      <c r="L2230" s="3">
        <v>26</v>
      </c>
      <c r="M2230" s="3" t="s">
        <v>10240</v>
      </c>
      <c r="N2230" s="3" t="str">
        <f>HYPERLINK("http://ictvonline.org/taxonomyHistory.asp?taxnode_id=20162232","ICTVonline=20162232")</f>
        <v>ICTVonline=20162232</v>
      </c>
    </row>
    <row r="2231" spans="1:14" x14ac:dyDescent="0.15">
      <c r="A2231" s="3">
        <v>2230</v>
      </c>
      <c r="B2231" s="1" t="s">
        <v>926</v>
      </c>
      <c r="C2231" s="1" t="s">
        <v>2089</v>
      </c>
      <c r="E2231" s="1" t="s">
        <v>2090</v>
      </c>
      <c r="F2231" s="1" t="s">
        <v>80</v>
      </c>
      <c r="G2231" s="3">
        <v>0</v>
      </c>
      <c r="H2231" s="20" t="s">
        <v>5131</v>
      </c>
      <c r="I2231" s="20" t="s">
        <v>5132</v>
      </c>
      <c r="J2231" s="20" t="s">
        <v>5115</v>
      </c>
      <c r="K2231" s="20" t="s">
        <v>10013</v>
      </c>
      <c r="L2231" s="3">
        <v>26</v>
      </c>
      <c r="M2231" s="3" t="s">
        <v>10240</v>
      </c>
      <c r="N2231" s="3" t="str">
        <f>HYPERLINK("http://ictvonline.org/taxonomyHistory.asp?taxnode_id=20162233","ICTVonline=20162233")</f>
        <v>ICTVonline=20162233</v>
      </c>
    </row>
    <row r="2232" spans="1:14" x14ac:dyDescent="0.15">
      <c r="A2232" s="3">
        <v>2231</v>
      </c>
      <c r="B2232" s="1" t="s">
        <v>926</v>
      </c>
      <c r="C2232" s="1" t="s">
        <v>2089</v>
      </c>
      <c r="E2232" s="1" t="s">
        <v>2090</v>
      </c>
      <c r="F2232" s="1" t="s">
        <v>2782</v>
      </c>
      <c r="G2232" s="3">
        <v>0</v>
      </c>
      <c r="H2232" s="20" t="s">
        <v>3183</v>
      </c>
      <c r="I2232" s="20" t="s">
        <v>5133</v>
      </c>
      <c r="J2232" s="20" t="s">
        <v>5115</v>
      </c>
      <c r="K2232" s="20" t="s">
        <v>10013</v>
      </c>
      <c r="L2232" s="3">
        <v>29</v>
      </c>
      <c r="M2232" s="3" t="s">
        <v>10241</v>
      </c>
      <c r="N2232" s="3" t="str">
        <f>HYPERLINK("http://ictvonline.org/taxonomyHistory.asp?taxnode_id=20162234","ICTVonline=20162234")</f>
        <v>ICTVonline=20162234</v>
      </c>
    </row>
    <row r="2233" spans="1:14" x14ac:dyDescent="0.15">
      <c r="A2233" s="3">
        <v>2232</v>
      </c>
      <c r="B2233" s="1" t="s">
        <v>926</v>
      </c>
      <c r="C2233" s="1" t="s">
        <v>2089</v>
      </c>
      <c r="E2233" s="1" t="s">
        <v>2090</v>
      </c>
      <c r="F2233" s="1" t="s">
        <v>1188</v>
      </c>
      <c r="G2233" s="3">
        <v>0</v>
      </c>
      <c r="H2233" s="20" t="s">
        <v>5134</v>
      </c>
      <c r="I2233" s="20" t="s">
        <v>5135</v>
      </c>
      <c r="J2233" s="20" t="s">
        <v>5115</v>
      </c>
      <c r="K2233" s="20" t="s">
        <v>10021</v>
      </c>
      <c r="L2233" s="3">
        <v>23</v>
      </c>
      <c r="M2233" s="3" t="s">
        <v>10229</v>
      </c>
      <c r="N2233" s="3" t="str">
        <f>HYPERLINK("http://ictvonline.org/taxonomyHistory.asp?taxnode_id=20162235","ICTVonline=20162235")</f>
        <v>ICTVonline=20162235</v>
      </c>
    </row>
    <row r="2234" spans="1:14" x14ac:dyDescent="0.15">
      <c r="A2234" s="3">
        <v>2233</v>
      </c>
      <c r="B2234" s="1" t="s">
        <v>926</v>
      </c>
      <c r="C2234" s="1" t="s">
        <v>2089</v>
      </c>
      <c r="E2234" s="1" t="s">
        <v>2090</v>
      </c>
      <c r="F2234" s="1" t="s">
        <v>5136</v>
      </c>
      <c r="G2234" s="3">
        <v>0</v>
      </c>
      <c r="H2234" s="20" t="s">
        <v>6836</v>
      </c>
      <c r="I2234" s="20" t="s">
        <v>5137</v>
      </c>
      <c r="J2234" s="20" t="s">
        <v>5115</v>
      </c>
      <c r="K2234" s="20" t="s">
        <v>10013</v>
      </c>
      <c r="L2234" s="3">
        <v>30</v>
      </c>
      <c r="M2234" s="3" t="s">
        <v>10243</v>
      </c>
      <c r="N2234" s="3" t="str">
        <f>HYPERLINK("http://ictvonline.org/taxonomyHistory.asp?taxnode_id=20162236","ICTVonline=20162236")</f>
        <v>ICTVonline=20162236</v>
      </c>
    </row>
    <row r="2235" spans="1:14" x14ac:dyDescent="0.15">
      <c r="A2235" s="3">
        <v>2234</v>
      </c>
      <c r="B2235" s="1" t="s">
        <v>926</v>
      </c>
      <c r="C2235" s="1" t="s">
        <v>2089</v>
      </c>
      <c r="E2235" s="1" t="s">
        <v>2090</v>
      </c>
      <c r="F2235" s="1" t="s">
        <v>81</v>
      </c>
      <c r="G2235" s="3">
        <v>0</v>
      </c>
      <c r="H2235" s="20" t="s">
        <v>5138</v>
      </c>
      <c r="I2235" s="20" t="s">
        <v>5139</v>
      </c>
      <c r="J2235" s="20" t="s">
        <v>5115</v>
      </c>
      <c r="K2235" s="20" t="s">
        <v>10013</v>
      </c>
      <c r="L2235" s="3">
        <v>26</v>
      </c>
      <c r="M2235" s="3" t="s">
        <v>10244</v>
      </c>
      <c r="N2235" s="3" t="str">
        <f>HYPERLINK("http://ictvonline.org/taxonomyHistory.asp?taxnode_id=20162237","ICTVonline=20162237")</f>
        <v>ICTVonline=20162237</v>
      </c>
    </row>
    <row r="2236" spans="1:14" x14ac:dyDescent="0.15">
      <c r="A2236" s="3">
        <v>2235</v>
      </c>
      <c r="B2236" s="1" t="s">
        <v>926</v>
      </c>
      <c r="C2236" s="1" t="s">
        <v>2089</v>
      </c>
      <c r="E2236" s="1" t="s">
        <v>2090</v>
      </c>
      <c r="F2236" s="1" t="s">
        <v>6461</v>
      </c>
      <c r="G2236" s="3">
        <v>0</v>
      </c>
      <c r="J2236" s="20" t="s">
        <v>5115</v>
      </c>
      <c r="K2236" s="20" t="s">
        <v>10021</v>
      </c>
      <c r="L2236" s="3">
        <v>24</v>
      </c>
      <c r="M2236" s="3" t="s">
        <v>10245</v>
      </c>
      <c r="N2236" s="3" t="str">
        <f>HYPERLINK("http://ictvonline.org/taxonomyHistory.asp?taxnode_id=20162238","ICTVonline=20162238")</f>
        <v>ICTVonline=20162238</v>
      </c>
    </row>
    <row r="2237" spans="1:14" x14ac:dyDescent="0.15">
      <c r="A2237" s="3">
        <v>2236</v>
      </c>
      <c r="B2237" s="1" t="s">
        <v>926</v>
      </c>
      <c r="C2237" s="1" t="s">
        <v>2089</v>
      </c>
      <c r="E2237" s="1" t="s">
        <v>2090</v>
      </c>
      <c r="F2237" s="1" t="s">
        <v>9157</v>
      </c>
      <c r="G2237" s="3">
        <v>0</v>
      </c>
      <c r="H2237" s="20" t="s">
        <v>9158</v>
      </c>
      <c r="I2237" s="20" t="s">
        <v>9159</v>
      </c>
      <c r="J2237" s="20" t="s">
        <v>5115</v>
      </c>
      <c r="K2237" s="20" t="s">
        <v>10013</v>
      </c>
      <c r="L2237" s="3">
        <v>31</v>
      </c>
      <c r="M2237" s="3" t="s">
        <v>9160</v>
      </c>
      <c r="N2237" s="3" t="str">
        <f>HYPERLINK("http://ictvonline.org/taxonomyHistory.asp?taxnode_id=20165244","ICTVonline=20165244")</f>
        <v>ICTVonline=20165244</v>
      </c>
    </row>
    <row r="2238" spans="1:14" x14ac:dyDescent="0.15">
      <c r="A2238" s="3">
        <v>2237</v>
      </c>
      <c r="B2238" s="1" t="s">
        <v>926</v>
      </c>
      <c r="C2238" s="1" t="s">
        <v>2089</v>
      </c>
      <c r="E2238" s="1" t="s">
        <v>2090</v>
      </c>
      <c r="F2238" s="1" t="s">
        <v>2783</v>
      </c>
      <c r="G2238" s="3">
        <v>0</v>
      </c>
      <c r="H2238" s="20" t="s">
        <v>3184</v>
      </c>
      <c r="I2238" s="20" t="s">
        <v>5140</v>
      </c>
      <c r="J2238" s="20" t="s">
        <v>5115</v>
      </c>
      <c r="K2238" s="20" t="s">
        <v>10013</v>
      </c>
      <c r="L2238" s="3">
        <v>29</v>
      </c>
      <c r="M2238" s="3" t="s">
        <v>10241</v>
      </c>
      <c r="N2238" s="3" t="str">
        <f>HYPERLINK("http://ictvonline.org/taxonomyHistory.asp?taxnode_id=20162239","ICTVonline=20162239")</f>
        <v>ICTVonline=20162239</v>
      </c>
    </row>
    <row r="2239" spans="1:14" x14ac:dyDescent="0.15">
      <c r="A2239" s="3">
        <v>2238</v>
      </c>
      <c r="B2239" s="1" t="s">
        <v>926</v>
      </c>
      <c r="C2239" s="1" t="s">
        <v>2089</v>
      </c>
      <c r="E2239" s="1" t="s">
        <v>2090</v>
      </c>
      <c r="F2239" s="1" t="s">
        <v>82</v>
      </c>
      <c r="G2239" s="3">
        <v>0</v>
      </c>
      <c r="H2239" s="20" t="s">
        <v>5141</v>
      </c>
      <c r="I2239" s="20" t="s">
        <v>4721</v>
      </c>
      <c r="J2239" s="20" t="s">
        <v>5115</v>
      </c>
      <c r="K2239" s="20" t="s">
        <v>10013</v>
      </c>
      <c r="L2239" s="3">
        <v>26</v>
      </c>
      <c r="M2239" s="3" t="s">
        <v>10240</v>
      </c>
      <c r="N2239" s="3" t="str">
        <f>HYPERLINK("http://ictvonline.org/taxonomyHistory.asp?taxnode_id=20162240","ICTVonline=20162240")</f>
        <v>ICTVonline=20162240</v>
      </c>
    </row>
    <row r="2240" spans="1:14" x14ac:dyDescent="0.15">
      <c r="A2240" s="3">
        <v>2239</v>
      </c>
      <c r="B2240" s="1" t="s">
        <v>926</v>
      </c>
      <c r="C2240" s="1" t="s">
        <v>2089</v>
      </c>
      <c r="E2240" s="1" t="s">
        <v>2090</v>
      </c>
      <c r="F2240" s="1" t="s">
        <v>83</v>
      </c>
      <c r="G2240" s="3">
        <v>0</v>
      </c>
      <c r="J2240" s="20" t="s">
        <v>5115</v>
      </c>
      <c r="K2240" s="20" t="s">
        <v>10013</v>
      </c>
      <c r="L2240" s="3">
        <v>26</v>
      </c>
      <c r="M2240" s="3" t="s">
        <v>10240</v>
      </c>
      <c r="N2240" s="3" t="str">
        <f>HYPERLINK("http://ictvonline.org/taxonomyHistory.asp?taxnode_id=20162241","ICTVonline=20162241")</f>
        <v>ICTVonline=20162241</v>
      </c>
    </row>
    <row r="2241" spans="1:14" x14ac:dyDescent="0.15">
      <c r="A2241" s="3">
        <v>2240</v>
      </c>
      <c r="B2241" s="1" t="s">
        <v>926</v>
      </c>
      <c r="C2241" s="1" t="s">
        <v>2089</v>
      </c>
      <c r="E2241" s="1" t="s">
        <v>2090</v>
      </c>
      <c r="F2241" s="1" t="s">
        <v>2101</v>
      </c>
      <c r="G2241" s="3">
        <v>0</v>
      </c>
      <c r="H2241" s="20" t="s">
        <v>5142</v>
      </c>
      <c r="I2241" s="20" t="s">
        <v>5143</v>
      </c>
      <c r="J2241" s="20" t="s">
        <v>5115</v>
      </c>
      <c r="K2241" s="20" t="s">
        <v>10016</v>
      </c>
      <c r="L2241" s="3">
        <v>16</v>
      </c>
      <c r="M2241" s="3" t="s">
        <v>10237</v>
      </c>
      <c r="N2241" s="3" t="str">
        <f>HYPERLINK("http://ictvonline.org/taxonomyHistory.asp?taxnode_id=20162242","ICTVonline=20162242")</f>
        <v>ICTVonline=20162242</v>
      </c>
    </row>
    <row r="2242" spans="1:14" x14ac:dyDescent="0.15">
      <c r="A2242" s="3">
        <v>2241</v>
      </c>
      <c r="B2242" s="1" t="s">
        <v>926</v>
      </c>
      <c r="C2242" s="1" t="s">
        <v>2089</v>
      </c>
      <c r="E2242" s="1" t="s">
        <v>2090</v>
      </c>
      <c r="F2242" s="1" t="s">
        <v>2102</v>
      </c>
      <c r="G2242" s="3">
        <v>0</v>
      </c>
      <c r="H2242" s="20" t="s">
        <v>5144</v>
      </c>
      <c r="I2242" s="20" t="s">
        <v>5145</v>
      </c>
      <c r="J2242" s="20" t="s">
        <v>5115</v>
      </c>
      <c r="K2242" s="20" t="s">
        <v>10013</v>
      </c>
      <c r="L2242" s="3">
        <v>22</v>
      </c>
      <c r="M2242" s="3" t="s">
        <v>10246</v>
      </c>
      <c r="N2242" s="3" t="str">
        <f>HYPERLINK("http://ictvonline.org/taxonomyHistory.asp?taxnode_id=20162243","ICTVonline=20162243")</f>
        <v>ICTVonline=20162243</v>
      </c>
    </row>
    <row r="2243" spans="1:14" x14ac:dyDescent="0.15">
      <c r="A2243" s="3">
        <v>2242</v>
      </c>
      <c r="B2243" s="1" t="s">
        <v>926</v>
      </c>
      <c r="C2243" s="1" t="s">
        <v>2089</v>
      </c>
      <c r="E2243" s="1" t="s">
        <v>2090</v>
      </c>
      <c r="F2243" s="1" t="s">
        <v>2103</v>
      </c>
      <c r="G2243" s="3">
        <v>0</v>
      </c>
      <c r="J2243" s="20" t="s">
        <v>5115</v>
      </c>
      <c r="K2243" s="20" t="s">
        <v>10016</v>
      </c>
      <c r="L2243" s="3">
        <v>16</v>
      </c>
      <c r="M2243" s="3" t="s">
        <v>10237</v>
      </c>
      <c r="N2243" s="3" t="str">
        <f>HYPERLINK("http://ictvonline.org/taxonomyHistory.asp?taxnode_id=20162244","ICTVonline=20162244")</f>
        <v>ICTVonline=20162244</v>
      </c>
    </row>
    <row r="2244" spans="1:14" x14ac:dyDescent="0.15">
      <c r="A2244" s="3">
        <v>2243</v>
      </c>
      <c r="B2244" s="1" t="s">
        <v>926</v>
      </c>
      <c r="C2244" s="1" t="s">
        <v>2089</v>
      </c>
      <c r="E2244" s="1" t="s">
        <v>2090</v>
      </c>
      <c r="F2244" s="1" t="s">
        <v>3240</v>
      </c>
      <c r="G2244" s="3">
        <v>0</v>
      </c>
      <c r="J2244" s="20" t="s">
        <v>5115</v>
      </c>
      <c r="K2244" s="20" t="s">
        <v>10013</v>
      </c>
      <c r="L2244" s="3">
        <v>22</v>
      </c>
      <c r="M2244" s="3" t="s">
        <v>10246</v>
      </c>
      <c r="N2244" s="3" t="str">
        <f>HYPERLINK("http://ictvonline.org/taxonomyHistory.asp?taxnode_id=20162245","ICTVonline=20162245")</f>
        <v>ICTVonline=20162245</v>
      </c>
    </row>
    <row r="2245" spans="1:14" x14ac:dyDescent="0.15">
      <c r="A2245" s="3">
        <v>2244</v>
      </c>
      <c r="B2245" s="1" t="s">
        <v>926</v>
      </c>
      <c r="C2245" s="1" t="s">
        <v>2089</v>
      </c>
      <c r="E2245" s="1" t="s">
        <v>2090</v>
      </c>
      <c r="F2245" s="1" t="s">
        <v>5146</v>
      </c>
      <c r="G2245" s="3">
        <v>0</v>
      </c>
      <c r="H2245" s="20" t="s">
        <v>6837</v>
      </c>
      <c r="I2245" s="20" t="s">
        <v>5147</v>
      </c>
      <c r="J2245" s="20" t="s">
        <v>5115</v>
      </c>
      <c r="K2245" s="20" t="s">
        <v>10013</v>
      </c>
      <c r="L2245" s="3">
        <v>30</v>
      </c>
      <c r="M2245" s="3" t="s">
        <v>10242</v>
      </c>
      <c r="N2245" s="3" t="str">
        <f>HYPERLINK("http://ictvonline.org/taxonomyHistory.asp?taxnode_id=20162246","ICTVonline=20162246")</f>
        <v>ICTVonline=20162246</v>
      </c>
    </row>
    <row r="2246" spans="1:14" x14ac:dyDescent="0.15">
      <c r="A2246" s="3">
        <v>2245</v>
      </c>
      <c r="B2246" s="1" t="s">
        <v>926</v>
      </c>
      <c r="C2246" s="1" t="s">
        <v>2089</v>
      </c>
      <c r="E2246" s="1" t="s">
        <v>2090</v>
      </c>
      <c r="F2246" s="1" t="s">
        <v>5148</v>
      </c>
      <c r="G2246" s="3">
        <v>0</v>
      </c>
      <c r="H2246" s="20" t="s">
        <v>6838</v>
      </c>
      <c r="I2246" s="20" t="s">
        <v>5149</v>
      </c>
      <c r="J2246" s="20" t="s">
        <v>5115</v>
      </c>
      <c r="K2246" s="20" t="s">
        <v>10013</v>
      </c>
      <c r="L2246" s="3">
        <v>30</v>
      </c>
      <c r="M2246" s="3" t="s">
        <v>10242</v>
      </c>
      <c r="N2246" s="3" t="str">
        <f>HYPERLINK("http://ictvonline.org/taxonomyHistory.asp?taxnode_id=20162247","ICTVonline=20162247")</f>
        <v>ICTVonline=20162247</v>
      </c>
    </row>
    <row r="2247" spans="1:14" x14ac:dyDescent="0.15">
      <c r="A2247" s="3">
        <v>2246</v>
      </c>
      <c r="B2247" s="1" t="s">
        <v>926</v>
      </c>
      <c r="C2247" s="1" t="s">
        <v>2089</v>
      </c>
      <c r="E2247" s="1" t="s">
        <v>2090</v>
      </c>
      <c r="F2247" s="1" t="s">
        <v>2098</v>
      </c>
      <c r="G2247" s="3">
        <v>0</v>
      </c>
      <c r="H2247" s="20" t="s">
        <v>7172</v>
      </c>
      <c r="I2247" s="20" t="s">
        <v>7173</v>
      </c>
      <c r="J2247" s="20" t="s">
        <v>5115</v>
      </c>
      <c r="K2247" s="20" t="s">
        <v>10021</v>
      </c>
      <c r="L2247" s="3">
        <v>26</v>
      </c>
      <c r="M2247" s="3" t="s">
        <v>10240</v>
      </c>
      <c r="N2247" s="3" t="str">
        <f>HYPERLINK("http://ictvonline.org/taxonomyHistory.asp?taxnode_id=20162248","ICTVonline=20162248")</f>
        <v>ICTVonline=20162248</v>
      </c>
    </row>
    <row r="2248" spans="1:14" x14ac:dyDescent="0.15">
      <c r="A2248" s="3">
        <v>2247</v>
      </c>
      <c r="B2248" s="1" t="s">
        <v>926</v>
      </c>
      <c r="C2248" s="1" t="s">
        <v>2089</v>
      </c>
      <c r="E2248" s="1" t="s">
        <v>2090</v>
      </c>
      <c r="F2248" s="1" t="s">
        <v>84</v>
      </c>
      <c r="G2248" s="3">
        <v>0</v>
      </c>
      <c r="H2248" s="20" t="s">
        <v>7376</v>
      </c>
      <c r="I2248" s="20" t="s">
        <v>7297</v>
      </c>
      <c r="J2248" s="20" t="s">
        <v>5115</v>
      </c>
      <c r="K2248" s="20" t="s">
        <v>10021</v>
      </c>
      <c r="L2248" s="3">
        <v>26</v>
      </c>
      <c r="M2248" s="3" t="s">
        <v>10240</v>
      </c>
      <c r="N2248" s="3" t="str">
        <f>HYPERLINK("http://ictvonline.org/taxonomyHistory.asp?taxnode_id=20162249","ICTVonline=20162249")</f>
        <v>ICTVonline=20162249</v>
      </c>
    </row>
    <row r="2249" spans="1:14" x14ac:dyDescent="0.15">
      <c r="A2249" s="3">
        <v>2248</v>
      </c>
      <c r="B2249" s="1" t="s">
        <v>926</v>
      </c>
      <c r="C2249" s="1" t="s">
        <v>2089</v>
      </c>
      <c r="E2249" s="1" t="s">
        <v>2090</v>
      </c>
      <c r="F2249" s="1" t="s">
        <v>85</v>
      </c>
      <c r="G2249" s="3">
        <v>0</v>
      </c>
      <c r="H2249" s="20" t="s">
        <v>5150</v>
      </c>
      <c r="I2249" s="20" t="s">
        <v>5151</v>
      </c>
      <c r="J2249" s="20" t="s">
        <v>5115</v>
      </c>
      <c r="K2249" s="20" t="s">
        <v>10013</v>
      </c>
      <c r="L2249" s="3">
        <v>26</v>
      </c>
      <c r="M2249" s="3" t="s">
        <v>10244</v>
      </c>
      <c r="N2249" s="3" t="str">
        <f>HYPERLINK("http://ictvonline.org/taxonomyHistory.asp?taxnode_id=20162250","ICTVonline=20162250")</f>
        <v>ICTVonline=20162250</v>
      </c>
    </row>
    <row r="2250" spans="1:14" x14ac:dyDescent="0.15">
      <c r="A2250" s="3">
        <v>2249</v>
      </c>
      <c r="B2250" s="1" t="s">
        <v>926</v>
      </c>
      <c r="C2250" s="1" t="s">
        <v>2089</v>
      </c>
      <c r="E2250" s="1" t="s">
        <v>2090</v>
      </c>
      <c r="F2250" s="1" t="s">
        <v>9161</v>
      </c>
      <c r="G2250" s="3">
        <v>0</v>
      </c>
      <c r="H2250" s="20" t="s">
        <v>9162</v>
      </c>
      <c r="I2250" s="20" t="s">
        <v>9163</v>
      </c>
      <c r="J2250" s="20" t="s">
        <v>5115</v>
      </c>
      <c r="K2250" s="20" t="s">
        <v>10013</v>
      </c>
      <c r="L2250" s="3">
        <v>31</v>
      </c>
      <c r="M2250" s="3" t="s">
        <v>9164</v>
      </c>
      <c r="N2250" s="3" t="str">
        <f>HYPERLINK("http://ictvonline.org/taxonomyHistory.asp?taxnode_id=20165245","ICTVonline=20165245")</f>
        <v>ICTVonline=20165245</v>
      </c>
    </row>
    <row r="2251" spans="1:14" x14ac:dyDescent="0.15">
      <c r="A2251" s="3">
        <v>2250</v>
      </c>
      <c r="B2251" s="1" t="s">
        <v>926</v>
      </c>
      <c r="C2251" s="1" t="s">
        <v>2089</v>
      </c>
      <c r="E2251" s="1" t="s">
        <v>2090</v>
      </c>
      <c r="F2251" s="1" t="s">
        <v>2099</v>
      </c>
      <c r="G2251" s="3">
        <v>0</v>
      </c>
      <c r="H2251" s="20" t="s">
        <v>5152</v>
      </c>
      <c r="I2251" s="20" t="s">
        <v>5153</v>
      </c>
      <c r="J2251" s="20" t="s">
        <v>5115</v>
      </c>
      <c r="K2251" s="20" t="s">
        <v>10013</v>
      </c>
      <c r="L2251" s="3">
        <v>23</v>
      </c>
      <c r="M2251" s="3" t="s">
        <v>10229</v>
      </c>
      <c r="N2251" s="3" t="str">
        <f>HYPERLINK("http://ictvonline.org/taxonomyHistory.asp?taxnode_id=20162251","ICTVonline=20162251")</f>
        <v>ICTVonline=20162251</v>
      </c>
    </row>
    <row r="2252" spans="1:14" x14ac:dyDescent="0.15">
      <c r="A2252" s="3">
        <v>2251</v>
      </c>
      <c r="B2252" s="1" t="s">
        <v>926</v>
      </c>
      <c r="C2252" s="1" t="s">
        <v>2089</v>
      </c>
      <c r="E2252" s="1" t="s">
        <v>2090</v>
      </c>
      <c r="F2252" s="1" t="s">
        <v>9165</v>
      </c>
      <c r="G2252" s="3">
        <v>0</v>
      </c>
      <c r="H2252" s="20" t="s">
        <v>9166</v>
      </c>
      <c r="I2252" s="20" t="s">
        <v>9167</v>
      </c>
      <c r="J2252" s="20" t="s">
        <v>5115</v>
      </c>
      <c r="K2252" s="20" t="s">
        <v>10013</v>
      </c>
      <c r="L2252" s="3">
        <v>31</v>
      </c>
      <c r="M2252" s="3" t="s">
        <v>9164</v>
      </c>
      <c r="N2252" s="3" t="str">
        <f>HYPERLINK("http://ictvonline.org/taxonomyHistory.asp?taxnode_id=20165246","ICTVonline=20165246")</f>
        <v>ICTVonline=20165246</v>
      </c>
    </row>
    <row r="2253" spans="1:14" x14ac:dyDescent="0.15">
      <c r="A2253" s="3">
        <v>2252</v>
      </c>
      <c r="B2253" s="1" t="s">
        <v>926</v>
      </c>
      <c r="C2253" s="1" t="s">
        <v>2089</v>
      </c>
      <c r="E2253" s="1" t="s">
        <v>2212</v>
      </c>
      <c r="F2253" s="1" t="s">
        <v>9168</v>
      </c>
      <c r="G2253" s="3">
        <v>0</v>
      </c>
      <c r="H2253" s="20" t="s">
        <v>9169</v>
      </c>
      <c r="I2253" s="20" t="s">
        <v>9170</v>
      </c>
      <c r="J2253" s="20" t="s">
        <v>5115</v>
      </c>
      <c r="K2253" s="20" t="s">
        <v>10013</v>
      </c>
      <c r="L2253" s="3">
        <v>31</v>
      </c>
      <c r="M2253" s="3" t="s">
        <v>9171</v>
      </c>
      <c r="N2253" s="3" t="str">
        <f>HYPERLINK("http://ictvonline.org/taxonomyHistory.asp?taxnode_id=20165247","ICTVonline=20165247")</f>
        <v>ICTVonline=20165247</v>
      </c>
    </row>
    <row r="2254" spans="1:14" x14ac:dyDescent="0.15">
      <c r="A2254" s="3">
        <v>2253</v>
      </c>
      <c r="B2254" s="1" t="s">
        <v>926</v>
      </c>
      <c r="C2254" s="1" t="s">
        <v>2089</v>
      </c>
      <c r="E2254" s="1" t="s">
        <v>2212</v>
      </c>
      <c r="F2254" s="1" t="s">
        <v>2014</v>
      </c>
      <c r="G2254" s="3">
        <v>0</v>
      </c>
      <c r="H2254" s="20" t="s">
        <v>5154</v>
      </c>
      <c r="I2254" s="20" t="s">
        <v>5155</v>
      </c>
      <c r="J2254" s="20" t="s">
        <v>5115</v>
      </c>
      <c r="K2254" s="20" t="s">
        <v>10016</v>
      </c>
      <c r="L2254" s="3">
        <v>16</v>
      </c>
      <c r="M2254" s="3" t="s">
        <v>10237</v>
      </c>
      <c r="N2254" s="3" t="str">
        <f>HYPERLINK("http://ictvonline.org/taxonomyHistory.asp?taxnode_id=20162253","ICTVonline=20162253")</f>
        <v>ICTVonline=20162253</v>
      </c>
    </row>
    <row r="2255" spans="1:14" x14ac:dyDescent="0.15">
      <c r="A2255" s="3">
        <v>2254</v>
      </c>
      <c r="B2255" s="1" t="s">
        <v>926</v>
      </c>
      <c r="C2255" s="1" t="s">
        <v>2089</v>
      </c>
      <c r="E2255" s="1" t="s">
        <v>2212</v>
      </c>
      <c r="F2255" s="1" t="s">
        <v>2015</v>
      </c>
      <c r="G2255" s="3">
        <v>1</v>
      </c>
      <c r="H2255" s="20" t="s">
        <v>5156</v>
      </c>
      <c r="I2255" s="20" t="s">
        <v>5157</v>
      </c>
      <c r="J2255" s="20" t="s">
        <v>5115</v>
      </c>
      <c r="K2255" s="20" t="s">
        <v>10016</v>
      </c>
      <c r="L2255" s="3">
        <v>16</v>
      </c>
      <c r="M2255" s="3" t="s">
        <v>10237</v>
      </c>
      <c r="N2255" s="3" t="str">
        <f>HYPERLINK("http://ictvonline.org/taxonomyHistory.asp?taxnode_id=20162254","ICTVonline=20162254")</f>
        <v>ICTVonline=20162254</v>
      </c>
    </row>
    <row r="2256" spans="1:14" x14ac:dyDescent="0.15">
      <c r="A2256" s="3">
        <v>2255</v>
      </c>
      <c r="B2256" s="1" t="s">
        <v>926</v>
      </c>
      <c r="C2256" s="1" t="s">
        <v>2089</v>
      </c>
      <c r="E2256" s="1" t="s">
        <v>2212</v>
      </c>
      <c r="F2256" s="1" t="s">
        <v>2112</v>
      </c>
      <c r="G2256" s="3">
        <v>0</v>
      </c>
      <c r="H2256" s="20" t="s">
        <v>5158</v>
      </c>
      <c r="I2256" s="20" t="s">
        <v>5159</v>
      </c>
      <c r="J2256" s="20" t="s">
        <v>5115</v>
      </c>
      <c r="K2256" s="20" t="s">
        <v>10016</v>
      </c>
      <c r="L2256" s="3">
        <v>16</v>
      </c>
      <c r="M2256" s="3" t="s">
        <v>10237</v>
      </c>
      <c r="N2256" s="3" t="str">
        <f>HYPERLINK("http://ictvonline.org/taxonomyHistory.asp?taxnode_id=20162255","ICTVonline=20162255")</f>
        <v>ICTVonline=20162255</v>
      </c>
    </row>
    <row r="2257" spans="1:14" x14ac:dyDescent="0.15">
      <c r="A2257" s="3">
        <v>2256</v>
      </c>
      <c r="B2257" s="1" t="s">
        <v>926</v>
      </c>
      <c r="C2257" s="1" t="s">
        <v>2089</v>
      </c>
      <c r="E2257" s="1" t="s">
        <v>2212</v>
      </c>
      <c r="F2257" s="1" t="s">
        <v>1843</v>
      </c>
      <c r="G2257" s="3">
        <v>0</v>
      </c>
      <c r="H2257" s="20" t="s">
        <v>5160</v>
      </c>
      <c r="I2257" s="20" t="s">
        <v>5161</v>
      </c>
      <c r="J2257" s="20" t="s">
        <v>5115</v>
      </c>
      <c r="K2257" s="20" t="s">
        <v>10016</v>
      </c>
      <c r="L2257" s="3">
        <v>16</v>
      </c>
      <c r="M2257" s="3" t="s">
        <v>10237</v>
      </c>
      <c r="N2257" s="3" t="str">
        <f>HYPERLINK("http://ictvonline.org/taxonomyHistory.asp?taxnode_id=20162256","ICTVonline=20162256")</f>
        <v>ICTVonline=20162256</v>
      </c>
    </row>
    <row r="2258" spans="1:14" x14ac:dyDescent="0.15">
      <c r="A2258" s="3">
        <v>2257</v>
      </c>
      <c r="B2258" s="1" t="s">
        <v>926</v>
      </c>
      <c r="C2258" s="1" t="s">
        <v>2089</v>
      </c>
      <c r="E2258" s="1" t="s">
        <v>2212</v>
      </c>
      <c r="F2258" s="1" t="s">
        <v>1844</v>
      </c>
      <c r="G2258" s="3">
        <v>0</v>
      </c>
      <c r="H2258" s="20" t="s">
        <v>5162</v>
      </c>
      <c r="I2258" s="20" t="s">
        <v>5163</v>
      </c>
      <c r="J2258" s="20" t="s">
        <v>5115</v>
      </c>
      <c r="K2258" s="20" t="s">
        <v>10016</v>
      </c>
      <c r="L2258" s="3">
        <v>16</v>
      </c>
      <c r="M2258" s="3" t="s">
        <v>10237</v>
      </c>
      <c r="N2258" s="3" t="str">
        <f>HYPERLINK("http://ictvonline.org/taxonomyHistory.asp?taxnode_id=20162257","ICTVonline=20162257")</f>
        <v>ICTVonline=20162257</v>
      </c>
    </row>
    <row r="2259" spans="1:14" x14ac:dyDescent="0.15">
      <c r="A2259" s="3">
        <v>2258</v>
      </c>
      <c r="B2259" s="1" t="s">
        <v>926</v>
      </c>
      <c r="C2259" s="1" t="s">
        <v>2089</v>
      </c>
      <c r="E2259" s="1" t="s">
        <v>2212</v>
      </c>
      <c r="F2259" s="1" t="s">
        <v>86</v>
      </c>
      <c r="G2259" s="3">
        <v>0</v>
      </c>
      <c r="H2259" s="20" t="s">
        <v>5164</v>
      </c>
      <c r="I2259" s="20" t="s">
        <v>4610</v>
      </c>
      <c r="J2259" s="20" t="s">
        <v>5115</v>
      </c>
      <c r="K2259" s="20" t="s">
        <v>10013</v>
      </c>
      <c r="L2259" s="3">
        <v>26</v>
      </c>
      <c r="M2259" s="3" t="s">
        <v>10247</v>
      </c>
      <c r="N2259" s="3" t="str">
        <f>HYPERLINK("http://ictvonline.org/taxonomyHistory.asp?taxnode_id=20162258","ICTVonline=20162258")</f>
        <v>ICTVonline=20162258</v>
      </c>
    </row>
    <row r="2260" spans="1:14" x14ac:dyDescent="0.15">
      <c r="A2260" s="3">
        <v>2259</v>
      </c>
      <c r="B2260" s="1" t="s">
        <v>926</v>
      </c>
      <c r="C2260" s="1" t="s">
        <v>2089</v>
      </c>
      <c r="E2260" s="1" t="s">
        <v>2212</v>
      </c>
      <c r="F2260" s="1" t="s">
        <v>752</v>
      </c>
      <c r="G2260" s="3">
        <v>0</v>
      </c>
      <c r="H2260" s="20" t="s">
        <v>5165</v>
      </c>
      <c r="I2260" s="20" t="s">
        <v>5166</v>
      </c>
      <c r="J2260" s="20" t="s">
        <v>5115</v>
      </c>
      <c r="K2260" s="20" t="s">
        <v>10016</v>
      </c>
      <c r="L2260" s="3">
        <v>16</v>
      </c>
      <c r="M2260" s="3" t="s">
        <v>10237</v>
      </c>
      <c r="N2260" s="3" t="str">
        <f>HYPERLINK("http://ictvonline.org/taxonomyHistory.asp?taxnode_id=20162259","ICTVonline=20162259")</f>
        <v>ICTVonline=20162259</v>
      </c>
    </row>
    <row r="2261" spans="1:14" x14ac:dyDescent="0.15">
      <c r="A2261" s="3">
        <v>2260</v>
      </c>
      <c r="B2261" s="1" t="s">
        <v>926</v>
      </c>
      <c r="C2261" s="1" t="s">
        <v>2089</v>
      </c>
      <c r="E2261" s="1" t="s">
        <v>2212</v>
      </c>
      <c r="F2261" s="1" t="s">
        <v>2784</v>
      </c>
      <c r="G2261" s="3">
        <v>0</v>
      </c>
      <c r="H2261" s="20" t="s">
        <v>3185</v>
      </c>
      <c r="I2261" s="20" t="s">
        <v>4610</v>
      </c>
      <c r="J2261" s="20" t="s">
        <v>5115</v>
      </c>
      <c r="K2261" s="20" t="s">
        <v>10013</v>
      </c>
      <c r="L2261" s="3">
        <v>29</v>
      </c>
      <c r="M2261" s="3" t="s">
        <v>10248</v>
      </c>
      <c r="N2261" s="3" t="str">
        <f>HYPERLINK("http://ictvonline.org/taxonomyHistory.asp?taxnode_id=20162260","ICTVonline=20162260")</f>
        <v>ICTVonline=20162260</v>
      </c>
    </row>
    <row r="2262" spans="1:14" x14ac:dyDescent="0.15">
      <c r="A2262" s="3">
        <v>2261</v>
      </c>
      <c r="B2262" s="1" t="s">
        <v>926</v>
      </c>
      <c r="C2262" s="1" t="s">
        <v>2089</v>
      </c>
      <c r="E2262" s="1" t="s">
        <v>2212</v>
      </c>
      <c r="F2262" s="1" t="s">
        <v>753</v>
      </c>
      <c r="G2262" s="3">
        <v>0</v>
      </c>
      <c r="H2262" s="20" t="s">
        <v>5167</v>
      </c>
      <c r="I2262" s="20" t="s">
        <v>5168</v>
      </c>
      <c r="J2262" s="20" t="s">
        <v>5115</v>
      </c>
      <c r="K2262" s="20" t="s">
        <v>10016</v>
      </c>
      <c r="L2262" s="3">
        <v>16</v>
      </c>
      <c r="M2262" s="3" t="s">
        <v>10237</v>
      </c>
      <c r="N2262" s="3" t="str">
        <f>HYPERLINK("http://ictvonline.org/taxonomyHistory.asp?taxnode_id=20162261","ICTVonline=20162261")</f>
        <v>ICTVonline=20162261</v>
      </c>
    </row>
    <row r="2263" spans="1:14" x14ac:dyDescent="0.15">
      <c r="A2263" s="3">
        <v>2262</v>
      </c>
      <c r="B2263" s="1" t="s">
        <v>926</v>
      </c>
      <c r="C2263" s="1" t="s">
        <v>2089</v>
      </c>
      <c r="E2263" s="1" t="s">
        <v>2212</v>
      </c>
      <c r="F2263" s="1" t="s">
        <v>754</v>
      </c>
      <c r="G2263" s="3">
        <v>0</v>
      </c>
      <c r="J2263" s="20" t="s">
        <v>5115</v>
      </c>
      <c r="K2263" s="20" t="s">
        <v>10016</v>
      </c>
      <c r="L2263" s="3">
        <v>16</v>
      </c>
      <c r="M2263" s="3" t="s">
        <v>10237</v>
      </c>
      <c r="N2263" s="3" t="str">
        <f>HYPERLINK("http://ictvonline.org/taxonomyHistory.asp?taxnode_id=20162262","ICTVonline=20162262")</f>
        <v>ICTVonline=20162262</v>
      </c>
    </row>
    <row r="2264" spans="1:14" x14ac:dyDescent="0.15">
      <c r="A2264" s="3">
        <v>2263</v>
      </c>
      <c r="B2264" s="1" t="s">
        <v>926</v>
      </c>
      <c r="C2264" s="1" t="s">
        <v>2089</v>
      </c>
      <c r="E2264" s="1" t="s">
        <v>755</v>
      </c>
      <c r="F2264" s="1" t="s">
        <v>756</v>
      </c>
      <c r="G2264" s="3">
        <v>1</v>
      </c>
      <c r="H2264" s="20" t="s">
        <v>5169</v>
      </c>
      <c r="I2264" s="20" t="s">
        <v>5170</v>
      </c>
      <c r="J2264" s="20" t="s">
        <v>5115</v>
      </c>
      <c r="K2264" s="20" t="s">
        <v>10016</v>
      </c>
      <c r="L2264" s="3">
        <v>22</v>
      </c>
      <c r="M2264" s="3" t="s">
        <v>10249</v>
      </c>
      <c r="N2264" s="3" t="str">
        <f>HYPERLINK("http://ictvonline.org/taxonomyHistory.asp?taxnode_id=20162264","ICTVonline=20162264")</f>
        <v>ICTVonline=20162264</v>
      </c>
    </row>
    <row r="2265" spans="1:14" x14ac:dyDescent="0.15">
      <c r="A2265" s="3">
        <v>2264</v>
      </c>
      <c r="B2265" s="1" t="s">
        <v>926</v>
      </c>
      <c r="C2265" s="1" t="s">
        <v>2089</v>
      </c>
      <c r="E2265" s="1" t="s">
        <v>755</v>
      </c>
      <c r="F2265" s="1" t="s">
        <v>1785</v>
      </c>
      <c r="G2265" s="3">
        <v>0</v>
      </c>
      <c r="H2265" s="20" t="s">
        <v>5171</v>
      </c>
      <c r="I2265" s="20" t="s">
        <v>5172</v>
      </c>
      <c r="J2265" s="20" t="s">
        <v>5115</v>
      </c>
      <c r="K2265" s="20" t="s">
        <v>10013</v>
      </c>
      <c r="L2265" s="3">
        <v>26</v>
      </c>
      <c r="M2265" s="3" t="s">
        <v>10250</v>
      </c>
      <c r="N2265" s="3" t="str">
        <f>HYPERLINK("http://ictvonline.org/taxonomyHistory.asp?taxnode_id=20162265","ICTVonline=20162265")</f>
        <v>ICTVonline=20162265</v>
      </c>
    </row>
    <row r="2266" spans="1:14" x14ac:dyDescent="0.15">
      <c r="A2266" s="3">
        <v>2265</v>
      </c>
      <c r="B2266" s="1" t="s">
        <v>926</v>
      </c>
      <c r="C2266" s="1" t="s">
        <v>2089</v>
      </c>
      <c r="E2266" s="1" t="s">
        <v>758</v>
      </c>
      <c r="F2266" s="1" t="s">
        <v>1230</v>
      </c>
      <c r="G2266" s="3">
        <v>1</v>
      </c>
      <c r="H2266" s="20" t="s">
        <v>5173</v>
      </c>
      <c r="I2266" s="20" t="s">
        <v>5174</v>
      </c>
      <c r="J2266" s="20" t="s">
        <v>5115</v>
      </c>
      <c r="K2266" s="20" t="s">
        <v>10016</v>
      </c>
      <c r="L2266" s="3">
        <v>22</v>
      </c>
      <c r="M2266" s="3" t="s">
        <v>10249</v>
      </c>
      <c r="N2266" s="3" t="str">
        <f>HYPERLINK("http://ictvonline.org/taxonomyHistory.asp?taxnode_id=20162267","ICTVonline=20162267")</f>
        <v>ICTVonline=20162267</v>
      </c>
    </row>
    <row r="2267" spans="1:14" x14ac:dyDescent="0.15">
      <c r="A2267" s="3">
        <v>2266</v>
      </c>
      <c r="B2267" s="1" t="s">
        <v>926</v>
      </c>
      <c r="C2267" s="1" t="s">
        <v>2089</v>
      </c>
      <c r="E2267" s="1" t="s">
        <v>2785</v>
      </c>
      <c r="F2267" s="1" t="s">
        <v>2786</v>
      </c>
      <c r="G2267" s="3">
        <v>1</v>
      </c>
      <c r="H2267" s="20" t="s">
        <v>3186</v>
      </c>
      <c r="I2267" s="20" t="s">
        <v>5175</v>
      </c>
      <c r="J2267" s="20" t="s">
        <v>5115</v>
      </c>
      <c r="K2267" s="20" t="s">
        <v>10013</v>
      </c>
      <c r="L2267" s="3">
        <v>29</v>
      </c>
      <c r="M2267" s="3" t="s">
        <v>10251</v>
      </c>
      <c r="N2267" s="3" t="str">
        <f>HYPERLINK("http://ictvonline.org/taxonomyHistory.asp?taxnode_id=20162269","ICTVonline=20162269")</f>
        <v>ICTVonline=20162269</v>
      </c>
    </row>
    <row r="2268" spans="1:14" x14ac:dyDescent="0.15">
      <c r="A2268" s="3">
        <v>2267</v>
      </c>
      <c r="B2268" s="1" t="s">
        <v>926</v>
      </c>
      <c r="C2268" s="1" t="s">
        <v>2089</v>
      </c>
      <c r="E2268" s="1" t="s">
        <v>87</v>
      </c>
      <c r="F2268" s="1" t="s">
        <v>88</v>
      </c>
      <c r="G2268" s="3">
        <v>0</v>
      </c>
      <c r="H2268" s="20" t="s">
        <v>5176</v>
      </c>
      <c r="I2268" s="20" t="s">
        <v>5177</v>
      </c>
      <c r="J2268" s="20" t="s">
        <v>5115</v>
      </c>
      <c r="K2268" s="20" t="s">
        <v>10013</v>
      </c>
      <c r="L2268" s="3">
        <v>26</v>
      </c>
      <c r="M2268" s="3" t="s">
        <v>10252</v>
      </c>
      <c r="N2268" s="3" t="str">
        <f>HYPERLINK("http://ictvonline.org/taxonomyHistory.asp?taxnode_id=20162271","ICTVonline=20162271")</f>
        <v>ICTVonline=20162271</v>
      </c>
    </row>
    <row r="2269" spans="1:14" x14ac:dyDescent="0.15">
      <c r="A2269" s="3">
        <v>2268</v>
      </c>
      <c r="B2269" s="1" t="s">
        <v>926</v>
      </c>
      <c r="C2269" s="1" t="s">
        <v>2089</v>
      </c>
      <c r="E2269" s="1" t="s">
        <v>87</v>
      </c>
      <c r="F2269" s="1" t="s">
        <v>757</v>
      </c>
      <c r="G2269" s="3">
        <v>1</v>
      </c>
      <c r="H2269" s="20" t="s">
        <v>5178</v>
      </c>
      <c r="I2269" s="20" t="s">
        <v>5179</v>
      </c>
      <c r="J2269" s="20" t="s">
        <v>5115</v>
      </c>
      <c r="K2269" s="20" t="s">
        <v>10076</v>
      </c>
      <c r="L2269" s="3">
        <v>26</v>
      </c>
      <c r="M2269" s="3" t="s">
        <v>10253</v>
      </c>
      <c r="N2269" s="3" t="str">
        <f>HYPERLINK("http://ictvonline.org/taxonomyHistory.asp?taxnode_id=20162272","ICTVonline=20162272")</f>
        <v>ICTVonline=20162272</v>
      </c>
    </row>
    <row r="2270" spans="1:14" x14ac:dyDescent="0.15">
      <c r="A2270" s="3">
        <v>2269</v>
      </c>
      <c r="B2270" s="1" t="s">
        <v>926</v>
      </c>
      <c r="C2270" s="1" t="s">
        <v>2089</v>
      </c>
      <c r="E2270" s="1" t="s">
        <v>1231</v>
      </c>
      <c r="F2270" s="1" t="s">
        <v>1232</v>
      </c>
      <c r="G2270" s="3">
        <v>0</v>
      </c>
      <c r="H2270" s="20" t="s">
        <v>5180</v>
      </c>
      <c r="I2270" s="20" t="s">
        <v>5181</v>
      </c>
      <c r="J2270" s="20" t="s">
        <v>5115</v>
      </c>
      <c r="K2270" s="20" t="s">
        <v>10016</v>
      </c>
      <c r="L2270" s="3">
        <v>22</v>
      </c>
      <c r="M2270" s="3" t="s">
        <v>10254</v>
      </c>
      <c r="N2270" s="3" t="str">
        <f>HYPERLINK("http://ictvonline.org/taxonomyHistory.asp?taxnode_id=20162274","ICTVonline=20162274")</f>
        <v>ICTVonline=20162274</v>
      </c>
    </row>
    <row r="2271" spans="1:14" x14ac:dyDescent="0.15">
      <c r="A2271" s="3">
        <v>2270</v>
      </c>
      <c r="B2271" s="1" t="s">
        <v>926</v>
      </c>
      <c r="C2271" s="1" t="s">
        <v>2089</v>
      </c>
      <c r="E2271" s="1" t="s">
        <v>1231</v>
      </c>
      <c r="F2271" s="1" t="s">
        <v>89</v>
      </c>
      <c r="G2271" s="3">
        <v>0</v>
      </c>
      <c r="H2271" s="20" t="s">
        <v>5182</v>
      </c>
      <c r="I2271" s="20" t="s">
        <v>5183</v>
      </c>
      <c r="J2271" s="20" t="s">
        <v>5115</v>
      </c>
      <c r="K2271" s="20" t="s">
        <v>10013</v>
      </c>
      <c r="L2271" s="3">
        <v>26</v>
      </c>
      <c r="M2271" s="3" t="s">
        <v>10255</v>
      </c>
      <c r="N2271" s="3" t="str">
        <f>HYPERLINK("http://ictvonline.org/taxonomyHistory.asp?taxnode_id=20162275","ICTVonline=20162275")</f>
        <v>ICTVonline=20162275</v>
      </c>
    </row>
    <row r="2272" spans="1:14" x14ac:dyDescent="0.15">
      <c r="A2272" s="3">
        <v>2271</v>
      </c>
      <c r="B2272" s="1" t="s">
        <v>926</v>
      </c>
      <c r="C2272" s="1" t="s">
        <v>2089</v>
      </c>
      <c r="E2272" s="1" t="s">
        <v>1231</v>
      </c>
      <c r="F2272" s="1" t="s">
        <v>1233</v>
      </c>
      <c r="G2272" s="3">
        <v>0</v>
      </c>
      <c r="H2272" s="20" t="s">
        <v>5184</v>
      </c>
      <c r="I2272" s="20" t="s">
        <v>4656</v>
      </c>
      <c r="J2272" s="20" t="s">
        <v>5115</v>
      </c>
      <c r="K2272" s="20" t="s">
        <v>10016</v>
      </c>
      <c r="L2272" s="3">
        <v>22</v>
      </c>
      <c r="M2272" s="3" t="s">
        <v>10249</v>
      </c>
      <c r="N2272" s="3" t="str">
        <f>HYPERLINK("http://ictvonline.org/taxonomyHistory.asp?taxnode_id=20162276","ICTVonline=20162276")</f>
        <v>ICTVonline=20162276</v>
      </c>
    </row>
    <row r="2273" spans="1:14" x14ac:dyDescent="0.15">
      <c r="A2273" s="3">
        <v>2272</v>
      </c>
      <c r="B2273" s="1" t="s">
        <v>926</v>
      </c>
      <c r="C2273" s="1" t="s">
        <v>2089</v>
      </c>
      <c r="E2273" s="1" t="s">
        <v>1231</v>
      </c>
      <c r="F2273" s="1" t="s">
        <v>1234</v>
      </c>
      <c r="G2273" s="3">
        <v>1</v>
      </c>
      <c r="H2273" s="20" t="s">
        <v>5185</v>
      </c>
      <c r="I2273" s="20" t="s">
        <v>5186</v>
      </c>
      <c r="J2273" s="20" t="s">
        <v>5115</v>
      </c>
      <c r="K2273" s="20" t="s">
        <v>10016</v>
      </c>
      <c r="L2273" s="3">
        <v>22</v>
      </c>
      <c r="M2273" s="3" t="s">
        <v>10249</v>
      </c>
      <c r="N2273" s="3" t="str">
        <f>HYPERLINK("http://ictvonline.org/taxonomyHistory.asp?taxnode_id=20162277","ICTVonline=20162277")</f>
        <v>ICTVonline=20162277</v>
      </c>
    </row>
    <row r="2274" spans="1:14" x14ac:dyDescent="0.15">
      <c r="A2274" s="3">
        <v>2273</v>
      </c>
      <c r="B2274" s="1" t="s">
        <v>926</v>
      </c>
      <c r="C2274" s="1" t="s">
        <v>2089</v>
      </c>
      <c r="E2274" s="1" t="s">
        <v>1235</v>
      </c>
      <c r="F2274" s="1" t="s">
        <v>767</v>
      </c>
      <c r="G2274" s="3">
        <v>1</v>
      </c>
      <c r="H2274" s="20" t="s">
        <v>5187</v>
      </c>
      <c r="I2274" s="20" t="s">
        <v>5188</v>
      </c>
      <c r="J2274" s="20" t="s">
        <v>5115</v>
      </c>
      <c r="K2274" s="20" t="s">
        <v>10016</v>
      </c>
      <c r="L2274" s="3">
        <v>22</v>
      </c>
      <c r="M2274" s="3" t="s">
        <v>10249</v>
      </c>
      <c r="N2274" s="3" t="str">
        <f>HYPERLINK("http://ictvonline.org/taxonomyHistory.asp?taxnode_id=20162279","ICTVonline=20162279")</f>
        <v>ICTVonline=20162279</v>
      </c>
    </row>
    <row r="2275" spans="1:14" x14ac:dyDescent="0.15">
      <c r="A2275" s="3">
        <v>2274</v>
      </c>
      <c r="B2275" s="1" t="s">
        <v>926</v>
      </c>
      <c r="C2275" s="1" t="s">
        <v>768</v>
      </c>
      <c r="E2275" s="1" t="s">
        <v>769</v>
      </c>
      <c r="F2275" s="1" t="s">
        <v>2307</v>
      </c>
      <c r="G2275" s="3">
        <v>0</v>
      </c>
      <c r="H2275" s="20" t="s">
        <v>7174</v>
      </c>
      <c r="I2275" s="20" t="s">
        <v>5189</v>
      </c>
      <c r="J2275" s="20" t="s">
        <v>3176</v>
      </c>
      <c r="K2275" s="20" t="s">
        <v>10013</v>
      </c>
      <c r="L2275" s="3">
        <v>27</v>
      </c>
      <c r="M2275" s="3" t="s">
        <v>10256</v>
      </c>
      <c r="N2275" s="3" t="str">
        <f>HYPERLINK("http://ictvonline.org/taxonomyHistory.asp?taxnode_id=20162283","ICTVonline=20162283")</f>
        <v>ICTVonline=20162283</v>
      </c>
    </row>
    <row r="2276" spans="1:14" x14ac:dyDescent="0.15">
      <c r="A2276" s="3">
        <v>2275</v>
      </c>
      <c r="B2276" s="1" t="s">
        <v>926</v>
      </c>
      <c r="C2276" s="1" t="s">
        <v>768</v>
      </c>
      <c r="E2276" s="1" t="s">
        <v>769</v>
      </c>
      <c r="F2276" s="1" t="s">
        <v>2308</v>
      </c>
      <c r="G2276" s="3">
        <v>0</v>
      </c>
      <c r="H2276" s="20" t="s">
        <v>7175</v>
      </c>
      <c r="I2276" s="20" t="s">
        <v>5190</v>
      </c>
      <c r="J2276" s="20" t="s">
        <v>3176</v>
      </c>
      <c r="K2276" s="20" t="s">
        <v>10013</v>
      </c>
      <c r="L2276" s="3">
        <v>27</v>
      </c>
      <c r="M2276" s="3" t="s">
        <v>10256</v>
      </c>
      <c r="N2276" s="3" t="str">
        <f>HYPERLINK("http://ictvonline.org/taxonomyHistory.asp?taxnode_id=20162284","ICTVonline=20162284")</f>
        <v>ICTVonline=20162284</v>
      </c>
    </row>
    <row r="2277" spans="1:14" x14ac:dyDescent="0.15">
      <c r="A2277" s="3">
        <v>2276</v>
      </c>
      <c r="B2277" s="1" t="s">
        <v>926</v>
      </c>
      <c r="C2277" s="1" t="s">
        <v>768</v>
      </c>
      <c r="E2277" s="1" t="s">
        <v>769</v>
      </c>
      <c r="F2277" s="1" t="s">
        <v>2309</v>
      </c>
      <c r="G2277" s="3">
        <v>0</v>
      </c>
      <c r="J2277" s="20" t="s">
        <v>3176</v>
      </c>
      <c r="K2277" s="20" t="s">
        <v>10013</v>
      </c>
      <c r="L2277" s="3">
        <v>27</v>
      </c>
      <c r="M2277" s="3" t="s">
        <v>10256</v>
      </c>
      <c r="N2277" s="3" t="str">
        <f>HYPERLINK("http://ictvonline.org/taxonomyHistory.asp?taxnode_id=20162285","ICTVonline=20162285")</f>
        <v>ICTVonline=20162285</v>
      </c>
    </row>
    <row r="2278" spans="1:14" x14ac:dyDescent="0.15">
      <c r="A2278" s="3">
        <v>2277</v>
      </c>
      <c r="B2278" s="1" t="s">
        <v>926</v>
      </c>
      <c r="C2278" s="1" t="s">
        <v>768</v>
      </c>
      <c r="E2278" s="1" t="s">
        <v>769</v>
      </c>
      <c r="F2278" s="1" t="s">
        <v>2310</v>
      </c>
      <c r="G2278" s="3">
        <v>0</v>
      </c>
      <c r="J2278" s="20" t="s">
        <v>3176</v>
      </c>
      <c r="K2278" s="20" t="s">
        <v>10013</v>
      </c>
      <c r="L2278" s="3">
        <v>27</v>
      </c>
      <c r="M2278" s="3" t="s">
        <v>10256</v>
      </c>
      <c r="N2278" s="3" t="str">
        <f>HYPERLINK("http://ictvonline.org/taxonomyHistory.asp?taxnode_id=20162286","ICTVonline=20162286")</f>
        <v>ICTVonline=20162286</v>
      </c>
    </row>
    <row r="2279" spans="1:14" x14ac:dyDescent="0.15">
      <c r="A2279" s="3">
        <v>2278</v>
      </c>
      <c r="B2279" s="1" t="s">
        <v>926</v>
      </c>
      <c r="C2279" s="1" t="s">
        <v>768</v>
      </c>
      <c r="E2279" s="1" t="s">
        <v>769</v>
      </c>
      <c r="F2279" s="1" t="s">
        <v>770</v>
      </c>
      <c r="G2279" s="3">
        <v>0</v>
      </c>
      <c r="H2279" s="20" t="s">
        <v>7176</v>
      </c>
      <c r="I2279" s="20" t="s">
        <v>5191</v>
      </c>
      <c r="J2279" s="20" t="s">
        <v>3176</v>
      </c>
      <c r="K2279" s="20" t="s">
        <v>10013</v>
      </c>
      <c r="L2279" s="3">
        <v>20</v>
      </c>
      <c r="M2279" s="3" t="s">
        <v>10115</v>
      </c>
      <c r="N2279" s="3" t="str">
        <f>HYPERLINK("http://ictvonline.org/taxonomyHistory.asp?taxnode_id=20162287","ICTVonline=20162287")</f>
        <v>ICTVonline=20162287</v>
      </c>
    </row>
    <row r="2280" spans="1:14" x14ac:dyDescent="0.15">
      <c r="A2280" s="3">
        <v>2279</v>
      </c>
      <c r="B2280" s="1" t="s">
        <v>926</v>
      </c>
      <c r="C2280" s="1" t="s">
        <v>768</v>
      </c>
      <c r="E2280" s="1" t="s">
        <v>769</v>
      </c>
      <c r="F2280" s="1" t="s">
        <v>771</v>
      </c>
      <c r="G2280" s="3">
        <v>0</v>
      </c>
      <c r="J2280" s="20" t="s">
        <v>3176</v>
      </c>
      <c r="K2280" s="20" t="s">
        <v>10016</v>
      </c>
      <c r="L2280" s="3">
        <v>20</v>
      </c>
      <c r="M2280" s="3" t="s">
        <v>10115</v>
      </c>
      <c r="N2280" s="3" t="str">
        <f>HYPERLINK("http://ictvonline.org/taxonomyHistory.asp?taxnode_id=20162288","ICTVonline=20162288")</f>
        <v>ICTVonline=20162288</v>
      </c>
    </row>
    <row r="2281" spans="1:14" x14ac:dyDescent="0.15">
      <c r="A2281" s="3">
        <v>2280</v>
      </c>
      <c r="B2281" s="1" t="s">
        <v>926</v>
      </c>
      <c r="C2281" s="1" t="s">
        <v>768</v>
      </c>
      <c r="E2281" s="1" t="s">
        <v>769</v>
      </c>
      <c r="F2281" s="1" t="s">
        <v>772</v>
      </c>
      <c r="G2281" s="3">
        <v>1</v>
      </c>
      <c r="H2281" s="20" t="s">
        <v>7177</v>
      </c>
      <c r="I2281" s="20" t="s">
        <v>5192</v>
      </c>
      <c r="J2281" s="20" t="s">
        <v>3176</v>
      </c>
      <c r="K2281" s="20" t="s">
        <v>10016</v>
      </c>
      <c r="L2281" s="3">
        <v>20</v>
      </c>
      <c r="M2281" s="3" t="s">
        <v>10115</v>
      </c>
      <c r="N2281" s="3" t="str">
        <f>HYPERLINK("http://ictvonline.org/taxonomyHistory.asp?taxnode_id=20162289","ICTVonline=20162289")</f>
        <v>ICTVonline=20162289</v>
      </c>
    </row>
    <row r="2282" spans="1:14" x14ac:dyDescent="0.15">
      <c r="A2282" s="3">
        <v>2281</v>
      </c>
      <c r="B2282" s="1" t="s">
        <v>926</v>
      </c>
      <c r="C2282" s="1" t="s">
        <v>768</v>
      </c>
      <c r="E2282" s="1" t="s">
        <v>769</v>
      </c>
      <c r="F2282" s="1" t="s">
        <v>773</v>
      </c>
      <c r="G2282" s="3">
        <v>0</v>
      </c>
      <c r="J2282" s="20" t="s">
        <v>3176</v>
      </c>
      <c r="K2282" s="20" t="s">
        <v>10016</v>
      </c>
      <c r="L2282" s="3">
        <v>20</v>
      </c>
      <c r="M2282" s="3" t="s">
        <v>10115</v>
      </c>
      <c r="N2282" s="3" t="str">
        <f>HYPERLINK("http://ictvonline.org/taxonomyHistory.asp?taxnode_id=20162290","ICTVonline=20162290")</f>
        <v>ICTVonline=20162290</v>
      </c>
    </row>
    <row r="2283" spans="1:14" x14ac:dyDescent="0.15">
      <c r="A2283" s="3">
        <v>2282</v>
      </c>
      <c r="B2283" s="1" t="s">
        <v>926</v>
      </c>
      <c r="C2283" s="1" t="s">
        <v>768</v>
      </c>
      <c r="E2283" s="1" t="s">
        <v>769</v>
      </c>
      <c r="F2283" s="1" t="s">
        <v>2311</v>
      </c>
      <c r="G2283" s="3">
        <v>0</v>
      </c>
      <c r="H2283" s="20" t="s">
        <v>7178</v>
      </c>
      <c r="I2283" s="20" t="s">
        <v>5193</v>
      </c>
      <c r="J2283" s="20" t="s">
        <v>3176</v>
      </c>
      <c r="K2283" s="20" t="s">
        <v>10013</v>
      </c>
      <c r="L2283" s="3">
        <v>27</v>
      </c>
      <c r="M2283" s="3" t="s">
        <v>10256</v>
      </c>
      <c r="N2283" s="3" t="str">
        <f>HYPERLINK("http://ictvonline.org/taxonomyHistory.asp?taxnode_id=20162291","ICTVonline=20162291")</f>
        <v>ICTVonline=20162291</v>
      </c>
    </row>
    <row r="2284" spans="1:14" x14ac:dyDescent="0.15">
      <c r="A2284" s="3">
        <v>2283</v>
      </c>
      <c r="B2284" s="1" t="s">
        <v>926</v>
      </c>
      <c r="C2284" s="1" t="s">
        <v>774</v>
      </c>
      <c r="E2284" s="1" t="s">
        <v>775</v>
      </c>
      <c r="F2284" s="1" t="s">
        <v>5194</v>
      </c>
      <c r="G2284" s="3">
        <v>0</v>
      </c>
      <c r="H2284" s="20" t="s">
        <v>6839</v>
      </c>
      <c r="I2284" s="20" t="s">
        <v>5195</v>
      </c>
      <c r="J2284" s="20" t="s">
        <v>5199</v>
      </c>
      <c r="K2284" s="20" t="s">
        <v>10013</v>
      </c>
      <c r="L2284" s="3">
        <v>30</v>
      </c>
      <c r="M2284" s="3" t="s">
        <v>10257</v>
      </c>
      <c r="N2284" s="3" t="str">
        <f>HYPERLINK("http://ictvonline.org/taxonomyHistory.asp?taxnode_id=20162295","ICTVonline=20162295")</f>
        <v>ICTVonline=20162295</v>
      </c>
    </row>
    <row r="2285" spans="1:14" x14ac:dyDescent="0.15">
      <c r="A2285" s="3">
        <v>2284</v>
      </c>
      <c r="B2285" s="1" t="s">
        <v>926</v>
      </c>
      <c r="C2285" s="1" t="s">
        <v>774</v>
      </c>
      <c r="E2285" s="1" t="s">
        <v>775</v>
      </c>
      <c r="F2285" s="1" t="s">
        <v>10518</v>
      </c>
      <c r="G2285" s="3">
        <v>0</v>
      </c>
      <c r="H2285" s="20" t="s">
        <v>6840</v>
      </c>
      <c r="I2285" s="20" t="s">
        <v>5196</v>
      </c>
      <c r="J2285" s="20" t="s">
        <v>5199</v>
      </c>
      <c r="K2285" s="20" t="s">
        <v>10021</v>
      </c>
      <c r="L2285" s="3">
        <v>31</v>
      </c>
      <c r="M2285" s="3" t="s">
        <v>9175</v>
      </c>
      <c r="N2285" s="3" t="str">
        <f>HYPERLINK("http://ictvonline.org/taxonomyHistory.asp?taxnode_id=20162296","ICTVonline=20162296")</f>
        <v>ICTVonline=20162296</v>
      </c>
    </row>
    <row r="2286" spans="1:14" x14ac:dyDescent="0.15">
      <c r="A2286" s="3">
        <v>2285</v>
      </c>
      <c r="B2286" s="1" t="s">
        <v>926</v>
      </c>
      <c r="C2286" s="1" t="s">
        <v>774</v>
      </c>
      <c r="E2286" s="1" t="s">
        <v>775</v>
      </c>
      <c r="F2286" s="1" t="s">
        <v>10519</v>
      </c>
      <c r="G2286" s="3">
        <v>0</v>
      </c>
      <c r="H2286" s="20" t="s">
        <v>6841</v>
      </c>
      <c r="I2286" s="20" t="s">
        <v>5197</v>
      </c>
      <c r="J2286" s="20" t="s">
        <v>5199</v>
      </c>
      <c r="K2286" s="20" t="s">
        <v>10021</v>
      </c>
      <c r="L2286" s="3">
        <v>31</v>
      </c>
      <c r="M2286" s="3" t="s">
        <v>9175</v>
      </c>
      <c r="N2286" s="3" t="str">
        <f>HYPERLINK("http://ictvonline.org/taxonomyHistory.asp?taxnode_id=20162297","ICTVonline=20162297")</f>
        <v>ICTVonline=20162297</v>
      </c>
    </row>
    <row r="2287" spans="1:14" x14ac:dyDescent="0.15">
      <c r="A2287" s="3">
        <v>2286</v>
      </c>
      <c r="B2287" s="1" t="s">
        <v>926</v>
      </c>
      <c r="C2287" s="1" t="s">
        <v>774</v>
      </c>
      <c r="E2287" s="1" t="s">
        <v>775</v>
      </c>
      <c r="F2287" s="1" t="s">
        <v>10520</v>
      </c>
      <c r="G2287" s="3">
        <v>0</v>
      </c>
      <c r="H2287" s="20" t="s">
        <v>6842</v>
      </c>
      <c r="I2287" s="20" t="s">
        <v>5198</v>
      </c>
      <c r="J2287" s="20" t="s">
        <v>5199</v>
      </c>
      <c r="K2287" s="20" t="s">
        <v>10021</v>
      </c>
      <c r="L2287" s="3">
        <v>31</v>
      </c>
      <c r="M2287" s="3" t="s">
        <v>9175</v>
      </c>
      <c r="N2287" s="3" t="str">
        <f>HYPERLINK("http://ictvonline.org/taxonomyHistory.asp?taxnode_id=20162298","ICTVonline=20162298")</f>
        <v>ICTVonline=20162298</v>
      </c>
    </row>
    <row r="2288" spans="1:14" x14ac:dyDescent="0.15">
      <c r="A2288" s="3">
        <v>2287</v>
      </c>
      <c r="B2288" s="1" t="s">
        <v>926</v>
      </c>
      <c r="C2288" s="1" t="s">
        <v>774</v>
      </c>
      <c r="E2288" s="1" t="s">
        <v>775</v>
      </c>
      <c r="F2288" s="1" t="s">
        <v>9172</v>
      </c>
      <c r="G2288" s="3">
        <v>0</v>
      </c>
      <c r="H2288" s="20" t="s">
        <v>9173</v>
      </c>
      <c r="I2288" s="20" t="s">
        <v>9174</v>
      </c>
      <c r="J2288" s="20" t="s">
        <v>5199</v>
      </c>
      <c r="K2288" s="20" t="s">
        <v>10013</v>
      </c>
      <c r="L2288" s="3">
        <v>31</v>
      </c>
      <c r="M2288" s="3" t="s">
        <v>9175</v>
      </c>
      <c r="N2288" s="3" t="str">
        <f>HYPERLINK("http://ictvonline.org/taxonomyHistory.asp?taxnode_id=20165248","ICTVonline=20165248")</f>
        <v>ICTVonline=20165248</v>
      </c>
    </row>
    <row r="2289" spans="1:14" x14ac:dyDescent="0.15">
      <c r="A2289" s="3">
        <v>2288</v>
      </c>
      <c r="B2289" s="1" t="s">
        <v>926</v>
      </c>
      <c r="C2289" s="1" t="s">
        <v>774</v>
      </c>
      <c r="E2289" s="1" t="s">
        <v>775</v>
      </c>
      <c r="F2289" s="1" t="s">
        <v>9176</v>
      </c>
      <c r="G2289" s="3">
        <v>0</v>
      </c>
      <c r="H2289" s="20" t="s">
        <v>9177</v>
      </c>
      <c r="I2289" s="20" t="s">
        <v>9178</v>
      </c>
      <c r="J2289" s="20" t="s">
        <v>5199</v>
      </c>
      <c r="K2289" s="20" t="s">
        <v>10013</v>
      </c>
      <c r="L2289" s="3">
        <v>31</v>
      </c>
      <c r="M2289" s="3" t="s">
        <v>9175</v>
      </c>
      <c r="N2289" s="3" t="str">
        <f>HYPERLINK("http://ictvonline.org/taxonomyHistory.asp?taxnode_id=20165249","ICTVonline=20165249")</f>
        <v>ICTVonline=20165249</v>
      </c>
    </row>
    <row r="2290" spans="1:14" x14ac:dyDescent="0.15">
      <c r="A2290" s="3">
        <v>2289</v>
      </c>
      <c r="B2290" s="1" t="s">
        <v>926</v>
      </c>
      <c r="C2290" s="1" t="s">
        <v>774</v>
      </c>
      <c r="E2290" s="1" t="s">
        <v>775</v>
      </c>
      <c r="F2290" s="1" t="s">
        <v>9179</v>
      </c>
      <c r="G2290" s="3">
        <v>0</v>
      </c>
      <c r="H2290" s="20" t="s">
        <v>9180</v>
      </c>
      <c r="I2290" s="20" t="s">
        <v>9181</v>
      </c>
      <c r="J2290" s="20" t="s">
        <v>5199</v>
      </c>
      <c r="K2290" s="20" t="s">
        <v>10013</v>
      </c>
      <c r="L2290" s="3">
        <v>31</v>
      </c>
      <c r="M2290" s="3" t="s">
        <v>9175</v>
      </c>
      <c r="N2290" s="3" t="str">
        <f>HYPERLINK("http://ictvonline.org/taxonomyHistory.asp?taxnode_id=20165250","ICTVonline=20165250")</f>
        <v>ICTVonline=20165250</v>
      </c>
    </row>
    <row r="2291" spans="1:14" x14ac:dyDescent="0.15">
      <c r="A2291" s="3">
        <v>2290</v>
      </c>
      <c r="B2291" s="1" t="s">
        <v>926</v>
      </c>
      <c r="C2291" s="1" t="s">
        <v>774</v>
      </c>
      <c r="E2291" s="1" t="s">
        <v>775</v>
      </c>
      <c r="F2291" s="1" t="s">
        <v>9182</v>
      </c>
      <c r="G2291" s="3">
        <v>0</v>
      </c>
      <c r="H2291" s="20" t="s">
        <v>9183</v>
      </c>
      <c r="I2291" s="20" t="s">
        <v>9184</v>
      </c>
      <c r="J2291" s="20" t="s">
        <v>5199</v>
      </c>
      <c r="K2291" s="20" t="s">
        <v>10013</v>
      </c>
      <c r="L2291" s="3">
        <v>31</v>
      </c>
      <c r="M2291" s="3" t="s">
        <v>9175</v>
      </c>
      <c r="N2291" s="3" t="str">
        <f>HYPERLINK("http://ictvonline.org/taxonomyHistory.asp?taxnode_id=20165251","ICTVonline=20165251")</f>
        <v>ICTVonline=20165251</v>
      </c>
    </row>
    <row r="2292" spans="1:14" x14ac:dyDescent="0.15">
      <c r="A2292" s="3">
        <v>2291</v>
      </c>
      <c r="B2292" s="1" t="s">
        <v>926</v>
      </c>
      <c r="C2292" s="1" t="s">
        <v>774</v>
      </c>
      <c r="E2292" s="1" t="s">
        <v>775</v>
      </c>
      <c r="F2292" s="1" t="s">
        <v>9185</v>
      </c>
      <c r="G2292" s="3">
        <v>0</v>
      </c>
      <c r="H2292" s="20" t="s">
        <v>9186</v>
      </c>
      <c r="I2292" s="20" t="s">
        <v>9187</v>
      </c>
      <c r="J2292" s="20" t="s">
        <v>5199</v>
      </c>
      <c r="K2292" s="20" t="s">
        <v>10013</v>
      </c>
      <c r="L2292" s="3">
        <v>31</v>
      </c>
      <c r="M2292" s="3" t="s">
        <v>9175</v>
      </c>
      <c r="N2292" s="3" t="str">
        <f>HYPERLINK("http://ictvonline.org/taxonomyHistory.asp?taxnode_id=20165252","ICTVonline=20165252")</f>
        <v>ICTVonline=20165252</v>
      </c>
    </row>
    <row r="2293" spans="1:14" x14ac:dyDescent="0.15">
      <c r="A2293" s="3">
        <v>2292</v>
      </c>
      <c r="B2293" s="1" t="s">
        <v>926</v>
      </c>
      <c r="C2293" s="1" t="s">
        <v>774</v>
      </c>
      <c r="E2293" s="1" t="s">
        <v>775</v>
      </c>
      <c r="F2293" s="1" t="s">
        <v>1861</v>
      </c>
      <c r="G2293" s="3">
        <v>0</v>
      </c>
      <c r="J2293" s="20" t="s">
        <v>5199</v>
      </c>
      <c r="K2293" s="20" t="s">
        <v>10013</v>
      </c>
      <c r="L2293" s="3">
        <v>14</v>
      </c>
      <c r="M2293" s="3" t="s">
        <v>10234</v>
      </c>
      <c r="N2293" s="3" t="str">
        <f>HYPERLINK("http://ictvonline.org/taxonomyHistory.asp?taxnode_id=20162299","ICTVonline=20162299")</f>
        <v>ICTVonline=20162299</v>
      </c>
    </row>
    <row r="2294" spans="1:14" x14ac:dyDescent="0.15">
      <c r="A2294" s="3">
        <v>2293</v>
      </c>
      <c r="B2294" s="1" t="s">
        <v>926</v>
      </c>
      <c r="C2294" s="1" t="s">
        <v>774</v>
      </c>
      <c r="E2294" s="1" t="s">
        <v>775</v>
      </c>
      <c r="F2294" s="1" t="s">
        <v>1862</v>
      </c>
      <c r="G2294" s="3">
        <v>0</v>
      </c>
      <c r="J2294" s="20" t="s">
        <v>5199</v>
      </c>
      <c r="K2294" s="20" t="s">
        <v>10013</v>
      </c>
      <c r="L2294" s="3">
        <v>21</v>
      </c>
      <c r="M2294" s="3" t="s">
        <v>10258</v>
      </c>
      <c r="N2294" s="3" t="str">
        <f>HYPERLINK("http://ictvonline.org/taxonomyHistory.asp?taxnode_id=20162300","ICTVonline=20162300")</f>
        <v>ICTVonline=20162300</v>
      </c>
    </row>
    <row r="2295" spans="1:14" x14ac:dyDescent="0.15">
      <c r="A2295" s="3">
        <v>2294</v>
      </c>
      <c r="B2295" s="1" t="s">
        <v>926</v>
      </c>
      <c r="C2295" s="1" t="s">
        <v>774</v>
      </c>
      <c r="E2295" s="1" t="s">
        <v>775</v>
      </c>
      <c r="F2295" s="1" t="s">
        <v>5200</v>
      </c>
      <c r="G2295" s="3">
        <v>0</v>
      </c>
      <c r="H2295" s="20" t="s">
        <v>6843</v>
      </c>
      <c r="I2295" s="20" t="s">
        <v>5201</v>
      </c>
      <c r="J2295" s="20" t="s">
        <v>5199</v>
      </c>
      <c r="K2295" s="20" t="s">
        <v>10013</v>
      </c>
      <c r="L2295" s="3">
        <v>30</v>
      </c>
      <c r="M2295" s="3" t="s">
        <v>10257</v>
      </c>
      <c r="N2295" s="3" t="str">
        <f>HYPERLINK("http://ictvonline.org/taxonomyHistory.asp?taxnode_id=20162301","ICTVonline=20162301")</f>
        <v>ICTVonline=20162301</v>
      </c>
    </row>
    <row r="2296" spans="1:14" x14ac:dyDescent="0.15">
      <c r="A2296" s="3">
        <v>2295</v>
      </c>
      <c r="B2296" s="1" t="s">
        <v>926</v>
      </c>
      <c r="C2296" s="1" t="s">
        <v>774</v>
      </c>
      <c r="E2296" s="1" t="s">
        <v>775</v>
      </c>
      <c r="F2296" s="1" t="s">
        <v>10521</v>
      </c>
      <c r="G2296" s="3">
        <v>0</v>
      </c>
      <c r="H2296" s="20" t="s">
        <v>6844</v>
      </c>
      <c r="I2296" s="20" t="s">
        <v>5202</v>
      </c>
      <c r="J2296" s="20" t="s">
        <v>5199</v>
      </c>
      <c r="K2296" s="20" t="s">
        <v>10021</v>
      </c>
      <c r="L2296" s="3">
        <v>31</v>
      </c>
      <c r="M2296" s="3" t="s">
        <v>9175</v>
      </c>
      <c r="N2296" s="3" t="str">
        <f>HYPERLINK("http://ictvonline.org/taxonomyHistory.asp?taxnode_id=20162302","ICTVonline=20162302")</f>
        <v>ICTVonline=20162302</v>
      </c>
    </row>
    <row r="2297" spans="1:14" x14ac:dyDescent="0.15">
      <c r="A2297" s="3">
        <v>2296</v>
      </c>
      <c r="B2297" s="1" t="s">
        <v>926</v>
      </c>
      <c r="C2297" s="1" t="s">
        <v>774</v>
      </c>
      <c r="E2297" s="1" t="s">
        <v>775</v>
      </c>
      <c r="F2297" s="1" t="s">
        <v>777</v>
      </c>
      <c r="G2297" s="3">
        <v>0</v>
      </c>
      <c r="J2297" s="20" t="s">
        <v>5199</v>
      </c>
      <c r="K2297" s="20" t="s">
        <v>10013</v>
      </c>
      <c r="L2297" s="3">
        <v>24</v>
      </c>
      <c r="M2297" s="3" t="s">
        <v>10259</v>
      </c>
      <c r="N2297" s="3" t="str">
        <f>HYPERLINK("http://ictvonline.org/taxonomyHistory.asp?taxnode_id=20162303","ICTVonline=20162303")</f>
        <v>ICTVonline=20162303</v>
      </c>
    </row>
    <row r="2298" spans="1:14" x14ac:dyDescent="0.15">
      <c r="A2298" s="3">
        <v>2297</v>
      </c>
      <c r="B2298" s="1" t="s">
        <v>926</v>
      </c>
      <c r="C2298" s="1" t="s">
        <v>774</v>
      </c>
      <c r="E2298" s="1" t="s">
        <v>775</v>
      </c>
      <c r="F2298" s="1" t="s">
        <v>5203</v>
      </c>
      <c r="G2298" s="3">
        <v>0</v>
      </c>
      <c r="H2298" s="20" t="s">
        <v>6845</v>
      </c>
      <c r="I2298" s="20" t="s">
        <v>5204</v>
      </c>
      <c r="J2298" s="20" t="s">
        <v>5199</v>
      </c>
      <c r="K2298" s="20" t="s">
        <v>10013</v>
      </c>
      <c r="L2298" s="3">
        <v>30</v>
      </c>
      <c r="M2298" s="3" t="s">
        <v>10257</v>
      </c>
      <c r="N2298" s="3" t="str">
        <f>HYPERLINK("http://ictvonline.org/taxonomyHistory.asp?taxnode_id=20162304","ICTVonline=20162304")</f>
        <v>ICTVonline=20162304</v>
      </c>
    </row>
    <row r="2299" spans="1:14" x14ac:dyDescent="0.15">
      <c r="A2299" s="3">
        <v>2298</v>
      </c>
      <c r="B2299" s="1" t="s">
        <v>926</v>
      </c>
      <c r="C2299" s="1" t="s">
        <v>774</v>
      </c>
      <c r="E2299" s="1" t="s">
        <v>775</v>
      </c>
      <c r="F2299" s="1" t="s">
        <v>1246</v>
      </c>
      <c r="G2299" s="3">
        <v>0</v>
      </c>
      <c r="J2299" s="20" t="s">
        <v>5199</v>
      </c>
      <c r="K2299" s="20" t="s">
        <v>10013</v>
      </c>
      <c r="L2299" s="3">
        <v>24</v>
      </c>
      <c r="M2299" s="3" t="s">
        <v>10260</v>
      </c>
      <c r="N2299" s="3" t="str">
        <f>HYPERLINK("http://ictvonline.org/taxonomyHistory.asp?taxnode_id=20162305","ICTVonline=20162305")</f>
        <v>ICTVonline=20162305</v>
      </c>
    </row>
    <row r="2300" spans="1:14" x14ac:dyDescent="0.15">
      <c r="A2300" s="3">
        <v>2299</v>
      </c>
      <c r="B2300" s="1" t="s">
        <v>926</v>
      </c>
      <c r="C2300" s="1" t="s">
        <v>774</v>
      </c>
      <c r="E2300" s="1" t="s">
        <v>775</v>
      </c>
      <c r="F2300" s="1" t="s">
        <v>1247</v>
      </c>
      <c r="G2300" s="3">
        <v>0</v>
      </c>
      <c r="J2300" s="20" t="s">
        <v>5199</v>
      </c>
      <c r="K2300" s="20" t="s">
        <v>10013</v>
      </c>
      <c r="L2300" s="3">
        <v>21</v>
      </c>
      <c r="M2300" s="3" t="s">
        <v>10258</v>
      </c>
      <c r="N2300" s="3" t="str">
        <f>HYPERLINK("http://ictvonline.org/taxonomyHistory.asp?taxnode_id=20162306","ICTVonline=20162306")</f>
        <v>ICTVonline=20162306</v>
      </c>
    </row>
    <row r="2301" spans="1:14" x14ac:dyDescent="0.15">
      <c r="A2301" s="3">
        <v>2300</v>
      </c>
      <c r="B2301" s="1" t="s">
        <v>926</v>
      </c>
      <c r="C2301" s="1" t="s">
        <v>774</v>
      </c>
      <c r="E2301" s="1" t="s">
        <v>775</v>
      </c>
      <c r="F2301" s="1" t="s">
        <v>1248</v>
      </c>
      <c r="G2301" s="3">
        <v>0</v>
      </c>
      <c r="J2301" s="20" t="s">
        <v>5199</v>
      </c>
      <c r="K2301" s="20" t="s">
        <v>10013</v>
      </c>
      <c r="L2301" s="3">
        <v>24</v>
      </c>
      <c r="M2301" s="3" t="s">
        <v>10260</v>
      </c>
      <c r="N2301" s="3" t="str">
        <f>HYPERLINK("http://ictvonline.org/taxonomyHistory.asp?taxnode_id=20162307","ICTVonline=20162307")</f>
        <v>ICTVonline=20162307</v>
      </c>
    </row>
    <row r="2302" spans="1:14" x14ac:dyDescent="0.15">
      <c r="A2302" s="3">
        <v>2301</v>
      </c>
      <c r="B2302" s="1" t="s">
        <v>926</v>
      </c>
      <c r="C2302" s="1" t="s">
        <v>774</v>
      </c>
      <c r="E2302" s="1" t="s">
        <v>775</v>
      </c>
      <c r="F2302" s="1" t="s">
        <v>10522</v>
      </c>
      <c r="G2302" s="3">
        <v>0</v>
      </c>
      <c r="H2302" s="20" t="s">
        <v>6846</v>
      </c>
      <c r="I2302" s="20" t="s">
        <v>5205</v>
      </c>
      <c r="J2302" s="20" t="s">
        <v>5199</v>
      </c>
      <c r="K2302" s="20" t="s">
        <v>10021</v>
      </c>
      <c r="L2302" s="3">
        <v>31</v>
      </c>
      <c r="M2302" s="3" t="s">
        <v>9175</v>
      </c>
      <c r="N2302" s="3" t="str">
        <f>HYPERLINK("http://ictvonline.org/taxonomyHistory.asp?taxnode_id=20162308","ICTVonline=20162308")</f>
        <v>ICTVonline=20162308</v>
      </c>
    </row>
    <row r="2303" spans="1:14" x14ac:dyDescent="0.15">
      <c r="A2303" s="3">
        <v>2302</v>
      </c>
      <c r="B2303" s="1" t="s">
        <v>926</v>
      </c>
      <c r="C2303" s="1" t="s">
        <v>774</v>
      </c>
      <c r="E2303" s="1" t="s">
        <v>775</v>
      </c>
      <c r="F2303" s="1" t="s">
        <v>5206</v>
      </c>
      <c r="G2303" s="3">
        <v>0</v>
      </c>
      <c r="H2303" s="20" t="s">
        <v>6847</v>
      </c>
      <c r="I2303" s="20" t="s">
        <v>5207</v>
      </c>
      <c r="J2303" s="20" t="s">
        <v>5199</v>
      </c>
      <c r="K2303" s="20" t="s">
        <v>10013</v>
      </c>
      <c r="L2303" s="3">
        <v>30</v>
      </c>
      <c r="M2303" s="3" t="s">
        <v>10257</v>
      </c>
      <c r="N2303" s="3" t="str">
        <f>HYPERLINK("http://ictvonline.org/taxonomyHistory.asp?taxnode_id=20162309","ICTVonline=20162309")</f>
        <v>ICTVonline=20162309</v>
      </c>
    </row>
    <row r="2304" spans="1:14" x14ac:dyDescent="0.15">
      <c r="A2304" s="3">
        <v>2303</v>
      </c>
      <c r="B2304" s="1" t="s">
        <v>926</v>
      </c>
      <c r="C2304" s="1" t="s">
        <v>774</v>
      </c>
      <c r="E2304" s="1" t="s">
        <v>775</v>
      </c>
      <c r="F2304" s="1" t="s">
        <v>776</v>
      </c>
      <c r="G2304" s="3">
        <v>0</v>
      </c>
      <c r="J2304" s="20" t="s">
        <v>5199</v>
      </c>
      <c r="K2304" s="20" t="s">
        <v>10013</v>
      </c>
      <c r="L2304" s="3">
        <v>23</v>
      </c>
      <c r="M2304" s="3" t="s">
        <v>10229</v>
      </c>
      <c r="N2304" s="3" t="str">
        <f>HYPERLINK("http://ictvonline.org/taxonomyHistory.asp?taxnode_id=20162310","ICTVonline=20162310")</f>
        <v>ICTVonline=20162310</v>
      </c>
    </row>
    <row r="2305" spans="1:14" x14ac:dyDescent="0.15">
      <c r="A2305" s="3">
        <v>2304</v>
      </c>
      <c r="B2305" s="1" t="s">
        <v>926</v>
      </c>
      <c r="C2305" s="1" t="s">
        <v>774</v>
      </c>
      <c r="E2305" s="1" t="s">
        <v>775</v>
      </c>
      <c r="F2305" s="1" t="s">
        <v>5208</v>
      </c>
      <c r="G2305" s="3">
        <v>1</v>
      </c>
      <c r="J2305" s="20" t="s">
        <v>5199</v>
      </c>
      <c r="K2305" s="20" t="s">
        <v>10021</v>
      </c>
      <c r="L2305" s="3">
        <v>30</v>
      </c>
      <c r="M2305" s="3" t="s">
        <v>10257</v>
      </c>
      <c r="N2305" s="3" t="str">
        <f>HYPERLINK("http://ictvonline.org/taxonomyHistory.asp?taxnode_id=20162311","ICTVonline=20162311")</f>
        <v>ICTVonline=20162311</v>
      </c>
    </row>
    <row r="2306" spans="1:14" x14ac:dyDescent="0.15">
      <c r="A2306" s="3">
        <v>2305</v>
      </c>
      <c r="B2306" s="1" t="s">
        <v>926</v>
      </c>
      <c r="C2306" s="1" t="s">
        <v>774</v>
      </c>
      <c r="E2306" s="1" t="s">
        <v>775</v>
      </c>
      <c r="F2306" s="1" t="s">
        <v>5209</v>
      </c>
      <c r="G2306" s="3">
        <v>0</v>
      </c>
      <c r="J2306" s="20" t="s">
        <v>5199</v>
      </c>
      <c r="K2306" s="20" t="s">
        <v>10021</v>
      </c>
      <c r="L2306" s="3">
        <v>30</v>
      </c>
      <c r="M2306" s="3" t="s">
        <v>10257</v>
      </c>
      <c r="N2306" s="3" t="str">
        <f>HYPERLINK("http://ictvonline.org/taxonomyHistory.asp?taxnode_id=20162312","ICTVonline=20162312")</f>
        <v>ICTVonline=20162312</v>
      </c>
    </row>
    <row r="2307" spans="1:14" x14ac:dyDescent="0.15">
      <c r="A2307" s="3">
        <v>2306</v>
      </c>
      <c r="B2307" s="1" t="s">
        <v>926</v>
      </c>
      <c r="C2307" s="1" t="s">
        <v>774</v>
      </c>
      <c r="E2307" s="1" t="s">
        <v>775</v>
      </c>
      <c r="F2307" s="1" t="s">
        <v>5210</v>
      </c>
      <c r="G2307" s="3">
        <v>0</v>
      </c>
      <c r="H2307" s="20" t="s">
        <v>6848</v>
      </c>
      <c r="I2307" s="20" t="s">
        <v>5211</v>
      </c>
      <c r="J2307" s="20" t="s">
        <v>5199</v>
      </c>
      <c r="K2307" s="20" t="s">
        <v>10013</v>
      </c>
      <c r="L2307" s="3">
        <v>30</v>
      </c>
      <c r="M2307" s="3" t="s">
        <v>10257</v>
      </c>
      <c r="N2307" s="3" t="str">
        <f>HYPERLINK("http://ictvonline.org/taxonomyHistory.asp?taxnode_id=20162313","ICTVonline=20162313")</f>
        <v>ICTVonline=20162313</v>
      </c>
    </row>
    <row r="2308" spans="1:14" x14ac:dyDescent="0.15">
      <c r="A2308" s="3">
        <v>2307</v>
      </c>
      <c r="B2308" s="1" t="s">
        <v>926</v>
      </c>
      <c r="C2308" s="1" t="s">
        <v>774</v>
      </c>
      <c r="E2308" s="1" t="s">
        <v>775</v>
      </c>
      <c r="F2308" s="1" t="s">
        <v>2032</v>
      </c>
      <c r="G2308" s="3">
        <v>0</v>
      </c>
      <c r="J2308" s="20" t="s">
        <v>5199</v>
      </c>
      <c r="K2308" s="20" t="s">
        <v>10013</v>
      </c>
      <c r="L2308" s="3">
        <v>24</v>
      </c>
      <c r="M2308" s="3" t="s">
        <v>10260</v>
      </c>
      <c r="N2308" s="3" t="str">
        <f>HYPERLINK("http://ictvonline.org/taxonomyHistory.asp?taxnode_id=20162314","ICTVonline=20162314")</f>
        <v>ICTVonline=20162314</v>
      </c>
    </row>
    <row r="2309" spans="1:14" x14ac:dyDescent="0.15">
      <c r="A2309" s="3">
        <v>2308</v>
      </c>
      <c r="B2309" s="1" t="s">
        <v>926</v>
      </c>
      <c r="C2309" s="1" t="s">
        <v>774</v>
      </c>
      <c r="E2309" s="1" t="s">
        <v>775</v>
      </c>
      <c r="F2309" s="1" t="s">
        <v>1909</v>
      </c>
      <c r="G2309" s="3">
        <v>0</v>
      </c>
      <c r="J2309" s="20" t="s">
        <v>5199</v>
      </c>
      <c r="K2309" s="20" t="s">
        <v>10013</v>
      </c>
      <c r="L2309" s="3">
        <v>25</v>
      </c>
      <c r="M2309" s="3" t="s">
        <v>10261</v>
      </c>
      <c r="N2309" s="3" t="str">
        <f>HYPERLINK("http://ictvonline.org/taxonomyHistory.asp?taxnode_id=20162315","ICTVonline=20162315")</f>
        <v>ICTVonline=20162315</v>
      </c>
    </row>
    <row r="2310" spans="1:14" x14ac:dyDescent="0.15">
      <c r="A2310" s="3">
        <v>2309</v>
      </c>
      <c r="B2310" s="1" t="s">
        <v>926</v>
      </c>
      <c r="C2310" s="1" t="s">
        <v>774</v>
      </c>
      <c r="E2310" s="1" t="s">
        <v>775</v>
      </c>
      <c r="F2310" s="1" t="s">
        <v>5212</v>
      </c>
      <c r="G2310" s="3">
        <v>0</v>
      </c>
      <c r="H2310" s="20" t="s">
        <v>6849</v>
      </c>
      <c r="I2310" s="20" t="s">
        <v>5213</v>
      </c>
      <c r="J2310" s="20" t="s">
        <v>5199</v>
      </c>
      <c r="K2310" s="20" t="s">
        <v>10013</v>
      </c>
      <c r="L2310" s="3">
        <v>30</v>
      </c>
      <c r="M2310" s="3" t="s">
        <v>10257</v>
      </c>
      <c r="N2310" s="3" t="str">
        <f>HYPERLINK("http://ictvonline.org/taxonomyHistory.asp?taxnode_id=20162316","ICTVonline=20162316")</f>
        <v>ICTVonline=20162316</v>
      </c>
    </row>
    <row r="2311" spans="1:14" x14ac:dyDescent="0.15">
      <c r="A2311" s="3">
        <v>2310</v>
      </c>
      <c r="B2311" s="1" t="s">
        <v>926</v>
      </c>
      <c r="C2311" s="1" t="s">
        <v>774</v>
      </c>
      <c r="E2311" s="1" t="s">
        <v>5214</v>
      </c>
      <c r="F2311" s="1" t="s">
        <v>10523</v>
      </c>
      <c r="G2311" s="3">
        <v>0</v>
      </c>
      <c r="H2311" s="20" t="s">
        <v>6851</v>
      </c>
      <c r="I2311" s="20" t="s">
        <v>5216</v>
      </c>
      <c r="J2311" s="20" t="s">
        <v>5199</v>
      </c>
      <c r="K2311" s="20" t="s">
        <v>10021</v>
      </c>
      <c r="L2311" s="3">
        <v>31</v>
      </c>
      <c r="M2311" s="3" t="s">
        <v>9191</v>
      </c>
      <c r="N2311" s="3" t="str">
        <f>HYPERLINK("http://ictvonline.org/taxonomyHistory.asp?taxnode_id=20162319","ICTVonline=20162319")</f>
        <v>ICTVonline=20162319</v>
      </c>
    </row>
    <row r="2312" spans="1:14" x14ac:dyDescent="0.15">
      <c r="A2312" s="3">
        <v>2311</v>
      </c>
      <c r="B2312" s="1" t="s">
        <v>926</v>
      </c>
      <c r="C2312" s="1" t="s">
        <v>774</v>
      </c>
      <c r="E2312" s="1" t="s">
        <v>5214</v>
      </c>
      <c r="F2312" s="1" t="s">
        <v>10524</v>
      </c>
      <c r="G2312" s="3">
        <v>0</v>
      </c>
      <c r="H2312" s="20" t="s">
        <v>6852</v>
      </c>
      <c r="I2312" s="20" t="s">
        <v>5217</v>
      </c>
      <c r="J2312" s="20" t="s">
        <v>5199</v>
      </c>
      <c r="K2312" s="20" t="s">
        <v>10021</v>
      </c>
      <c r="L2312" s="3">
        <v>31</v>
      </c>
      <c r="M2312" s="3" t="s">
        <v>9191</v>
      </c>
      <c r="N2312" s="3" t="str">
        <f>HYPERLINK("http://ictvonline.org/taxonomyHistory.asp?taxnode_id=20162320","ICTVonline=20162320")</f>
        <v>ICTVonline=20162320</v>
      </c>
    </row>
    <row r="2313" spans="1:14" x14ac:dyDescent="0.15">
      <c r="A2313" s="3">
        <v>2312</v>
      </c>
      <c r="B2313" s="1" t="s">
        <v>926</v>
      </c>
      <c r="C2313" s="1" t="s">
        <v>774</v>
      </c>
      <c r="E2313" s="1" t="s">
        <v>5214</v>
      </c>
      <c r="F2313" s="1" t="s">
        <v>10525</v>
      </c>
      <c r="G2313" s="3">
        <v>0</v>
      </c>
      <c r="H2313" s="20" t="s">
        <v>6853</v>
      </c>
      <c r="I2313" s="20" t="s">
        <v>5218</v>
      </c>
      <c r="J2313" s="20" t="s">
        <v>5199</v>
      </c>
      <c r="K2313" s="20" t="s">
        <v>10021</v>
      </c>
      <c r="L2313" s="3">
        <v>31</v>
      </c>
      <c r="M2313" s="3" t="s">
        <v>9191</v>
      </c>
      <c r="N2313" s="3" t="str">
        <f>HYPERLINK("http://ictvonline.org/taxonomyHistory.asp?taxnode_id=20162321","ICTVonline=20162321")</f>
        <v>ICTVonline=20162321</v>
      </c>
    </row>
    <row r="2314" spans="1:14" x14ac:dyDescent="0.15">
      <c r="A2314" s="3">
        <v>2313</v>
      </c>
      <c r="B2314" s="1" t="s">
        <v>926</v>
      </c>
      <c r="C2314" s="1" t="s">
        <v>774</v>
      </c>
      <c r="E2314" s="1" t="s">
        <v>5214</v>
      </c>
      <c r="F2314" s="1" t="s">
        <v>10526</v>
      </c>
      <c r="G2314" s="3">
        <v>0</v>
      </c>
      <c r="H2314" s="20" t="s">
        <v>6854</v>
      </c>
      <c r="I2314" s="20" t="s">
        <v>5219</v>
      </c>
      <c r="J2314" s="20" t="s">
        <v>5199</v>
      </c>
      <c r="K2314" s="20" t="s">
        <v>10021</v>
      </c>
      <c r="L2314" s="3">
        <v>31</v>
      </c>
      <c r="M2314" s="3" t="s">
        <v>9191</v>
      </c>
      <c r="N2314" s="3" t="str">
        <f>HYPERLINK("http://ictvonline.org/taxonomyHistory.asp?taxnode_id=20162322","ICTVonline=20162322")</f>
        <v>ICTVonline=20162322</v>
      </c>
    </row>
    <row r="2315" spans="1:14" x14ac:dyDescent="0.15">
      <c r="A2315" s="3">
        <v>2314</v>
      </c>
      <c r="B2315" s="1" t="s">
        <v>926</v>
      </c>
      <c r="C2315" s="1" t="s">
        <v>774</v>
      </c>
      <c r="E2315" s="1" t="s">
        <v>5214</v>
      </c>
      <c r="F2315" s="1" t="s">
        <v>10527</v>
      </c>
      <c r="G2315" s="3">
        <v>0</v>
      </c>
      <c r="H2315" s="20" t="s">
        <v>6850</v>
      </c>
      <c r="I2315" s="20" t="s">
        <v>5215</v>
      </c>
      <c r="J2315" s="20" t="s">
        <v>5199</v>
      </c>
      <c r="K2315" s="20" t="s">
        <v>10021</v>
      </c>
      <c r="L2315" s="3">
        <v>31</v>
      </c>
      <c r="M2315" s="3" t="s">
        <v>9191</v>
      </c>
      <c r="N2315" s="3" t="str">
        <f>HYPERLINK("http://ictvonline.org/taxonomyHistory.asp?taxnode_id=20162318","ICTVonline=20162318")</f>
        <v>ICTVonline=20162318</v>
      </c>
    </row>
    <row r="2316" spans="1:14" x14ac:dyDescent="0.15">
      <c r="A2316" s="3">
        <v>2315</v>
      </c>
      <c r="B2316" s="1" t="s">
        <v>926</v>
      </c>
      <c r="C2316" s="1" t="s">
        <v>774</v>
      </c>
      <c r="E2316" s="1" t="s">
        <v>5214</v>
      </c>
      <c r="F2316" s="1" t="s">
        <v>9188</v>
      </c>
      <c r="G2316" s="3">
        <v>0</v>
      </c>
      <c r="H2316" s="20" t="s">
        <v>9189</v>
      </c>
      <c r="I2316" s="20" t="s">
        <v>9190</v>
      </c>
      <c r="J2316" s="20" t="s">
        <v>5199</v>
      </c>
      <c r="K2316" s="20" t="s">
        <v>10013</v>
      </c>
      <c r="L2316" s="3">
        <v>31</v>
      </c>
      <c r="M2316" s="3" t="s">
        <v>9191</v>
      </c>
      <c r="N2316" s="3" t="str">
        <f>HYPERLINK("http://ictvonline.org/taxonomyHistory.asp?taxnode_id=20165260","ICTVonline=20165260")</f>
        <v>ICTVonline=20165260</v>
      </c>
    </row>
    <row r="2317" spans="1:14" x14ac:dyDescent="0.15">
      <c r="A2317" s="3">
        <v>2316</v>
      </c>
      <c r="B2317" s="1" t="s">
        <v>926</v>
      </c>
      <c r="C2317" s="1" t="s">
        <v>774</v>
      </c>
      <c r="E2317" s="1" t="s">
        <v>5214</v>
      </c>
      <c r="F2317" s="1" t="s">
        <v>9192</v>
      </c>
      <c r="G2317" s="3">
        <v>0</v>
      </c>
      <c r="H2317" s="20" t="s">
        <v>9193</v>
      </c>
      <c r="I2317" s="20" t="s">
        <v>9194</v>
      </c>
      <c r="J2317" s="20" t="s">
        <v>5199</v>
      </c>
      <c r="K2317" s="20" t="s">
        <v>10013</v>
      </c>
      <c r="L2317" s="3">
        <v>31</v>
      </c>
      <c r="M2317" s="3" t="s">
        <v>9191</v>
      </c>
      <c r="N2317" s="3" t="str">
        <f>HYPERLINK("http://ictvonline.org/taxonomyHistory.asp?taxnode_id=20165261","ICTVonline=20165261")</f>
        <v>ICTVonline=20165261</v>
      </c>
    </row>
    <row r="2318" spans="1:14" x14ac:dyDescent="0.15">
      <c r="A2318" s="3">
        <v>2317</v>
      </c>
      <c r="B2318" s="1" t="s">
        <v>926</v>
      </c>
      <c r="C2318" s="1" t="s">
        <v>774</v>
      </c>
      <c r="E2318" s="1" t="s">
        <v>5214</v>
      </c>
      <c r="F2318" s="1" t="s">
        <v>9195</v>
      </c>
      <c r="G2318" s="3">
        <v>0</v>
      </c>
      <c r="H2318" s="20" t="s">
        <v>9196</v>
      </c>
      <c r="I2318" s="20" t="s">
        <v>9197</v>
      </c>
      <c r="J2318" s="20" t="s">
        <v>5199</v>
      </c>
      <c r="K2318" s="20" t="s">
        <v>10013</v>
      </c>
      <c r="L2318" s="3">
        <v>31</v>
      </c>
      <c r="M2318" s="3" t="s">
        <v>9191</v>
      </c>
      <c r="N2318" s="3" t="str">
        <f>HYPERLINK("http://ictvonline.org/taxonomyHistory.asp?taxnode_id=20165262","ICTVonline=20165262")</f>
        <v>ICTVonline=20165262</v>
      </c>
    </row>
    <row r="2319" spans="1:14" x14ac:dyDescent="0.15">
      <c r="A2319" s="3">
        <v>2318</v>
      </c>
      <c r="B2319" s="1" t="s">
        <v>926</v>
      </c>
      <c r="C2319" s="1" t="s">
        <v>774</v>
      </c>
      <c r="E2319" s="1" t="s">
        <v>5214</v>
      </c>
      <c r="F2319" s="1" t="s">
        <v>9198</v>
      </c>
      <c r="G2319" s="3">
        <v>0</v>
      </c>
      <c r="H2319" s="20" t="s">
        <v>9199</v>
      </c>
      <c r="I2319" s="20" t="s">
        <v>9200</v>
      </c>
      <c r="J2319" s="20" t="s">
        <v>5199</v>
      </c>
      <c r="K2319" s="20" t="s">
        <v>10013</v>
      </c>
      <c r="L2319" s="3">
        <v>31</v>
      </c>
      <c r="M2319" s="3" t="s">
        <v>9191</v>
      </c>
      <c r="N2319" s="3" t="str">
        <f>HYPERLINK("http://ictvonline.org/taxonomyHistory.asp?taxnode_id=20165263","ICTVonline=20165263")</f>
        <v>ICTVonline=20165263</v>
      </c>
    </row>
    <row r="2320" spans="1:14" x14ac:dyDescent="0.15">
      <c r="A2320" s="3">
        <v>2319</v>
      </c>
      <c r="B2320" s="1" t="s">
        <v>926</v>
      </c>
      <c r="C2320" s="1" t="s">
        <v>774</v>
      </c>
      <c r="E2320" s="1" t="s">
        <v>5214</v>
      </c>
      <c r="F2320" s="1" t="s">
        <v>9201</v>
      </c>
      <c r="G2320" s="3">
        <v>0</v>
      </c>
      <c r="H2320" s="20" t="s">
        <v>9202</v>
      </c>
      <c r="I2320" s="20" t="s">
        <v>9203</v>
      </c>
      <c r="J2320" s="20" t="s">
        <v>5199</v>
      </c>
      <c r="K2320" s="20" t="s">
        <v>10013</v>
      </c>
      <c r="L2320" s="3">
        <v>31</v>
      </c>
      <c r="M2320" s="3" t="s">
        <v>9191</v>
      </c>
      <c r="N2320" s="3" t="str">
        <f>HYPERLINK("http://ictvonline.org/taxonomyHistory.asp?taxnode_id=20165253","ICTVonline=20165253")</f>
        <v>ICTVonline=20165253</v>
      </c>
    </row>
    <row r="2321" spans="1:14" x14ac:dyDescent="0.15">
      <c r="A2321" s="3">
        <v>2320</v>
      </c>
      <c r="B2321" s="1" t="s">
        <v>926</v>
      </c>
      <c r="C2321" s="1" t="s">
        <v>774</v>
      </c>
      <c r="E2321" s="1" t="s">
        <v>5214</v>
      </c>
      <c r="F2321" s="1" t="s">
        <v>9204</v>
      </c>
      <c r="G2321" s="3">
        <v>0</v>
      </c>
      <c r="H2321" s="20" t="s">
        <v>9205</v>
      </c>
      <c r="I2321" s="20" t="s">
        <v>9206</v>
      </c>
      <c r="J2321" s="20" t="s">
        <v>5199</v>
      </c>
      <c r="K2321" s="20" t="s">
        <v>10013</v>
      </c>
      <c r="L2321" s="3">
        <v>31</v>
      </c>
      <c r="M2321" s="3" t="s">
        <v>9191</v>
      </c>
      <c r="N2321" s="3" t="str">
        <f>HYPERLINK("http://ictvonline.org/taxonomyHistory.asp?taxnode_id=20165254","ICTVonline=20165254")</f>
        <v>ICTVonline=20165254</v>
      </c>
    </row>
    <row r="2322" spans="1:14" x14ac:dyDescent="0.15">
      <c r="A2322" s="3">
        <v>2321</v>
      </c>
      <c r="B2322" s="1" t="s">
        <v>926</v>
      </c>
      <c r="C2322" s="1" t="s">
        <v>774</v>
      </c>
      <c r="E2322" s="1" t="s">
        <v>5214</v>
      </c>
      <c r="F2322" s="1" t="s">
        <v>9207</v>
      </c>
      <c r="G2322" s="3">
        <v>0</v>
      </c>
      <c r="H2322" s="20" t="s">
        <v>9208</v>
      </c>
      <c r="I2322" s="20" t="s">
        <v>9209</v>
      </c>
      <c r="J2322" s="20" t="s">
        <v>5199</v>
      </c>
      <c r="K2322" s="20" t="s">
        <v>10013</v>
      </c>
      <c r="L2322" s="3">
        <v>31</v>
      </c>
      <c r="M2322" s="3" t="s">
        <v>9191</v>
      </c>
      <c r="N2322" s="3" t="str">
        <f>HYPERLINK("http://ictvonline.org/taxonomyHistory.asp?taxnode_id=20165255","ICTVonline=20165255")</f>
        <v>ICTVonline=20165255</v>
      </c>
    </row>
    <row r="2323" spans="1:14" x14ac:dyDescent="0.15">
      <c r="A2323" s="3">
        <v>2322</v>
      </c>
      <c r="B2323" s="1" t="s">
        <v>926</v>
      </c>
      <c r="C2323" s="1" t="s">
        <v>774</v>
      </c>
      <c r="E2323" s="1" t="s">
        <v>5214</v>
      </c>
      <c r="F2323" s="1" t="s">
        <v>9210</v>
      </c>
      <c r="G2323" s="3">
        <v>0</v>
      </c>
      <c r="H2323" s="20" t="s">
        <v>9211</v>
      </c>
      <c r="I2323" s="20" t="s">
        <v>9212</v>
      </c>
      <c r="J2323" s="20" t="s">
        <v>5199</v>
      </c>
      <c r="K2323" s="20" t="s">
        <v>10013</v>
      </c>
      <c r="L2323" s="3">
        <v>31</v>
      </c>
      <c r="M2323" s="3" t="s">
        <v>9191</v>
      </c>
      <c r="N2323" s="3" t="str">
        <f>HYPERLINK("http://ictvonline.org/taxonomyHistory.asp?taxnode_id=20165256","ICTVonline=20165256")</f>
        <v>ICTVonline=20165256</v>
      </c>
    </row>
    <row r="2324" spans="1:14" x14ac:dyDescent="0.15">
      <c r="A2324" s="3">
        <v>2323</v>
      </c>
      <c r="B2324" s="1" t="s">
        <v>926</v>
      </c>
      <c r="C2324" s="1" t="s">
        <v>774</v>
      </c>
      <c r="E2324" s="1" t="s">
        <v>5214</v>
      </c>
      <c r="F2324" s="1" t="s">
        <v>9213</v>
      </c>
      <c r="G2324" s="3">
        <v>0</v>
      </c>
      <c r="H2324" s="20" t="s">
        <v>9214</v>
      </c>
      <c r="I2324" s="20" t="s">
        <v>9215</v>
      </c>
      <c r="J2324" s="20" t="s">
        <v>5199</v>
      </c>
      <c r="K2324" s="20" t="s">
        <v>10013</v>
      </c>
      <c r="L2324" s="3">
        <v>31</v>
      </c>
      <c r="M2324" s="3" t="s">
        <v>9191</v>
      </c>
      <c r="N2324" s="3" t="str">
        <f>HYPERLINK("http://ictvonline.org/taxonomyHistory.asp?taxnode_id=20165257","ICTVonline=20165257")</f>
        <v>ICTVonline=20165257</v>
      </c>
    </row>
    <row r="2325" spans="1:14" x14ac:dyDescent="0.15">
      <c r="A2325" s="3">
        <v>2324</v>
      </c>
      <c r="B2325" s="1" t="s">
        <v>926</v>
      </c>
      <c r="C2325" s="1" t="s">
        <v>774</v>
      </c>
      <c r="E2325" s="1" t="s">
        <v>5214</v>
      </c>
      <c r="F2325" s="1" t="s">
        <v>9216</v>
      </c>
      <c r="G2325" s="3">
        <v>0</v>
      </c>
      <c r="H2325" s="20" t="s">
        <v>9217</v>
      </c>
      <c r="I2325" s="20" t="s">
        <v>9218</v>
      </c>
      <c r="J2325" s="20" t="s">
        <v>5199</v>
      </c>
      <c r="K2325" s="20" t="s">
        <v>10013</v>
      </c>
      <c r="L2325" s="3">
        <v>31</v>
      </c>
      <c r="M2325" s="3" t="s">
        <v>9191</v>
      </c>
      <c r="N2325" s="3" t="str">
        <f>HYPERLINK("http://ictvonline.org/taxonomyHistory.asp?taxnode_id=20165258","ICTVonline=20165258")</f>
        <v>ICTVonline=20165258</v>
      </c>
    </row>
    <row r="2326" spans="1:14" x14ac:dyDescent="0.15">
      <c r="A2326" s="3">
        <v>2325</v>
      </c>
      <c r="B2326" s="1" t="s">
        <v>926</v>
      </c>
      <c r="C2326" s="1" t="s">
        <v>774</v>
      </c>
      <c r="E2326" s="1" t="s">
        <v>5214</v>
      </c>
      <c r="F2326" s="1" t="s">
        <v>9219</v>
      </c>
      <c r="G2326" s="3">
        <v>0</v>
      </c>
      <c r="H2326" s="20" t="s">
        <v>9220</v>
      </c>
      <c r="I2326" s="20" t="s">
        <v>9221</v>
      </c>
      <c r="J2326" s="20" t="s">
        <v>5199</v>
      </c>
      <c r="K2326" s="20" t="s">
        <v>10013</v>
      </c>
      <c r="L2326" s="3">
        <v>31</v>
      </c>
      <c r="M2326" s="3" t="s">
        <v>9191</v>
      </c>
      <c r="N2326" s="3" t="str">
        <f>HYPERLINK("http://ictvonline.org/taxonomyHistory.asp?taxnode_id=20165259","ICTVonline=20165259")</f>
        <v>ICTVonline=20165259</v>
      </c>
    </row>
    <row r="2327" spans="1:14" x14ac:dyDescent="0.15">
      <c r="A2327" s="3">
        <v>2326</v>
      </c>
      <c r="B2327" s="1" t="s">
        <v>926</v>
      </c>
      <c r="C2327" s="1" t="s">
        <v>774</v>
      </c>
      <c r="E2327" s="1" t="s">
        <v>5214</v>
      </c>
      <c r="F2327" s="1" t="s">
        <v>10528</v>
      </c>
      <c r="G2327" s="3">
        <v>0</v>
      </c>
      <c r="H2327" s="20" t="s">
        <v>6855</v>
      </c>
      <c r="I2327" s="20" t="s">
        <v>5220</v>
      </c>
      <c r="J2327" s="20" t="s">
        <v>5199</v>
      </c>
      <c r="K2327" s="20" t="s">
        <v>10021</v>
      </c>
      <c r="L2327" s="3">
        <v>31</v>
      </c>
      <c r="M2327" s="3" t="s">
        <v>9191</v>
      </c>
      <c r="N2327" s="3" t="str">
        <f>HYPERLINK("http://ictvonline.org/taxonomyHistory.asp?taxnode_id=20162323","ICTVonline=20162323")</f>
        <v>ICTVonline=20162323</v>
      </c>
    </row>
    <row r="2328" spans="1:14" x14ac:dyDescent="0.15">
      <c r="A2328" s="3">
        <v>2327</v>
      </c>
      <c r="B2328" s="1" t="s">
        <v>926</v>
      </c>
      <c r="C2328" s="1" t="s">
        <v>774</v>
      </c>
      <c r="E2328" s="1" t="s">
        <v>5214</v>
      </c>
      <c r="F2328" s="1" t="s">
        <v>10529</v>
      </c>
      <c r="G2328" s="3">
        <v>0</v>
      </c>
      <c r="H2328" s="20" t="s">
        <v>6866</v>
      </c>
      <c r="I2328" s="20" t="s">
        <v>5231</v>
      </c>
      <c r="J2328" s="20" t="s">
        <v>5199</v>
      </c>
      <c r="K2328" s="20" t="s">
        <v>10021</v>
      </c>
      <c r="L2328" s="3">
        <v>31</v>
      </c>
      <c r="M2328" s="3" t="s">
        <v>9191</v>
      </c>
      <c r="N2328" s="3" t="str">
        <f>HYPERLINK("http://ictvonline.org/taxonomyHistory.asp?taxnode_id=20162334","ICTVonline=20162334")</f>
        <v>ICTVonline=20162334</v>
      </c>
    </row>
    <row r="2329" spans="1:14" x14ac:dyDescent="0.15">
      <c r="A2329" s="3">
        <v>2328</v>
      </c>
      <c r="B2329" s="1" t="s">
        <v>926</v>
      </c>
      <c r="C2329" s="1" t="s">
        <v>774</v>
      </c>
      <c r="E2329" s="1" t="s">
        <v>5214</v>
      </c>
      <c r="F2329" s="1" t="s">
        <v>10530</v>
      </c>
      <c r="G2329" s="3">
        <v>0</v>
      </c>
      <c r="H2329" s="20" t="s">
        <v>6856</v>
      </c>
      <c r="I2329" s="20" t="s">
        <v>5221</v>
      </c>
      <c r="J2329" s="20" t="s">
        <v>5199</v>
      </c>
      <c r="K2329" s="20" t="s">
        <v>10021</v>
      </c>
      <c r="L2329" s="3">
        <v>31</v>
      </c>
      <c r="M2329" s="3" t="s">
        <v>9191</v>
      </c>
      <c r="N2329" s="3" t="str">
        <f>HYPERLINK("http://ictvonline.org/taxonomyHistory.asp?taxnode_id=20162324","ICTVonline=20162324")</f>
        <v>ICTVonline=20162324</v>
      </c>
    </row>
    <row r="2330" spans="1:14" x14ac:dyDescent="0.15">
      <c r="A2330" s="3">
        <v>2329</v>
      </c>
      <c r="B2330" s="1" t="s">
        <v>926</v>
      </c>
      <c r="C2330" s="1" t="s">
        <v>774</v>
      </c>
      <c r="E2330" s="1" t="s">
        <v>5214</v>
      </c>
      <c r="F2330" s="1" t="s">
        <v>10531</v>
      </c>
      <c r="G2330" s="3">
        <v>0</v>
      </c>
      <c r="H2330" s="20" t="s">
        <v>6865</v>
      </c>
      <c r="I2330" s="20" t="s">
        <v>5230</v>
      </c>
      <c r="J2330" s="20" t="s">
        <v>5199</v>
      </c>
      <c r="K2330" s="20" t="s">
        <v>10021</v>
      </c>
      <c r="L2330" s="3">
        <v>31</v>
      </c>
      <c r="M2330" s="3" t="s">
        <v>9191</v>
      </c>
      <c r="N2330" s="3" t="str">
        <f>HYPERLINK("http://ictvonline.org/taxonomyHistory.asp?taxnode_id=20162333","ICTVonline=20162333")</f>
        <v>ICTVonline=20162333</v>
      </c>
    </row>
    <row r="2331" spans="1:14" x14ac:dyDescent="0.15">
      <c r="A2331" s="3">
        <v>2330</v>
      </c>
      <c r="B2331" s="1" t="s">
        <v>926</v>
      </c>
      <c r="C2331" s="1" t="s">
        <v>774</v>
      </c>
      <c r="E2331" s="1" t="s">
        <v>5214</v>
      </c>
      <c r="F2331" s="1" t="s">
        <v>10532</v>
      </c>
      <c r="G2331" s="3">
        <v>0</v>
      </c>
      <c r="H2331" s="20" t="s">
        <v>6857</v>
      </c>
      <c r="I2331" s="20" t="s">
        <v>5222</v>
      </c>
      <c r="J2331" s="20" t="s">
        <v>5199</v>
      </c>
      <c r="K2331" s="20" t="s">
        <v>10021</v>
      </c>
      <c r="L2331" s="3">
        <v>31</v>
      </c>
      <c r="M2331" s="3" t="s">
        <v>9191</v>
      </c>
      <c r="N2331" s="3" t="str">
        <f>HYPERLINK("http://ictvonline.org/taxonomyHistory.asp?taxnode_id=20162325","ICTVonline=20162325")</f>
        <v>ICTVonline=20162325</v>
      </c>
    </row>
    <row r="2332" spans="1:14" x14ac:dyDescent="0.15">
      <c r="A2332" s="3">
        <v>2331</v>
      </c>
      <c r="B2332" s="1" t="s">
        <v>926</v>
      </c>
      <c r="C2332" s="1" t="s">
        <v>774</v>
      </c>
      <c r="E2332" s="1" t="s">
        <v>5214</v>
      </c>
      <c r="F2332" s="1" t="s">
        <v>10533</v>
      </c>
      <c r="G2332" s="3">
        <v>0</v>
      </c>
      <c r="H2332" s="20" t="s">
        <v>6858</v>
      </c>
      <c r="I2332" s="20" t="s">
        <v>5223</v>
      </c>
      <c r="J2332" s="20" t="s">
        <v>5199</v>
      </c>
      <c r="K2332" s="20" t="s">
        <v>10021</v>
      </c>
      <c r="L2332" s="3">
        <v>31</v>
      </c>
      <c r="M2332" s="3" t="s">
        <v>9191</v>
      </c>
      <c r="N2332" s="3" t="str">
        <f>HYPERLINK("http://ictvonline.org/taxonomyHistory.asp?taxnode_id=20162326","ICTVonline=20162326")</f>
        <v>ICTVonline=20162326</v>
      </c>
    </row>
    <row r="2333" spans="1:14" x14ac:dyDescent="0.15">
      <c r="A2333" s="3">
        <v>2332</v>
      </c>
      <c r="B2333" s="1" t="s">
        <v>926</v>
      </c>
      <c r="C2333" s="1" t="s">
        <v>774</v>
      </c>
      <c r="E2333" s="1" t="s">
        <v>5214</v>
      </c>
      <c r="F2333" s="1" t="s">
        <v>10534</v>
      </c>
      <c r="G2333" s="3">
        <v>0</v>
      </c>
      <c r="H2333" s="20" t="s">
        <v>6859</v>
      </c>
      <c r="I2333" s="20" t="s">
        <v>5224</v>
      </c>
      <c r="J2333" s="20" t="s">
        <v>5199</v>
      </c>
      <c r="K2333" s="20" t="s">
        <v>10021</v>
      </c>
      <c r="L2333" s="3">
        <v>31</v>
      </c>
      <c r="M2333" s="3" t="s">
        <v>9191</v>
      </c>
      <c r="N2333" s="3" t="str">
        <f>HYPERLINK("http://ictvonline.org/taxonomyHistory.asp?taxnode_id=20162327","ICTVonline=20162327")</f>
        <v>ICTVonline=20162327</v>
      </c>
    </row>
    <row r="2334" spans="1:14" x14ac:dyDescent="0.15">
      <c r="A2334" s="3">
        <v>2333</v>
      </c>
      <c r="B2334" s="1" t="s">
        <v>926</v>
      </c>
      <c r="C2334" s="1" t="s">
        <v>774</v>
      </c>
      <c r="E2334" s="1" t="s">
        <v>5214</v>
      </c>
      <c r="F2334" s="1" t="s">
        <v>10535</v>
      </c>
      <c r="G2334" s="3">
        <v>0</v>
      </c>
      <c r="H2334" s="20" t="s">
        <v>6860</v>
      </c>
      <c r="I2334" s="20" t="s">
        <v>5225</v>
      </c>
      <c r="J2334" s="20" t="s">
        <v>5199</v>
      </c>
      <c r="K2334" s="20" t="s">
        <v>10021</v>
      </c>
      <c r="L2334" s="3">
        <v>31</v>
      </c>
      <c r="M2334" s="3" t="s">
        <v>9191</v>
      </c>
      <c r="N2334" s="3" t="str">
        <f>HYPERLINK("http://ictvonline.org/taxonomyHistory.asp?taxnode_id=20162328","ICTVonline=20162328")</f>
        <v>ICTVonline=20162328</v>
      </c>
    </row>
    <row r="2335" spans="1:14" x14ac:dyDescent="0.15">
      <c r="A2335" s="3">
        <v>2334</v>
      </c>
      <c r="B2335" s="1" t="s">
        <v>926</v>
      </c>
      <c r="C2335" s="1" t="s">
        <v>774</v>
      </c>
      <c r="E2335" s="1" t="s">
        <v>5214</v>
      </c>
      <c r="F2335" s="1" t="s">
        <v>10536</v>
      </c>
      <c r="G2335" s="3">
        <v>0</v>
      </c>
      <c r="H2335" s="20" t="s">
        <v>6861</v>
      </c>
      <c r="I2335" s="20" t="s">
        <v>5226</v>
      </c>
      <c r="J2335" s="20" t="s">
        <v>5199</v>
      </c>
      <c r="K2335" s="20" t="s">
        <v>10021</v>
      </c>
      <c r="L2335" s="3">
        <v>31</v>
      </c>
      <c r="M2335" s="3" t="s">
        <v>9191</v>
      </c>
      <c r="N2335" s="3" t="str">
        <f>HYPERLINK("http://ictvonline.org/taxonomyHistory.asp?taxnode_id=20162329","ICTVonline=20162329")</f>
        <v>ICTVonline=20162329</v>
      </c>
    </row>
    <row r="2336" spans="1:14" x14ac:dyDescent="0.15">
      <c r="A2336" s="3">
        <v>2335</v>
      </c>
      <c r="B2336" s="1" t="s">
        <v>926</v>
      </c>
      <c r="C2336" s="1" t="s">
        <v>774</v>
      </c>
      <c r="E2336" s="1" t="s">
        <v>5214</v>
      </c>
      <c r="F2336" s="1" t="s">
        <v>10537</v>
      </c>
      <c r="G2336" s="3">
        <v>0</v>
      </c>
      <c r="H2336" s="20" t="s">
        <v>6862</v>
      </c>
      <c r="I2336" s="20" t="s">
        <v>5227</v>
      </c>
      <c r="J2336" s="20" t="s">
        <v>5199</v>
      </c>
      <c r="K2336" s="20" t="s">
        <v>10021</v>
      </c>
      <c r="L2336" s="3">
        <v>31</v>
      </c>
      <c r="M2336" s="3" t="s">
        <v>9191</v>
      </c>
      <c r="N2336" s="3" t="str">
        <f>HYPERLINK("http://ictvonline.org/taxonomyHistory.asp?taxnode_id=20162330","ICTVonline=20162330")</f>
        <v>ICTVonline=20162330</v>
      </c>
    </row>
    <row r="2337" spans="1:14" x14ac:dyDescent="0.15">
      <c r="A2337" s="3">
        <v>2336</v>
      </c>
      <c r="B2337" s="1" t="s">
        <v>926</v>
      </c>
      <c r="C2337" s="1" t="s">
        <v>774</v>
      </c>
      <c r="E2337" s="1" t="s">
        <v>5214</v>
      </c>
      <c r="F2337" s="1" t="s">
        <v>10538</v>
      </c>
      <c r="G2337" s="3">
        <v>0</v>
      </c>
      <c r="H2337" s="20" t="s">
        <v>6863</v>
      </c>
      <c r="I2337" s="20" t="s">
        <v>5228</v>
      </c>
      <c r="J2337" s="20" t="s">
        <v>5199</v>
      </c>
      <c r="K2337" s="20" t="s">
        <v>10021</v>
      </c>
      <c r="L2337" s="3">
        <v>31</v>
      </c>
      <c r="M2337" s="3" t="s">
        <v>9191</v>
      </c>
      <c r="N2337" s="3" t="str">
        <f>HYPERLINK("http://ictvonline.org/taxonomyHistory.asp?taxnode_id=20162331","ICTVonline=20162331")</f>
        <v>ICTVonline=20162331</v>
      </c>
    </row>
    <row r="2338" spans="1:14" x14ac:dyDescent="0.15">
      <c r="A2338" s="3">
        <v>2337</v>
      </c>
      <c r="B2338" s="1" t="s">
        <v>926</v>
      </c>
      <c r="C2338" s="1" t="s">
        <v>774</v>
      </c>
      <c r="E2338" s="1" t="s">
        <v>5214</v>
      </c>
      <c r="F2338" s="1" t="s">
        <v>10539</v>
      </c>
      <c r="G2338" s="3">
        <v>0</v>
      </c>
      <c r="H2338" s="20" t="s">
        <v>6864</v>
      </c>
      <c r="I2338" s="20" t="s">
        <v>5229</v>
      </c>
      <c r="J2338" s="20" t="s">
        <v>5199</v>
      </c>
      <c r="K2338" s="20" t="s">
        <v>10021</v>
      </c>
      <c r="L2338" s="3">
        <v>31</v>
      </c>
      <c r="M2338" s="3" t="s">
        <v>9191</v>
      </c>
      <c r="N2338" s="3" t="str">
        <f>HYPERLINK("http://ictvonline.org/taxonomyHistory.asp?taxnode_id=20162332","ICTVonline=20162332")</f>
        <v>ICTVonline=20162332</v>
      </c>
    </row>
    <row r="2339" spans="1:14" x14ac:dyDescent="0.15">
      <c r="A2339" s="3">
        <v>2338</v>
      </c>
      <c r="B2339" s="1" t="s">
        <v>926</v>
      </c>
      <c r="C2339" s="1" t="s">
        <v>774</v>
      </c>
      <c r="E2339" s="1" t="s">
        <v>5214</v>
      </c>
      <c r="F2339" s="1" t="s">
        <v>9222</v>
      </c>
      <c r="G2339" s="3">
        <v>0</v>
      </c>
      <c r="H2339" s="20" t="s">
        <v>9223</v>
      </c>
      <c r="I2339" s="20" t="s">
        <v>9224</v>
      </c>
      <c r="J2339" s="20" t="s">
        <v>5199</v>
      </c>
      <c r="K2339" s="20" t="s">
        <v>10013</v>
      </c>
      <c r="L2339" s="3">
        <v>31</v>
      </c>
      <c r="M2339" s="3" t="s">
        <v>9191</v>
      </c>
      <c r="N2339" s="3" t="str">
        <f>HYPERLINK("http://ictvonline.org/taxonomyHistory.asp?taxnode_id=20165264","ICTVonline=20165264")</f>
        <v>ICTVonline=20165264</v>
      </c>
    </row>
    <row r="2340" spans="1:14" x14ac:dyDescent="0.15">
      <c r="A2340" s="3">
        <v>2339</v>
      </c>
      <c r="B2340" s="1" t="s">
        <v>926</v>
      </c>
      <c r="C2340" s="1" t="s">
        <v>774</v>
      </c>
      <c r="E2340" s="1" t="s">
        <v>5214</v>
      </c>
      <c r="F2340" s="1" t="s">
        <v>10540</v>
      </c>
      <c r="G2340" s="3">
        <v>0</v>
      </c>
      <c r="H2340" s="20" t="s">
        <v>6867</v>
      </c>
      <c r="I2340" s="20" t="s">
        <v>5232</v>
      </c>
      <c r="J2340" s="20" t="s">
        <v>5199</v>
      </c>
      <c r="K2340" s="20" t="s">
        <v>10021</v>
      </c>
      <c r="L2340" s="3">
        <v>31</v>
      </c>
      <c r="M2340" s="3" t="s">
        <v>9191</v>
      </c>
      <c r="N2340" s="3" t="str">
        <f>HYPERLINK("http://ictvonline.org/taxonomyHistory.asp?taxnode_id=20162335","ICTVonline=20162335")</f>
        <v>ICTVonline=20162335</v>
      </c>
    </row>
    <row r="2341" spans="1:14" x14ac:dyDescent="0.15">
      <c r="A2341" s="3">
        <v>2340</v>
      </c>
      <c r="B2341" s="1" t="s">
        <v>926</v>
      </c>
      <c r="C2341" s="1" t="s">
        <v>774</v>
      </c>
      <c r="E2341" s="1" t="s">
        <v>5214</v>
      </c>
      <c r="F2341" s="1" t="s">
        <v>9225</v>
      </c>
      <c r="G2341" s="3">
        <v>0</v>
      </c>
      <c r="H2341" s="20" t="s">
        <v>9226</v>
      </c>
      <c r="I2341" s="20" t="s">
        <v>9227</v>
      </c>
      <c r="J2341" s="20" t="s">
        <v>5199</v>
      </c>
      <c r="K2341" s="20" t="s">
        <v>10013</v>
      </c>
      <c r="L2341" s="3">
        <v>31</v>
      </c>
      <c r="M2341" s="3" t="s">
        <v>9191</v>
      </c>
      <c r="N2341" s="3" t="str">
        <f>HYPERLINK("http://ictvonline.org/taxonomyHistory.asp?taxnode_id=20165265","ICTVonline=20165265")</f>
        <v>ICTVonline=20165265</v>
      </c>
    </row>
    <row r="2342" spans="1:14" x14ac:dyDescent="0.15">
      <c r="A2342" s="3">
        <v>2341</v>
      </c>
      <c r="B2342" s="1" t="s">
        <v>926</v>
      </c>
      <c r="C2342" s="1" t="s">
        <v>774</v>
      </c>
      <c r="E2342" s="1" t="s">
        <v>5214</v>
      </c>
      <c r="F2342" s="1" t="s">
        <v>10541</v>
      </c>
      <c r="G2342" s="3">
        <v>0</v>
      </c>
      <c r="H2342" s="20" t="s">
        <v>6871</v>
      </c>
      <c r="I2342" s="20" t="s">
        <v>5236</v>
      </c>
      <c r="J2342" s="20" t="s">
        <v>5199</v>
      </c>
      <c r="K2342" s="20" t="s">
        <v>10021</v>
      </c>
      <c r="L2342" s="3">
        <v>31</v>
      </c>
      <c r="M2342" s="3" t="s">
        <v>9191</v>
      </c>
      <c r="N2342" s="3" t="str">
        <f>HYPERLINK("http://ictvonline.org/taxonomyHistory.asp?taxnode_id=20162339","ICTVonline=20162339")</f>
        <v>ICTVonline=20162339</v>
      </c>
    </row>
    <row r="2343" spans="1:14" x14ac:dyDescent="0.15">
      <c r="A2343" s="3">
        <v>2342</v>
      </c>
      <c r="B2343" s="1" t="s">
        <v>926</v>
      </c>
      <c r="C2343" s="1" t="s">
        <v>774</v>
      </c>
      <c r="E2343" s="1" t="s">
        <v>5214</v>
      </c>
      <c r="F2343" s="1" t="s">
        <v>10542</v>
      </c>
      <c r="G2343" s="3">
        <v>0</v>
      </c>
      <c r="H2343" s="20" t="s">
        <v>6872</v>
      </c>
      <c r="I2343" s="20" t="s">
        <v>5237</v>
      </c>
      <c r="J2343" s="20" t="s">
        <v>5199</v>
      </c>
      <c r="K2343" s="20" t="s">
        <v>10021</v>
      </c>
      <c r="L2343" s="3">
        <v>31</v>
      </c>
      <c r="M2343" s="3" t="s">
        <v>9191</v>
      </c>
      <c r="N2343" s="3" t="str">
        <f>HYPERLINK("http://ictvonline.org/taxonomyHistory.asp?taxnode_id=20162340","ICTVonline=20162340")</f>
        <v>ICTVonline=20162340</v>
      </c>
    </row>
    <row r="2344" spans="1:14" x14ac:dyDescent="0.15">
      <c r="A2344" s="3">
        <v>2343</v>
      </c>
      <c r="B2344" s="1" t="s">
        <v>926</v>
      </c>
      <c r="C2344" s="1" t="s">
        <v>774</v>
      </c>
      <c r="E2344" s="1" t="s">
        <v>5214</v>
      </c>
      <c r="F2344" s="1" t="s">
        <v>10543</v>
      </c>
      <c r="G2344" s="3">
        <v>0</v>
      </c>
      <c r="H2344" s="20" t="s">
        <v>6873</v>
      </c>
      <c r="I2344" s="20" t="s">
        <v>5238</v>
      </c>
      <c r="J2344" s="20" t="s">
        <v>5199</v>
      </c>
      <c r="K2344" s="20" t="s">
        <v>10021</v>
      </c>
      <c r="L2344" s="3">
        <v>31</v>
      </c>
      <c r="M2344" s="3" t="s">
        <v>9191</v>
      </c>
      <c r="N2344" s="3" t="str">
        <f>HYPERLINK("http://ictvonline.org/taxonomyHistory.asp?taxnode_id=20162341","ICTVonline=20162341")</f>
        <v>ICTVonline=20162341</v>
      </c>
    </row>
    <row r="2345" spans="1:14" x14ac:dyDescent="0.15">
      <c r="A2345" s="3">
        <v>2344</v>
      </c>
      <c r="B2345" s="1" t="s">
        <v>926</v>
      </c>
      <c r="C2345" s="1" t="s">
        <v>774</v>
      </c>
      <c r="E2345" s="1" t="s">
        <v>5214</v>
      </c>
      <c r="F2345" s="1" t="s">
        <v>10544</v>
      </c>
      <c r="G2345" s="3">
        <v>0</v>
      </c>
      <c r="H2345" s="20" t="s">
        <v>6874</v>
      </c>
      <c r="I2345" s="20" t="s">
        <v>5239</v>
      </c>
      <c r="J2345" s="20" t="s">
        <v>5199</v>
      </c>
      <c r="K2345" s="20" t="s">
        <v>10021</v>
      </c>
      <c r="L2345" s="3">
        <v>31</v>
      </c>
      <c r="M2345" s="3" t="s">
        <v>9191</v>
      </c>
      <c r="N2345" s="3" t="str">
        <f>HYPERLINK("http://ictvonline.org/taxonomyHistory.asp?taxnode_id=20162342","ICTVonline=20162342")</f>
        <v>ICTVonline=20162342</v>
      </c>
    </row>
    <row r="2346" spans="1:14" x14ac:dyDescent="0.15">
      <c r="A2346" s="3">
        <v>2345</v>
      </c>
      <c r="B2346" s="1" t="s">
        <v>926</v>
      </c>
      <c r="C2346" s="1" t="s">
        <v>774</v>
      </c>
      <c r="E2346" s="1" t="s">
        <v>5214</v>
      </c>
      <c r="F2346" s="1" t="s">
        <v>10545</v>
      </c>
      <c r="G2346" s="3">
        <v>0</v>
      </c>
      <c r="H2346" s="20" t="s">
        <v>6875</v>
      </c>
      <c r="I2346" s="20" t="s">
        <v>5240</v>
      </c>
      <c r="J2346" s="20" t="s">
        <v>5199</v>
      </c>
      <c r="K2346" s="20" t="s">
        <v>10021</v>
      </c>
      <c r="L2346" s="3">
        <v>31</v>
      </c>
      <c r="M2346" s="3" t="s">
        <v>9191</v>
      </c>
      <c r="N2346" s="3" t="str">
        <f>HYPERLINK("http://ictvonline.org/taxonomyHistory.asp?taxnode_id=20162343","ICTVonline=20162343")</f>
        <v>ICTVonline=20162343</v>
      </c>
    </row>
    <row r="2347" spans="1:14" x14ac:dyDescent="0.15">
      <c r="A2347" s="3">
        <v>2346</v>
      </c>
      <c r="B2347" s="1" t="s">
        <v>926</v>
      </c>
      <c r="C2347" s="1" t="s">
        <v>774</v>
      </c>
      <c r="E2347" s="1" t="s">
        <v>5214</v>
      </c>
      <c r="F2347" s="1" t="s">
        <v>10546</v>
      </c>
      <c r="G2347" s="3">
        <v>0</v>
      </c>
      <c r="H2347" s="20" t="s">
        <v>6876</v>
      </c>
      <c r="I2347" s="20" t="s">
        <v>5241</v>
      </c>
      <c r="J2347" s="20" t="s">
        <v>5199</v>
      </c>
      <c r="K2347" s="20" t="s">
        <v>10021</v>
      </c>
      <c r="L2347" s="3">
        <v>31</v>
      </c>
      <c r="M2347" s="3" t="s">
        <v>9191</v>
      </c>
      <c r="N2347" s="3" t="str">
        <f>HYPERLINK("http://ictvonline.org/taxonomyHistory.asp?taxnode_id=20162344","ICTVonline=20162344")</f>
        <v>ICTVonline=20162344</v>
      </c>
    </row>
    <row r="2348" spans="1:14" x14ac:dyDescent="0.15">
      <c r="A2348" s="3">
        <v>2347</v>
      </c>
      <c r="B2348" s="1" t="s">
        <v>926</v>
      </c>
      <c r="C2348" s="1" t="s">
        <v>774</v>
      </c>
      <c r="E2348" s="1" t="s">
        <v>5214</v>
      </c>
      <c r="F2348" s="1" t="s">
        <v>10547</v>
      </c>
      <c r="G2348" s="3">
        <v>0</v>
      </c>
      <c r="H2348" s="20" t="s">
        <v>6877</v>
      </c>
      <c r="I2348" s="20" t="s">
        <v>5242</v>
      </c>
      <c r="J2348" s="20" t="s">
        <v>5199</v>
      </c>
      <c r="K2348" s="20" t="s">
        <v>10021</v>
      </c>
      <c r="L2348" s="3">
        <v>31</v>
      </c>
      <c r="M2348" s="3" t="s">
        <v>9191</v>
      </c>
      <c r="N2348" s="3" t="str">
        <f>HYPERLINK("http://ictvonline.org/taxonomyHistory.asp?taxnode_id=20162345","ICTVonline=20162345")</f>
        <v>ICTVonline=20162345</v>
      </c>
    </row>
    <row r="2349" spans="1:14" x14ac:dyDescent="0.15">
      <c r="A2349" s="3">
        <v>2348</v>
      </c>
      <c r="B2349" s="1" t="s">
        <v>926</v>
      </c>
      <c r="C2349" s="1" t="s">
        <v>774</v>
      </c>
      <c r="E2349" s="1" t="s">
        <v>5214</v>
      </c>
      <c r="F2349" s="1" t="s">
        <v>10548</v>
      </c>
      <c r="G2349" s="3">
        <v>1</v>
      </c>
      <c r="H2349" s="20" t="s">
        <v>6868</v>
      </c>
      <c r="I2349" s="20" t="s">
        <v>5233</v>
      </c>
      <c r="J2349" s="20" t="s">
        <v>5199</v>
      </c>
      <c r="K2349" s="20" t="s">
        <v>10021</v>
      </c>
      <c r="L2349" s="3">
        <v>31</v>
      </c>
      <c r="M2349" s="3" t="s">
        <v>9191</v>
      </c>
      <c r="N2349" s="3" t="str">
        <f>HYPERLINK("http://ictvonline.org/taxonomyHistory.asp?taxnode_id=20162336","ICTVonline=20162336")</f>
        <v>ICTVonline=20162336</v>
      </c>
    </row>
    <row r="2350" spans="1:14" x14ac:dyDescent="0.15">
      <c r="A2350" s="3">
        <v>2349</v>
      </c>
      <c r="B2350" s="1" t="s">
        <v>926</v>
      </c>
      <c r="C2350" s="1" t="s">
        <v>774</v>
      </c>
      <c r="E2350" s="1" t="s">
        <v>5214</v>
      </c>
      <c r="F2350" s="1" t="s">
        <v>10549</v>
      </c>
      <c r="G2350" s="3">
        <v>0</v>
      </c>
      <c r="H2350" s="20" t="s">
        <v>6869</v>
      </c>
      <c r="I2350" s="20" t="s">
        <v>5234</v>
      </c>
      <c r="J2350" s="20" t="s">
        <v>5199</v>
      </c>
      <c r="K2350" s="20" t="s">
        <v>10021</v>
      </c>
      <c r="L2350" s="3">
        <v>31</v>
      </c>
      <c r="M2350" s="3" t="s">
        <v>9191</v>
      </c>
      <c r="N2350" s="3" t="str">
        <f>HYPERLINK("http://ictvonline.org/taxonomyHistory.asp?taxnode_id=20162337","ICTVonline=20162337")</f>
        <v>ICTVonline=20162337</v>
      </c>
    </row>
    <row r="2351" spans="1:14" x14ac:dyDescent="0.15">
      <c r="A2351" s="3">
        <v>2350</v>
      </c>
      <c r="B2351" s="1" t="s">
        <v>926</v>
      </c>
      <c r="C2351" s="1" t="s">
        <v>774</v>
      </c>
      <c r="E2351" s="1" t="s">
        <v>5214</v>
      </c>
      <c r="F2351" s="1" t="s">
        <v>10550</v>
      </c>
      <c r="G2351" s="3">
        <v>0</v>
      </c>
      <c r="H2351" s="20" t="s">
        <v>6870</v>
      </c>
      <c r="I2351" s="20" t="s">
        <v>5235</v>
      </c>
      <c r="J2351" s="20" t="s">
        <v>5199</v>
      </c>
      <c r="K2351" s="20" t="s">
        <v>10021</v>
      </c>
      <c r="L2351" s="3">
        <v>31</v>
      </c>
      <c r="M2351" s="3" t="s">
        <v>9191</v>
      </c>
      <c r="N2351" s="3" t="str">
        <f>HYPERLINK("http://ictvonline.org/taxonomyHistory.asp?taxnode_id=20162338","ICTVonline=20162338")</f>
        <v>ICTVonline=20162338</v>
      </c>
    </row>
    <row r="2352" spans="1:14" x14ac:dyDescent="0.15">
      <c r="A2352" s="3">
        <v>2351</v>
      </c>
      <c r="B2352" s="1" t="s">
        <v>926</v>
      </c>
      <c r="C2352" s="1" t="s">
        <v>774</v>
      </c>
      <c r="E2352" s="1" t="s">
        <v>5214</v>
      </c>
      <c r="F2352" s="1" t="s">
        <v>9228</v>
      </c>
      <c r="G2352" s="3">
        <v>0</v>
      </c>
      <c r="H2352" s="20" t="s">
        <v>9229</v>
      </c>
      <c r="I2352" s="20" t="s">
        <v>9230</v>
      </c>
      <c r="J2352" s="20" t="s">
        <v>5199</v>
      </c>
      <c r="K2352" s="20" t="s">
        <v>10013</v>
      </c>
      <c r="L2352" s="3">
        <v>31</v>
      </c>
      <c r="M2352" s="3" t="s">
        <v>9191</v>
      </c>
      <c r="N2352" s="3" t="str">
        <f>HYPERLINK("http://ictvonline.org/taxonomyHistory.asp?taxnode_id=20165266","ICTVonline=20165266")</f>
        <v>ICTVonline=20165266</v>
      </c>
    </row>
    <row r="2353" spans="1:14" x14ac:dyDescent="0.15">
      <c r="A2353" s="3">
        <v>2352</v>
      </c>
      <c r="B2353" s="1" t="s">
        <v>926</v>
      </c>
      <c r="C2353" s="1" t="s">
        <v>774</v>
      </c>
      <c r="E2353" s="1" t="s">
        <v>5214</v>
      </c>
      <c r="F2353" s="1" t="s">
        <v>9231</v>
      </c>
      <c r="G2353" s="3">
        <v>0</v>
      </c>
      <c r="H2353" s="20" t="s">
        <v>9232</v>
      </c>
      <c r="I2353" s="20" t="s">
        <v>9233</v>
      </c>
      <c r="J2353" s="20" t="s">
        <v>5199</v>
      </c>
      <c r="K2353" s="20" t="s">
        <v>10013</v>
      </c>
      <c r="L2353" s="3">
        <v>31</v>
      </c>
      <c r="M2353" s="3" t="s">
        <v>9191</v>
      </c>
      <c r="N2353" s="3" t="str">
        <f>HYPERLINK("http://ictvonline.org/taxonomyHistory.asp?taxnode_id=20165267","ICTVonline=20165267")</f>
        <v>ICTVonline=20165267</v>
      </c>
    </row>
    <row r="2354" spans="1:14" x14ac:dyDescent="0.15">
      <c r="A2354" s="3">
        <v>2353</v>
      </c>
      <c r="B2354" s="1" t="s">
        <v>926</v>
      </c>
      <c r="C2354" s="1" t="s">
        <v>90</v>
      </c>
      <c r="E2354" s="1" t="s">
        <v>91</v>
      </c>
      <c r="F2354" s="1" t="s">
        <v>92</v>
      </c>
      <c r="G2354" s="3">
        <v>1</v>
      </c>
      <c r="H2354" s="20" t="s">
        <v>5243</v>
      </c>
      <c r="J2354" s="20" t="s">
        <v>2860</v>
      </c>
      <c r="K2354" s="20" t="s">
        <v>10072</v>
      </c>
      <c r="L2354" s="3">
        <v>26</v>
      </c>
      <c r="M2354" s="3" t="s">
        <v>10262</v>
      </c>
      <c r="N2354" s="3" t="str">
        <f>HYPERLINK("http://ictvonline.org/taxonomyHistory.asp?taxnode_id=20162349","ICTVonline=20162349")</f>
        <v>ICTVonline=20162349</v>
      </c>
    </row>
    <row r="2355" spans="1:14" x14ac:dyDescent="0.15">
      <c r="A2355" s="3">
        <v>2354</v>
      </c>
      <c r="B2355" s="1" t="s">
        <v>926</v>
      </c>
      <c r="C2355" s="1" t="s">
        <v>2035</v>
      </c>
      <c r="E2355" s="1" t="s">
        <v>2036</v>
      </c>
      <c r="F2355" s="1" t="s">
        <v>5244</v>
      </c>
      <c r="G2355" s="3">
        <v>0</v>
      </c>
      <c r="H2355" s="20" t="s">
        <v>6878</v>
      </c>
      <c r="I2355" s="20" t="s">
        <v>5245</v>
      </c>
      <c r="J2355" s="20" t="s">
        <v>3160</v>
      </c>
      <c r="K2355" s="20" t="s">
        <v>10013</v>
      </c>
      <c r="L2355" s="3">
        <v>30</v>
      </c>
      <c r="M2355" s="3" t="s">
        <v>10263</v>
      </c>
      <c r="N2355" s="3" t="str">
        <f>HYPERLINK("http://ictvonline.org/taxonomyHistory.asp?taxnode_id=20162353","ICTVonline=20162353")</f>
        <v>ICTVonline=20162353</v>
      </c>
    </row>
    <row r="2356" spans="1:14" x14ac:dyDescent="0.15">
      <c r="A2356" s="3">
        <v>2355</v>
      </c>
      <c r="B2356" s="1" t="s">
        <v>926</v>
      </c>
      <c r="C2356" s="1" t="s">
        <v>2035</v>
      </c>
      <c r="E2356" s="1" t="s">
        <v>2036</v>
      </c>
      <c r="F2356" s="1" t="s">
        <v>2136</v>
      </c>
      <c r="G2356" s="3">
        <v>0</v>
      </c>
      <c r="H2356" s="20" t="s">
        <v>5246</v>
      </c>
      <c r="I2356" s="20" t="s">
        <v>6462</v>
      </c>
      <c r="J2356" s="20" t="s">
        <v>3160</v>
      </c>
      <c r="K2356" s="20" t="s">
        <v>10013</v>
      </c>
      <c r="L2356" s="3">
        <v>20</v>
      </c>
      <c r="M2356" s="3" t="s">
        <v>10115</v>
      </c>
      <c r="N2356" s="3" t="str">
        <f>HYPERLINK("http://ictvonline.org/taxonomyHistory.asp?taxnode_id=20162354","ICTVonline=20162354")</f>
        <v>ICTVonline=20162354</v>
      </c>
    </row>
    <row r="2357" spans="1:14" x14ac:dyDescent="0.15">
      <c r="A2357" s="3">
        <v>2356</v>
      </c>
      <c r="B2357" s="1" t="s">
        <v>926</v>
      </c>
      <c r="C2357" s="1" t="s">
        <v>2035</v>
      </c>
      <c r="E2357" s="1" t="s">
        <v>2036</v>
      </c>
      <c r="F2357" s="1" t="s">
        <v>2137</v>
      </c>
      <c r="G2357" s="3">
        <v>1</v>
      </c>
      <c r="H2357" s="20" t="s">
        <v>5247</v>
      </c>
      <c r="I2357" s="20" t="s">
        <v>5248</v>
      </c>
      <c r="J2357" s="20" t="s">
        <v>3160</v>
      </c>
      <c r="K2357" s="20" t="s">
        <v>10076</v>
      </c>
      <c r="L2357" s="3">
        <v>20</v>
      </c>
      <c r="M2357" s="3" t="s">
        <v>10115</v>
      </c>
      <c r="N2357" s="3" t="str">
        <f>HYPERLINK("http://ictvonline.org/taxonomyHistory.asp?taxnode_id=20162355","ICTVonline=20162355")</f>
        <v>ICTVonline=20162355</v>
      </c>
    </row>
    <row r="2358" spans="1:14" x14ac:dyDescent="0.15">
      <c r="A2358" s="3">
        <v>2357</v>
      </c>
      <c r="B2358" s="1" t="s">
        <v>926</v>
      </c>
      <c r="C2358" s="1" t="s">
        <v>2035</v>
      </c>
      <c r="E2358" s="1" t="s">
        <v>2036</v>
      </c>
      <c r="F2358" s="1" t="s">
        <v>2312</v>
      </c>
      <c r="G2358" s="3">
        <v>0</v>
      </c>
      <c r="H2358" s="20" t="s">
        <v>5249</v>
      </c>
      <c r="I2358" s="20" t="s">
        <v>5250</v>
      </c>
      <c r="J2358" s="20" t="s">
        <v>3160</v>
      </c>
      <c r="K2358" s="20" t="s">
        <v>10013</v>
      </c>
      <c r="L2358" s="3">
        <v>27</v>
      </c>
      <c r="M2358" s="3" t="s">
        <v>10264</v>
      </c>
      <c r="N2358" s="3" t="str">
        <f>HYPERLINK("http://ictvonline.org/taxonomyHistory.asp?taxnode_id=20162356","ICTVonline=20162356")</f>
        <v>ICTVonline=20162356</v>
      </c>
    </row>
    <row r="2359" spans="1:14" x14ac:dyDescent="0.15">
      <c r="A2359" s="3">
        <v>2358</v>
      </c>
      <c r="B2359" s="1" t="s">
        <v>926</v>
      </c>
      <c r="C2359" s="1" t="s">
        <v>2035</v>
      </c>
      <c r="E2359" s="1" t="s">
        <v>2036</v>
      </c>
      <c r="F2359" s="1" t="s">
        <v>2138</v>
      </c>
      <c r="G2359" s="3">
        <v>0</v>
      </c>
      <c r="H2359" s="20" t="s">
        <v>5251</v>
      </c>
      <c r="I2359" s="20" t="s">
        <v>5252</v>
      </c>
      <c r="J2359" s="20" t="s">
        <v>3160</v>
      </c>
      <c r="K2359" s="20" t="s">
        <v>10265</v>
      </c>
      <c r="L2359" s="3">
        <v>20</v>
      </c>
      <c r="M2359" s="3" t="s">
        <v>10115</v>
      </c>
      <c r="N2359" s="3" t="str">
        <f>HYPERLINK("http://ictvonline.org/taxonomyHistory.asp?taxnode_id=20162357","ICTVonline=20162357")</f>
        <v>ICTVonline=20162357</v>
      </c>
    </row>
    <row r="2360" spans="1:14" x14ac:dyDescent="0.15">
      <c r="A2360" s="3">
        <v>2359</v>
      </c>
      <c r="B2360" s="1" t="s">
        <v>926</v>
      </c>
      <c r="C2360" s="1" t="s">
        <v>2035</v>
      </c>
      <c r="E2360" s="1" t="s">
        <v>2036</v>
      </c>
      <c r="F2360" s="1" t="s">
        <v>2139</v>
      </c>
      <c r="G2360" s="3">
        <v>0</v>
      </c>
      <c r="H2360" s="20" t="s">
        <v>5253</v>
      </c>
      <c r="I2360" s="20" t="s">
        <v>5254</v>
      </c>
      <c r="J2360" s="20" t="s">
        <v>3160</v>
      </c>
      <c r="K2360" s="20" t="s">
        <v>10013</v>
      </c>
      <c r="L2360" s="3">
        <v>20</v>
      </c>
      <c r="M2360" s="3" t="s">
        <v>10115</v>
      </c>
      <c r="N2360" s="3" t="str">
        <f>HYPERLINK("http://ictvonline.org/taxonomyHistory.asp?taxnode_id=20162358","ICTVonline=20162358")</f>
        <v>ICTVonline=20162358</v>
      </c>
    </row>
    <row r="2361" spans="1:14" x14ac:dyDescent="0.15">
      <c r="A2361" s="3">
        <v>2360</v>
      </c>
      <c r="B2361" s="1" t="s">
        <v>926</v>
      </c>
      <c r="C2361" s="1" t="s">
        <v>2035</v>
      </c>
      <c r="E2361" s="1" t="s">
        <v>2036</v>
      </c>
      <c r="F2361" s="1" t="s">
        <v>2140</v>
      </c>
      <c r="G2361" s="3">
        <v>0</v>
      </c>
      <c r="J2361" s="20" t="s">
        <v>3160</v>
      </c>
      <c r="K2361" s="20" t="s">
        <v>10013</v>
      </c>
      <c r="L2361" s="3">
        <v>20</v>
      </c>
      <c r="M2361" s="3" t="s">
        <v>10115</v>
      </c>
      <c r="N2361" s="3" t="str">
        <f>HYPERLINK("http://ictvonline.org/taxonomyHistory.asp?taxnode_id=20162359","ICTVonline=20162359")</f>
        <v>ICTVonline=20162359</v>
      </c>
    </row>
    <row r="2362" spans="1:14" x14ac:dyDescent="0.15">
      <c r="A2362" s="3">
        <v>2361</v>
      </c>
      <c r="B2362" s="1" t="s">
        <v>926</v>
      </c>
      <c r="C2362" s="1" t="s">
        <v>2035</v>
      </c>
      <c r="E2362" s="1" t="s">
        <v>2036</v>
      </c>
      <c r="F2362" s="1" t="s">
        <v>1891</v>
      </c>
      <c r="G2362" s="3">
        <v>0</v>
      </c>
      <c r="J2362" s="20" t="s">
        <v>3160</v>
      </c>
      <c r="K2362" s="20" t="s">
        <v>10013</v>
      </c>
      <c r="L2362" s="3">
        <v>25</v>
      </c>
      <c r="M2362" s="3" t="s">
        <v>10266</v>
      </c>
      <c r="N2362" s="3" t="str">
        <f>HYPERLINK("http://ictvonline.org/taxonomyHistory.asp?taxnode_id=20162360","ICTVonline=20162360")</f>
        <v>ICTVonline=20162360</v>
      </c>
    </row>
    <row r="2363" spans="1:14" x14ac:dyDescent="0.15">
      <c r="A2363" s="3">
        <v>2362</v>
      </c>
      <c r="B2363" s="1" t="s">
        <v>926</v>
      </c>
      <c r="C2363" s="1" t="s">
        <v>2035</v>
      </c>
      <c r="E2363" s="1" t="s">
        <v>2036</v>
      </c>
      <c r="F2363" s="1" t="s">
        <v>2204</v>
      </c>
      <c r="G2363" s="3">
        <v>0</v>
      </c>
      <c r="H2363" s="20" t="s">
        <v>5255</v>
      </c>
      <c r="I2363" s="20" t="s">
        <v>5256</v>
      </c>
      <c r="J2363" s="20" t="s">
        <v>3160</v>
      </c>
      <c r="K2363" s="20" t="s">
        <v>10013</v>
      </c>
      <c r="L2363" s="3">
        <v>25</v>
      </c>
      <c r="M2363" s="3" t="s">
        <v>10267</v>
      </c>
      <c r="N2363" s="3" t="str">
        <f>HYPERLINK("http://ictvonline.org/taxonomyHistory.asp?taxnode_id=20162361","ICTVonline=20162361")</f>
        <v>ICTVonline=20162361</v>
      </c>
    </row>
    <row r="2364" spans="1:14" x14ac:dyDescent="0.15">
      <c r="A2364" s="3">
        <v>2363</v>
      </c>
      <c r="B2364" s="1" t="s">
        <v>926</v>
      </c>
      <c r="C2364" s="1" t="s">
        <v>2035</v>
      </c>
      <c r="E2364" s="1" t="s">
        <v>2141</v>
      </c>
      <c r="F2364" s="1" t="s">
        <v>2142</v>
      </c>
      <c r="G2364" s="3">
        <v>0</v>
      </c>
      <c r="J2364" s="20" t="s">
        <v>3160</v>
      </c>
      <c r="K2364" s="20" t="s">
        <v>10016</v>
      </c>
      <c r="L2364" s="3">
        <v>15</v>
      </c>
      <c r="M2364" s="3" t="s">
        <v>10268</v>
      </c>
      <c r="N2364" s="3" t="str">
        <f>HYPERLINK("http://ictvonline.org/taxonomyHistory.asp?taxnode_id=20162363","ICTVonline=20162363")</f>
        <v>ICTVonline=20162363</v>
      </c>
    </row>
    <row r="2365" spans="1:14" x14ac:dyDescent="0.15">
      <c r="A2365" s="3">
        <v>2364</v>
      </c>
      <c r="B2365" s="1" t="s">
        <v>926</v>
      </c>
      <c r="C2365" s="1" t="s">
        <v>2035</v>
      </c>
      <c r="E2365" s="1" t="s">
        <v>2141</v>
      </c>
      <c r="F2365" s="1" t="s">
        <v>2143</v>
      </c>
      <c r="G2365" s="3">
        <v>1</v>
      </c>
      <c r="H2365" s="20" t="s">
        <v>5257</v>
      </c>
      <c r="I2365" s="20" t="s">
        <v>5258</v>
      </c>
      <c r="J2365" s="20" t="s">
        <v>3160</v>
      </c>
      <c r="K2365" s="20" t="s">
        <v>10016</v>
      </c>
      <c r="L2365" s="3">
        <v>15</v>
      </c>
      <c r="M2365" s="3" t="s">
        <v>10268</v>
      </c>
      <c r="N2365" s="3" t="str">
        <f>HYPERLINK("http://ictvonline.org/taxonomyHistory.asp?taxnode_id=20162364","ICTVonline=20162364")</f>
        <v>ICTVonline=20162364</v>
      </c>
    </row>
    <row r="2366" spans="1:14" x14ac:dyDescent="0.15">
      <c r="A2366" s="3">
        <v>2365</v>
      </c>
      <c r="B2366" s="1" t="s">
        <v>926</v>
      </c>
      <c r="C2366" s="1" t="s">
        <v>2035</v>
      </c>
      <c r="E2366" s="1" t="s">
        <v>2141</v>
      </c>
      <c r="F2366" s="1" t="s">
        <v>2144</v>
      </c>
      <c r="G2366" s="3">
        <v>0</v>
      </c>
      <c r="J2366" s="20" t="s">
        <v>3160</v>
      </c>
      <c r="K2366" s="20" t="s">
        <v>10016</v>
      </c>
      <c r="L2366" s="3">
        <v>15</v>
      </c>
      <c r="M2366" s="3" t="s">
        <v>10268</v>
      </c>
      <c r="N2366" s="3" t="str">
        <f>HYPERLINK("http://ictvonline.org/taxonomyHistory.asp?taxnode_id=20162365","ICTVonline=20162365")</f>
        <v>ICTVonline=20162365</v>
      </c>
    </row>
    <row r="2367" spans="1:14" x14ac:dyDescent="0.15">
      <c r="A2367" s="3">
        <v>2366</v>
      </c>
      <c r="B2367" s="1" t="s">
        <v>926</v>
      </c>
      <c r="C2367" s="1" t="s">
        <v>2035</v>
      </c>
      <c r="E2367" s="1" t="s">
        <v>2141</v>
      </c>
      <c r="F2367" s="1" t="s">
        <v>2145</v>
      </c>
      <c r="G2367" s="3">
        <v>0</v>
      </c>
      <c r="J2367" s="20" t="s">
        <v>3160</v>
      </c>
      <c r="K2367" s="20" t="s">
        <v>10016</v>
      </c>
      <c r="L2367" s="3">
        <v>15</v>
      </c>
      <c r="M2367" s="3" t="s">
        <v>10268</v>
      </c>
      <c r="N2367" s="3" t="str">
        <f>HYPERLINK("http://ictvonline.org/taxonomyHistory.asp?taxnode_id=20162366","ICTVonline=20162366")</f>
        <v>ICTVonline=20162366</v>
      </c>
    </row>
    <row r="2368" spans="1:14" x14ac:dyDescent="0.15">
      <c r="A2368" s="3">
        <v>2367</v>
      </c>
      <c r="B2368" s="1" t="s">
        <v>926</v>
      </c>
      <c r="C2368" s="1" t="s">
        <v>2035</v>
      </c>
      <c r="E2368" s="1" t="s">
        <v>2141</v>
      </c>
      <c r="F2368" s="1" t="s">
        <v>2146</v>
      </c>
      <c r="G2368" s="3">
        <v>0</v>
      </c>
      <c r="H2368" s="20" t="s">
        <v>5259</v>
      </c>
      <c r="I2368" s="20" t="s">
        <v>5260</v>
      </c>
      <c r="J2368" s="20" t="s">
        <v>3160</v>
      </c>
      <c r="K2368" s="20" t="s">
        <v>10016</v>
      </c>
      <c r="L2368" s="3">
        <v>15</v>
      </c>
      <c r="M2368" s="3" t="s">
        <v>10268</v>
      </c>
      <c r="N2368" s="3" t="str">
        <f>HYPERLINK("http://ictvonline.org/taxonomyHistory.asp?taxnode_id=20162367","ICTVonline=20162367")</f>
        <v>ICTVonline=20162367</v>
      </c>
    </row>
    <row r="2369" spans="1:14" x14ac:dyDescent="0.15">
      <c r="A2369" s="3">
        <v>2368</v>
      </c>
      <c r="B2369" s="1" t="s">
        <v>926</v>
      </c>
      <c r="C2369" s="1" t="s">
        <v>2035</v>
      </c>
      <c r="E2369" s="1" t="s">
        <v>2141</v>
      </c>
      <c r="F2369" s="1" t="s">
        <v>2147</v>
      </c>
      <c r="G2369" s="3">
        <v>0</v>
      </c>
      <c r="H2369" s="20" t="s">
        <v>5261</v>
      </c>
      <c r="I2369" s="20" t="s">
        <v>5262</v>
      </c>
      <c r="J2369" s="20" t="s">
        <v>3160</v>
      </c>
      <c r="K2369" s="20" t="s">
        <v>10016</v>
      </c>
      <c r="L2369" s="3">
        <v>15</v>
      </c>
      <c r="M2369" s="3" t="s">
        <v>10268</v>
      </c>
      <c r="N2369" s="3" t="str">
        <f>HYPERLINK("http://ictvonline.org/taxonomyHistory.asp?taxnode_id=20162368","ICTVonline=20162368")</f>
        <v>ICTVonline=20162368</v>
      </c>
    </row>
    <row r="2370" spans="1:14" x14ac:dyDescent="0.15">
      <c r="A2370" s="3">
        <v>2369</v>
      </c>
      <c r="B2370" s="1" t="s">
        <v>926</v>
      </c>
      <c r="C2370" s="1" t="s">
        <v>2035</v>
      </c>
      <c r="E2370" s="1" t="s">
        <v>2141</v>
      </c>
      <c r="F2370" s="1" t="s">
        <v>2148</v>
      </c>
      <c r="G2370" s="3">
        <v>0</v>
      </c>
      <c r="H2370" s="20" t="s">
        <v>5263</v>
      </c>
      <c r="I2370" s="20" t="s">
        <v>5264</v>
      </c>
      <c r="J2370" s="20" t="s">
        <v>3160</v>
      </c>
      <c r="K2370" s="20" t="s">
        <v>10013</v>
      </c>
      <c r="L2370" s="3">
        <v>18</v>
      </c>
      <c r="M2370" s="3" t="s">
        <v>10101</v>
      </c>
      <c r="N2370" s="3" t="str">
        <f>HYPERLINK("http://ictvonline.org/taxonomyHistory.asp?taxnode_id=20162369","ICTVonline=20162369")</f>
        <v>ICTVonline=20162369</v>
      </c>
    </row>
    <row r="2371" spans="1:14" x14ac:dyDescent="0.15">
      <c r="A2371" s="3">
        <v>2370</v>
      </c>
      <c r="B2371" s="1" t="s">
        <v>926</v>
      </c>
      <c r="C2371" s="1" t="s">
        <v>2035</v>
      </c>
      <c r="E2371" s="1" t="s">
        <v>2141</v>
      </c>
      <c r="F2371" s="1" t="s">
        <v>2149</v>
      </c>
      <c r="G2371" s="3">
        <v>0</v>
      </c>
      <c r="H2371" s="20" t="s">
        <v>5265</v>
      </c>
      <c r="I2371" s="20" t="s">
        <v>6879</v>
      </c>
      <c r="J2371" s="20" t="s">
        <v>3160</v>
      </c>
      <c r="K2371" s="20" t="s">
        <v>10013</v>
      </c>
      <c r="L2371" s="3">
        <v>24</v>
      </c>
      <c r="M2371" s="3" t="s">
        <v>10269</v>
      </c>
      <c r="N2371" s="3" t="str">
        <f>HYPERLINK("http://ictvonline.org/taxonomyHistory.asp?taxnode_id=20162370","ICTVonline=20162370")</f>
        <v>ICTVonline=20162370</v>
      </c>
    </row>
    <row r="2372" spans="1:14" x14ac:dyDescent="0.15">
      <c r="A2372" s="3">
        <v>2371</v>
      </c>
      <c r="B2372" s="1" t="s">
        <v>926</v>
      </c>
      <c r="C2372" s="1" t="s">
        <v>2035</v>
      </c>
      <c r="E2372" s="1" t="s">
        <v>2141</v>
      </c>
      <c r="F2372" s="1" t="s">
        <v>93</v>
      </c>
      <c r="G2372" s="3">
        <v>0</v>
      </c>
      <c r="H2372" s="20" t="s">
        <v>5266</v>
      </c>
      <c r="I2372" s="20" t="s">
        <v>5267</v>
      </c>
      <c r="J2372" s="20" t="s">
        <v>3160</v>
      </c>
      <c r="K2372" s="20" t="s">
        <v>10013</v>
      </c>
      <c r="L2372" s="3">
        <v>26</v>
      </c>
      <c r="M2372" s="3" t="s">
        <v>10270</v>
      </c>
      <c r="N2372" s="3" t="str">
        <f>HYPERLINK("http://ictvonline.org/taxonomyHistory.asp?taxnode_id=20162371","ICTVonline=20162371")</f>
        <v>ICTVonline=20162371</v>
      </c>
    </row>
    <row r="2373" spans="1:14" x14ac:dyDescent="0.15">
      <c r="A2373" s="3">
        <v>2372</v>
      </c>
      <c r="B2373" s="1" t="s">
        <v>926</v>
      </c>
      <c r="C2373" s="1" t="s">
        <v>2035</v>
      </c>
      <c r="E2373" s="1" t="s">
        <v>2141</v>
      </c>
      <c r="F2373" s="1" t="s">
        <v>9234</v>
      </c>
      <c r="G2373" s="3">
        <v>0</v>
      </c>
      <c r="H2373" s="20" t="s">
        <v>9235</v>
      </c>
      <c r="I2373" s="20" t="s">
        <v>9236</v>
      </c>
      <c r="J2373" s="20" t="s">
        <v>3160</v>
      </c>
      <c r="K2373" s="20" t="s">
        <v>10013</v>
      </c>
      <c r="L2373" s="3">
        <v>31</v>
      </c>
      <c r="M2373" s="3" t="s">
        <v>9237</v>
      </c>
      <c r="N2373" s="3" t="str">
        <f>HYPERLINK("http://ictvonline.org/taxonomyHistory.asp?taxnode_id=20165268","ICTVonline=20165268")</f>
        <v>ICTVonline=20165268</v>
      </c>
    </row>
    <row r="2374" spans="1:14" x14ac:dyDescent="0.15">
      <c r="A2374" s="3">
        <v>2373</v>
      </c>
      <c r="B2374" s="1" t="s">
        <v>926</v>
      </c>
      <c r="C2374" s="1" t="s">
        <v>2035</v>
      </c>
      <c r="E2374" s="1" t="s">
        <v>2141</v>
      </c>
      <c r="F2374" s="1" t="s">
        <v>94</v>
      </c>
      <c r="G2374" s="3">
        <v>0</v>
      </c>
      <c r="H2374" s="20" t="s">
        <v>5268</v>
      </c>
      <c r="I2374" s="20" t="s">
        <v>4610</v>
      </c>
      <c r="J2374" s="20" t="s">
        <v>3160</v>
      </c>
      <c r="K2374" s="20" t="s">
        <v>10013</v>
      </c>
      <c r="L2374" s="3">
        <v>26</v>
      </c>
      <c r="M2374" s="3" t="s">
        <v>10270</v>
      </c>
      <c r="N2374" s="3" t="str">
        <f>HYPERLINK("http://ictvonline.org/taxonomyHistory.asp?taxnode_id=20162372","ICTVonline=20162372")</f>
        <v>ICTVonline=20162372</v>
      </c>
    </row>
    <row r="2375" spans="1:14" x14ac:dyDescent="0.15">
      <c r="A2375" s="3">
        <v>2374</v>
      </c>
      <c r="B2375" s="1" t="s">
        <v>926</v>
      </c>
      <c r="C2375" s="1" t="s">
        <v>2035</v>
      </c>
      <c r="E2375" s="1" t="s">
        <v>2141</v>
      </c>
      <c r="F2375" s="1" t="s">
        <v>9238</v>
      </c>
      <c r="G2375" s="3">
        <v>0</v>
      </c>
      <c r="H2375" s="20" t="s">
        <v>9239</v>
      </c>
      <c r="I2375" s="20" t="s">
        <v>9240</v>
      </c>
      <c r="J2375" s="20" t="s">
        <v>3160</v>
      </c>
      <c r="K2375" s="20" t="s">
        <v>10013</v>
      </c>
      <c r="L2375" s="3">
        <v>31</v>
      </c>
      <c r="M2375" s="3" t="s">
        <v>9237</v>
      </c>
      <c r="N2375" s="3" t="str">
        <f>HYPERLINK("http://ictvonline.org/taxonomyHistory.asp?taxnode_id=20165269","ICTVonline=20165269")</f>
        <v>ICTVonline=20165269</v>
      </c>
    </row>
    <row r="2376" spans="1:14" x14ac:dyDescent="0.15">
      <c r="A2376" s="3">
        <v>2375</v>
      </c>
      <c r="B2376" s="1" t="s">
        <v>926</v>
      </c>
      <c r="C2376" s="1" t="s">
        <v>2035</v>
      </c>
      <c r="E2376" s="1" t="s">
        <v>2141</v>
      </c>
      <c r="F2376" s="1" t="s">
        <v>2150</v>
      </c>
      <c r="G2376" s="3">
        <v>0</v>
      </c>
      <c r="J2376" s="20" t="s">
        <v>3160</v>
      </c>
      <c r="K2376" s="20" t="s">
        <v>10016</v>
      </c>
      <c r="L2376" s="3">
        <v>15</v>
      </c>
      <c r="M2376" s="3" t="s">
        <v>10268</v>
      </c>
      <c r="N2376" s="3" t="str">
        <f>HYPERLINK("http://ictvonline.org/taxonomyHistory.asp?taxnode_id=20162373","ICTVonline=20162373")</f>
        <v>ICTVonline=20162373</v>
      </c>
    </row>
    <row r="2377" spans="1:14" x14ac:dyDescent="0.15">
      <c r="A2377" s="3">
        <v>2376</v>
      </c>
      <c r="B2377" s="1" t="s">
        <v>926</v>
      </c>
      <c r="C2377" s="1" t="s">
        <v>2035</v>
      </c>
      <c r="E2377" s="1" t="s">
        <v>2151</v>
      </c>
      <c r="F2377" s="1" t="s">
        <v>2152</v>
      </c>
      <c r="G2377" s="3">
        <v>0</v>
      </c>
      <c r="J2377" s="20" t="s">
        <v>3160</v>
      </c>
      <c r="K2377" s="20" t="s">
        <v>10013</v>
      </c>
      <c r="L2377" s="3">
        <v>17</v>
      </c>
      <c r="M2377" s="3" t="s">
        <v>10208</v>
      </c>
      <c r="N2377" s="3" t="str">
        <f>HYPERLINK("http://ictvonline.org/taxonomyHistory.asp?taxnode_id=20162375","ICTVonline=20162375")</f>
        <v>ICTVonline=20162375</v>
      </c>
    </row>
    <row r="2378" spans="1:14" x14ac:dyDescent="0.15">
      <c r="A2378" s="3">
        <v>2377</v>
      </c>
      <c r="B2378" s="1" t="s">
        <v>926</v>
      </c>
      <c r="C2378" s="1" t="s">
        <v>2035</v>
      </c>
      <c r="E2378" s="1" t="s">
        <v>2151</v>
      </c>
      <c r="F2378" s="1" t="s">
        <v>2205</v>
      </c>
      <c r="G2378" s="3">
        <v>0</v>
      </c>
      <c r="H2378" s="20" t="s">
        <v>7179</v>
      </c>
      <c r="I2378" s="20" t="s">
        <v>5269</v>
      </c>
      <c r="J2378" s="20" t="s">
        <v>3160</v>
      </c>
      <c r="K2378" s="20" t="s">
        <v>10013</v>
      </c>
      <c r="L2378" s="3">
        <v>25</v>
      </c>
      <c r="M2378" s="3" t="s">
        <v>10271</v>
      </c>
      <c r="N2378" s="3" t="str">
        <f>HYPERLINK("http://ictvonline.org/taxonomyHistory.asp?taxnode_id=20162376","ICTVonline=20162376")</f>
        <v>ICTVonline=20162376</v>
      </c>
    </row>
    <row r="2379" spans="1:14" x14ac:dyDescent="0.15">
      <c r="A2379" s="3">
        <v>2378</v>
      </c>
      <c r="B2379" s="1" t="s">
        <v>926</v>
      </c>
      <c r="C2379" s="1" t="s">
        <v>2035</v>
      </c>
      <c r="E2379" s="1" t="s">
        <v>2151</v>
      </c>
      <c r="F2379" s="1" t="s">
        <v>498</v>
      </c>
      <c r="G2379" s="3">
        <v>0</v>
      </c>
      <c r="H2379" s="20" t="s">
        <v>7180</v>
      </c>
      <c r="I2379" s="20" t="s">
        <v>5270</v>
      </c>
      <c r="J2379" s="20" t="s">
        <v>3160</v>
      </c>
      <c r="K2379" s="20" t="s">
        <v>10013</v>
      </c>
      <c r="L2379" s="3">
        <v>23</v>
      </c>
      <c r="M2379" s="3" t="s">
        <v>10229</v>
      </c>
      <c r="N2379" s="3" t="str">
        <f>HYPERLINK("http://ictvonline.org/taxonomyHistory.asp?taxnode_id=20162377","ICTVonline=20162377")</f>
        <v>ICTVonline=20162377</v>
      </c>
    </row>
    <row r="2380" spans="1:14" x14ac:dyDescent="0.15">
      <c r="A2380" s="3">
        <v>2379</v>
      </c>
      <c r="B2380" s="1" t="s">
        <v>926</v>
      </c>
      <c r="C2380" s="1" t="s">
        <v>2035</v>
      </c>
      <c r="E2380" s="1" t="s">
        <v>2151</v>
      </c>
      <c r="F2380" s="1" t="s">
        <v>499</v>
      </c>
      <c r="G2380" s="3">
        <v>0</v>
      </c>
      <c r="H2380" s="20" t="s">
        <v>7181</v>
      </c>
      <c r="I2380" s="20" t="s">
        <v>5271</v>
      </c>
      <c r="J2380" s="20" t="s">
        <v>3160</v>
      </c>
      <c r="K2380" s="20" t="s">
        <v>10013</v>
      </c>
      <c r="L2380" s="3">
        <v>24</v>
      </c>
      <c r="M2380" s="3" t="s">
        <v>10272</v>
      </c>
      <c r="N2380" s="3" t="str">
        <f>HYPERLINK("http://ictvonline.org/taxonomyHistory.asp?taxnode_id=20162378","ICTVonline=20162378")</f>
        <v>ICTVonline=20162378</v>
      </c>
    </row>
    <row r="2381" spans="1:14" x14ac:dyDescent="0.15">
      <c r="A2381" s="3">
        <v>2380</v>
      </c>
      <c r="B2381" s="1" t="s">
        <v>926</v>
      </c>
      <c r="C2381" s="1" t="s">
        <v>2035</v>
      </c>
      <c r="E2381" s="1" t="s">
        <v>2151</v>
      </c>
      <c r="F2381" s="1" t="s">
        <v>2153</v>
      </c>
      <c r="G2381" s="3">
        <v>0</v>
      </c>
      <c r="H2381" s="20" t="s">
        <v>7182</v>
      </c>
      <c r="I2381" s="20" t="s">
        <v>5272</v>
      </c>
      <c r="J2381" s="20" t="s">
        <v>3160</v>
      </c>
      <c r="K2381" s="20" t="s">
        <v>10013</v>
      </c>
      <c r="L2381" s="3">
        <v>17</v>
      </c>
      <c r="M2381" s="3" t="s">
        <v>10208</v>
      </c>
      <c r="N2381" s="3" t="str">
        <f>HYPERLINK("http://ictvonline.org/taxonomyHistory.asp?taxnode_id=20162379","ICTVonline=20162379")</f>
        <v>ICTVonline=20162379</v>
      </c>
    </row>
    <row r="2382" spans="1:14" x14ac:dyDescent="0.15">
      <c r="A2382" s="3">
        <v>2381</v>
      </c>
      <c r="B2382" s="1" t="s">
        <v>926</v>
      </c>
      <c r="C2382" s="1" t="s">
        <v>2035</v>
      </c>
      <c r="E2382" s="1" t="s">
        <v>2151</v>
      </c>
      <c r="F2382" s="1" t="s">
        <v>2313</v>
      </c>
      <c r="G2382" s="3">
        <v>0</v>
      </c>
      <c r="H2382" s="20" t="s">
        <v>7183</v>
      </c>
      <c r="I2382" s="20" t="s">
        <v>5273</v>
      </c>
      <c r="J2382" s="20" t="s">
        <v>3160</v>
      </c>
      <c r="K2382" s="20" t="s">
        <v>10013</v>
      </c>
      <c r="L2382" s="3">
        <v>27</v>
      </c>
      <c r="M2382" s="3" t="s">
        <v>10273</v>
      </c>
      <c r="N2382" s="3" t="str">
        <f>HYPERLINK("http://ictvonline.org/taxonomyHistory.asp?taxnode_id=20162380","ICTVonline=20162380")</f>
        <v>ICTVonline=20162380</v>
      </c>
    </row>
    <row r="2383" spans="1:14" x14ac:dyDescent="0.15">
      <c r="A2383" s="3">
        <v>2382</v>
      </c>
      <c r="B2383" s="1" t="s">
        <v>926</v>
      </c>
      <c r="C2383" s="1" t="s">
        <v>2035</v>
      </c>
      <c r="E2383" s="1" t="s">
        <v>2151</v>
      </c>
      <c r="F2383" s="1" t="s">
        <v>2046</v>
      </c>
      <c r="G2383" s="3">
        <v>0</v>
      </c>
      <c r="H2383" s="20" t="s">
        <v>7184</v>
      </c>
      <c r="I2383" s="20" t="s">
        <v>5274</v>
      </c>
      <c r="J2383" s="20" t="s">
        <v>3160</v>
      </c>
      <c r="K2383" s="20" t="s">
        <v>10013</v>
      </c>
      <c r="L2383" s="3">
        <v>17</v>
      </c>
      <c r="M2383" s="3" t="s">
        <v>10208</v>
      </c>
      <c r="N2383" s="3" t="str">
        <f>HYPERLINK("http://ictvonline.org/taxonomyHistory.asp?taxnode_id=20162381","ICTVonline=20162381")</f>
        <v>ICTVonline=20162381</v>
      </c>
    </row>
    <row r="2384" spans="1:14" x14ac:dyDescent="0.15">
      <c r="A2384" s="3">
        <v>2383</v>
      </c>
      <c r="B2384" s="1" t="s">
        <v>926</v>
      </c>
      <c r="C2384" s="1" t="s">
        <v>2035</v>
      </c>
      <c r="E2384" s="1" t="s">
        <v>2151</v>
      </c>
      <c r="F2384" s="1" t="s">
        <v>2047</v>
      </c>
      <c r="G2384" s="3">
        <v>1</v>
      </c>
      <c r="H2384" s="20" t="s">
        <v>7185</v>
      </c>
      <c r="I2384" s="20" t="s">
        <v>6463</v>
      </c>
      <c r="J2384" s="20" t="s">
        <v>3160</v>
      </c>
      <c r="K2384" s="20" t="s">
        <v>10016</v>
      </c>
      <c r="L2384" s="3">
        <v>16</v>
      </c>
      <c r="M2384" s="3" t="s">
        <v>10237</v>
      </c>
      <c r="N2384" s="3" t="str">
        <f>HYPERLINK("http://ictvonline.org/taxonomyHistory.asp?taxnode_id=20162382","ICTVonline=20162382")</f>
        <v>ICTVonline=20162382</v>
      </c>
    </row>
    <row r="2385" spans="1:14" x14ac:dyDescent="0.15">
      <c r="A2385" s="3">
        <v>2384</v>
      </c>
      <c r="B2385" s="1" t="s">
        <v>926</v>
      </c>
      <c r="C2385" s="1" t="s">
        <v>2035</v>
      </c>
      <c r="E2385" s="1" t="s">
        <v>2151</v>
      </c>
      <c r="F2385" s="1" t="s">
        <v>2048</v>
      </c>
      <c r="G2385" s="3">
        <v>0</v>
      </c>
      <c r="H2385" s="20" t="s">
        <v>7186</v>
      </c>
      <c r="I2385" s="20" t="s">
        <v>5275</v>
      </c>
      <c r="J2385" s="20" t="s">
        <v>3160</v>
      </c>
      <c r="K2385" s="20" t="s">
        <v>10013</v>
      </c>
      <c r="L2385" s="3">
        <v>24</v>
      </c>
      <c r="M2385" s="3" t="s">
        <v>10274</v>
      </c>
      <c r="N2385" s="3" t="str">
        <f>HYPERLINK("http://ictvonline.org/taxonomyHistory.asp?taxnode_id=20162383","ICTVonline=20162383")</f>
        <v>ICTVonline=20162383</v>
      </c>
    </row>
    <row r="2386" spans="1:14" x14ac:dyDescent="0.15">
      <c r="A2386" s="3">
        <v>2385</v>
      </c>
      <c r="B2386" s="1" t="s">
        <v>926</v>
      </c>
      <c r="C2386" s="1" t="s">
        <v>2035</v>
      </c>
      <c r="E2386" s="1" t="s">
        <v>2151</v>
      </c>
      <c r="F2386" s="1" t="s">
        <v>2049</v>
      </c>
      <c r="G2386" s="3">
        <v>0</v>
      </c>
      <c r="H2386" s="20" t="s">
        <v>7187</v>
      </c>
      <c r="I2386" s="20" t="s">
        <v>5276</v>
      </c>
      <c r="J2386" s="20" t="s">
        <v>3160</v>
      </c>
      <c r="K2386" s="20" t="s">
        <v>10013</v>
      </c>
      <c r="L2386" s="3">
        <v>24</v>
      </c>
      <c r="M2386" s="3" t="s">
        <v>10275</v>
      </c>
      <c r="N2386" s="3" t="str">
        <f>HYPERLINK("http://ictvonline.org/taxonomyHistory.asp?taxnode_id=20162384","ICTVonline=20162384")</f>
        <v>ICTVonline=20162384</v>
      </c>
    </row>
    <row r="2387" spans="1:14" x14ac:dyDescent="0.15">
      <c r="A2387" s="3">
        <v>2386</v>
      </c>
      <c r="B2387" s="1" t="s">
        <v>926</v>
      </c>
      <c r="C2387" s="1" t="s">
        <v>2035</v>
      </c>
      <c r="E2387" s="1" t="s">
        <v>2151</v>
      </c>
      <c r="F2387" s="1" t="s">
        <v>496</v>
      </c>
      <c r="G2387" s="3">
        <v>0</v>
      </c>
      <c r="H2387" s="20" t="s">
        <v>7188</v>
      </c>
      <c r="I2387" s="20" t="s">
        <v>5277</v>
      </c>
      <c r="J2387" s="20" t="s">
        <v>3160</v>
      </c>
      <c r="K2387" s="20" t="s">
        <v>10013</v>
      </c>
      <c r="L2387" s="3">
        <v>17</v>
      </c>
      <c r="M2387" s="3" t="s">
        <v>10208</v>
      </c>
      <c r="N2387" s="3" t="str">
        <f>HYPERLINK("http://ictvonline.org/taxonomyHistory.asp?taxnode_id=20162385","ICTVonline=20162385")</f>
        <v>ICTVonline=20162385</v>
      </c>
    </row>
    <row r="2388" spans="1:14" x14ac:dyDescent="0.15">
      <c r="A2388" s="3">
        <v>2387</v>
      </c>
      <c r="B2388" s="1" t="s">
        <v>926</v>
      </c>
      <c r="C2388" s="1" t="s">
        <v>2035</v>
      </c>
      <c r="E2388" s="1" t="s">
        <v>2151</v>
      </c>
      <c r="F2388" s="1" t="s">
        <v>9241</v>
      </c>
      <c r="G2388" s="3">
        <v>0</v>
      </c>
      <c r="H2388" s="20" t="s">
        <v>9242</v>
      </c>
      <c r="I2388" s="20" t="s">
        <v>9243</v>
      </c>
      <c r="J2388" s="20" t="s">
        <v>3160</v>
      </c>
      <c r="K2388" s="20" t="s">
        <v>10013</v>
      </c>
      <c r="L2388" s="3">
        <v>31</v>
      </c>
      <c r="M2388" s="3" t="s">
        <v>9237</v>
      </c>
      <c r="N2388" s="3" t="str">
        <f>HYPERLINK("http://ictvonline.org/taxonomyHistory.asp?taxnode_id=20165270","ICTVonline=20165270")</f>
        <v>ICTVonline=20165270</v>
      </c>
    </row>
    <row r="2389" spans="1:14" x14ac:dyDescent="0.15">
      <c r="A2389" s="3">
        <v>2388</v>
      </c>
      <c r="B2389" s="1" t="s">
        <v>926</v>
      </c>
      <c r="C2389" s="1" t="s">
        <v>2035</v>
      </c>
      <c r="E2389" s="1" t="s">
        <v>2151</v>
      </c>
      <c r="F2389" s="1" t="s">
        <v>497</v>
      </c>
      <c r="G2389" s="3">
        <v>0</v>
      </c>
      <c r="H2389" s="20" t="s">
        <v>7189</v>
      </c>
      <c r="I2389" s="20" t="s">
        <v>5278</v>
      </c>
      <c r="J2389" s="20" t="s">
        <v>3160</v>
      </c>
      <c r="K2389" s="20" t="s">
        <v>10013</v>
      </c>
      <c r="L2389" s="3">
        <v>17</v>
      </c>
      <c r="M2389" s="3" t="s">
        <v>10208</v>
      </c>
      <c r="N2389" s="3" t="str">
        <f>HYPERLINK("http://ictvonline.org/taxonomyHistory.asp?taxnode_id=20162386","ICTVonline=20162386")</f>
        <v>ICTVonline=20162386</v>
      </c>
    </row>
    <row r="2390" spans="1:14" x14ac:dyDescent="0.15">
      <c r="A2390" s="3">
        <v>2389</v>
      </c>
      <c r="B2390" s="1" t="s">
        <v>926</v>
      </c>
      <c r="C2390" s="1" t="s">
        <v>2035</v>
      </c>
      <c r="E2390" s="1" t="s">
        <v>2151</v>
      </c>
      <c r="F2390" s="1" t="s">
        <v>1612</v>
      </c>
      <c r="G2390" s="3">
        <v>0</v>
      </c>
      <c r="H2390" s="20" t="s">
        <v>7190</v>
      </c>
      <c r="I2390" s="20" t="s">
        <v>5279</v>
      </c>
      <c r="J2390" s="20" t="s">
        <v>3160</v>
      </c>
      <c r="K2390" s="20" t="s">
        <v>10013</v>
      </c>
      <c r="L2390" s="3">
        <v>17</v>
      </c>
      <c r="M2390" s="3" t="s">
        <v>10208</v>
      </c>
      <c r="N2390" s="3" t="str">
        <f>HYPERLINK("http://ictvonline.org/taxonomyHistory.asp?taxnode_id=20162387","ICTVonline=20162387")</f>
        <v>ICTVonline=20162387</v>
      </c>
    </row>
    <row r="2391" spans="1:14" x14ac:dyDescent="0.15">
      <c r="A2391" s="3">
        <v>2390</v>
      </c>
      <c r="B2391" s="1" t="s">
        <v>926</v>
      </c>
      <c r="C2391" s="1" t="s">
        <v>2035</v>
      </c>
      <c r="E2391" s="1" t="s">
        <v>926</v>
      </c>
      <c r="F2391" s="1" t="s">
        <v>2230</v>
      </c>
      <c r="G2391" s="3">
        <v>0</v>
      </c>
      <c r="J2391" s="20" t="s">
        <v>3160</v>
      </c>
      <c r="K2391" s="20" t="s">
        <v>10013</v>
      </c>
      <c r="L2391" s="3">
        <v>26</v>
      </c>
      <c r="M2391" s="3" t="s">
        <v>10276</v>
      </c>
      <c r="N2391" s="3" t="str">
        <f>HYPERLINK("http://ictvonline.org/taxonomyHistory.asp?taxnode_id=20162389","ICTVonline=20162389")</f>
        <v>ICTVonline=20162389</v>
      </c>
    </row>
    <row r="2392" spans="1:14" x14ac:dyDescent="0.15">
      <c r="A2392" s="3">
        <v>2391</v>
      </c>
      <c r="B2392" s="1" t="s">
        <v>926</v>
      </c>
      <c r="C2392" s="1" t="s">
        <v>2035</v>
      </c>
      <c r="E2392" s="1" t="s">
        <v>926</v>
      </c>
      <c r="F2392" s="1" t="s">
        <v>5280</v>
      </c>
      <c r="G2392" s="3">
        <v>0</v>
      </c>
      <c r="H2392" s="20" t="s">
        <v>6880</v>
      </c>
      <c r="I2392" s="20" t="s">
        <v>5281</v>
      </c>
      <c r="J2392" s="20" t="s">
        <v>3160</v>
      </c>
      <c r="K2392" s="20" t="s">
        <v>10013</v>
      </c>
      <c r="L2392" s="3">
        <v>30</v>
      </c>
      <c r="M2392" s="3" t="s">
        <v>10263</v>
      </c>
      <c r="N2392" s="3" t="str">
        <f>HYPERLINK("http://ictvonline.org/taxonomyHistory.asp?taxnode_id=20162390","ICTVonline=20162390")</f>
        <v>ICTVonline=20162390</v>
      </c>
    </row>
    <row r="2393" spans="1:14" x14ac:dyDescent="0.15">
      <c r="A2393" s="3">
        <v>2392</v>
      </c>
      <c r="B2393" s="1" t="s">
        <v>926</v>
      </c>
      <c r="C2393" s="1" t="s">
        <v>2035</v>
      </c>
      <c r="E2393" s="1" t="s">
        <v>926</v>
      </c>
      <c r="F2393" s="1" t="s">
        <v>2233</v>
      </c>
      <c r="G2393" s="3">
        <v>0</v>
      </c>
      <c r="J2393" s="20" t="s">
        <v>3160</v>
      </c>
      <c r="K2393" s="20" t="s">
        <v>10013</v>
      </c>
      <c r="L2393" s="3">
        <v>26</v>
      </c>
      <c r="M2393" s="3" t="s">
        <v>10276</v>
      </c>
      <c r="N2393" s="3" t="str">
        <f>HYPERLINK("http://ictvonline.org/taxonomyHistory.asp?taxnode_id=20162391","ICTVonline=20162391")</f>
        <v>ICTVonline=20162391</v>
      </c>
    </row>
    <row r="2394" spans="1:14" x14ac:dyDescent="0.15">
      <c r="A2394" s="3">
        <v>2393</v>
      </c>
      <c r="B2394" s="1" t="s">
        <v>926</v>
      </c>
      <c r="C2394" s="1" t="s">
        <v>2035</v>
      </c>
      <c r="E2394" s="1" t="s">
        <v>926</v>
      </c>
      <c r="F2394" s="1" t="s">
        <v>1613</v>
      </c>
      <c r="G2394" s="3">
        <v>0</v>
      </c>
      <c r="H2394" s="20" t="s">
        <v>5282</v>
      </c>
      <c r="I2394" s="20" t="s">
        <v>5283</v>
      </c>
      <c r="J2394" s="20" t="s">
        <v>3160</v>
      </c>
      <c r="K2394" s="20" t="s">
        <v>10013</v>
      </c>
      <c r="L2394" s="3">
        <v>24</v>
      </c>
      <c r="M2394" s="3" t="s">
        <v>10277</v>
      </c>
      <c r="N2394" s="3" t="str">
        <f>HYPERLINK("http://ictvonline.org/taxonomyHistory.asp?taxnode_id=20162392","ICTVonline=20162392")</f>
        <v>ICTVonline=20162392</v>
      </c>
    </row>
    <row r="2395" spans="1:14" x14ac:dyDescent="0.15">
      <c r="A2395" s="3">
        <v>2394</v>
      </c>
      <c r="B2395" s="1" t="s">
        <v>926</v>
      </c>
      <c r="C2395" s="1" t="s">
        <v>2035</v>
      </c>
      <c r="E2395" s="1" t="s">
        <v>926</v>
      </c>
      <c r="F2395" s="1" t="s">
        <v>2234</v>
      </c>
      <c r="G2395" s="3">
        <v>0</v>
      </c>
      <c r="J2395" s="20" t="s">
        <v>3160</v>
      </c>
      <c r="K2395" s="20" t="s">
        <v>10013</v>
      </c>
      <c r="L2395" s="3">
        <v>26</v>
      </c>
      <c r="M2395" s="3" t="s">
        <v>10276</v>
      </c>
      <c r="N2395" s="3" t="str">
        <f>HYPERLINK("http://ictvonline.org/taxonomyHistory.asp?taxnode_id=20162393","ICTVonline=20162393")</f>
        <v>ICTVonline=20162393</v>
      </c>
    </row>
    <row r="2396" spans="1:14" x14ac:dyDescent="0.15">
      <c r="A2396" s="3">
        <v>2395</v>
      </c>
      <c r="B2396" s="1" t="s">
        <v>926</v>
      </c>
      <c r="C2396" s="1" t="s">
        <v>2035</v>
      </c>
      <c r="E2396" s="1" t="s">
        <v>926</v>
      </c>
      <c r="F2396" s="1" t="s">
        <v>9244</v>
      </c>
      <c r="G2396" s="3">
        <v>0</v>
      </c>
      <c r="H2396" s="20" t="s">
        <v>9245</v>
      </c>
      <c r="I2396" s="20" t="s">
        <v>9246</v>
      </c>
      <c r="J2396" s="20" t="s">
        <v>3160</v>
      </c>
      <c r="K2396" s="20" t="s">
        <v>10013</v>
      </c>
      <c r="L2396" s="3">
        <v>31</v>
      </c>
      <c r="M2396" s="3" t="s">
        <v>9237</v>
      </c>
      <c r="N2396" s="3" t="str">
        <f>HYPERLINK("http://ictvonline.org/taxonomyHistory.asp?taxnode_id=20165271","ICTVonline=20165271")</f>
        <v>ICTVonline=20165271</v>
      </c>
    </row>
    <row r="2397" spans="1:14" x14ac:dyDescent="0.15">
      <c r="A2397" s="3">
        <v>2396</v>
      </c>
      <c r="B2397" s="1" t="s">
        <v>926</v>
      </c>
      <c r="C2397" s="1" t="s">
        <v>2035</v>
      </c>
      <c r="E2397" s="1" t="s">
        <v>2471</v>
      </c>
      <c r="F2397" s="1" t="s">
        <v>9247</v>
      </c>
      <c r="G2397" s="3">
        <v>0</v>
      </c>
      <c r="H2397" s="20" t="s">
        <v>9248</v>
      </c>
      <c r="I2397" s="20" t="s">
        <v>9249</v>
      </c>
      <c r="J2397" s="20" t="s">
        <v>3160</v>
      </c>
      <c r="K2397" s="20" t="s">
        <v>10013</v>
      </c>
      <c r="L2397" s="3">
        <v>31</v>
      </c>
      <c r="M2397" s="3" t="s">
        <v>9237</v>
      </c>
      <c r="N2397" s="3" t="str">
        <f>HYPERLINK("http://ictvonline.org/taxonomyHistory.asp?taxnode_id=20165272","ICTVonline=20165272")</f>
        <v>ICTVonline=20165272</v>
      </c>
    </row>
    <row r="2398" spans="1:14" x14ac:dyDescent="0.15">
      <c r="A2398" s="3">
        <v>2397</v>
      </c>
      <c r="B2398" s="1" t="s">
        <v>926</v>
      </c>
      <c r="C2398" s="1" t="s">
        <v>2035</v>
      </c>
      <c r="E2398" s="1" t="s">
        <v>2471</v>
      </c>
      <c r="F2398" s="1" t="s">
        <v>2472</v>
      </c>
      <c r="G2398" s="3">
        <v>0</v>
      </c>
      <c r="H2398" s="20" t="s">
        <v>5284</v>
      </c>
      <c r="I2398" s="20" t="s">
        <v>5285</v>
      </c>
      <c r="J2398" s="20" t="s">
        <v>3160</v>
      </c>
      <c r="K2398" s="20" t="s">
        <v>10013</v>
      </c>
      <c r="L2398" s="3">
        <v>28</v>
      </c>
      <c r="M2398" s="3" t="s">
        <v>10278</v>
      </c>
      <c r="N2398" s="3" t="str">
        <f>HYPERLINK("http://ictvonline.org/taxonomyHistory.asp?taxnode_id=20162395","ICTVonline=20162395")</f>
        <v>ICTVonline=20162395</v>
      </c>
    </row>
    <row r="2399" spans="1:14" x14ac:dyDescent="0.15">
      <c r="A2399" s="3">
        <v>2398</v>
      </c>
      <c r="B2399" s="1" t="s">
        <v>926</v>
      </c>
      <c r="C2399" s="1" t="s">
        <v>2035</v>
      </c>
      <c r="E2399" s="1" t="s">
        <v>2471</v>
      </c>
      <c r="F2399" s="1" t="s">
        <v>5286</v>
      </c>
      <c r="G2399" s="3">
        <v>0</v>
      </c>
      <c r="H2399" s="20" t="s">
        <v>6881</v>
      </c>
      <c r="I2399" s="20" t="s">
        <v>5287</v>
      </c>
      <c r="J2399" s="20" t="s">
        <v>3160</v>
      </c>
      <c r="K2399" s="20" t="s">
        <v>10013</v>
      </c>
      <c r="L2399" s="3">
        <v>30</v>
      </c>
      <c r="M2399" s="3" t="s">
        <v>10263</v>
      </c>
      <c r="N2399" s="3" t="str">
        <f>HYPERLINK("http://ictvonline.org/taxonomyHistory.asp?taxnode_id=20162396","ICTVonline=20162396")</f>
        <v>ICTVonline=20162396</v>
      </c>
    </row>
    <row r="2400" spans="1:14" x14ac:dyDescent="0.15">
      <c r="A2400" s="3">
        <v>2399</v>
      </c>
      <c r="B2400" s="1" t="s">
        <v>926</v>
      </c>
      <c r="C2400" s="1" t="s">
        <v>2035</v>
      </c>
      <c r="E2400" s="1" t="s">
        <v>2471</v>
      </c>
      <c r="F2400" s="1" t="s">
        <v>5288</v>
      </c>
      <c r="G2400" s="3">
        <v>0</v>
      </c>
      <c r="H2400" s="20" t="s">
        <v>6882</v>
      </c>
      <c r="I2400" s="20" t="s">
        <v>5287</v>
      </c>
      <c r="J2400" s="20" t="s">
        <v>3160</v>
      </c>
      <c r="K2400" s="20" t="s">
        <v>10013</v>
      </c>
      <c r="L2400" s="3">
        <v>30</v>
      </c>
      <c r="M2400" s="3" t="s">
        <v>10263</v>
      </c>
      <c r="N2400" s="3" t="str">
        <f>HYPERLINK("http://ictvonline.org/taxonomyHistory.asp?taxnode_id=20162397","ICTVonline=20162397")</f>
        <v>ICTVonline=20162397</v>
      </c>
    </row>
    <row r="2401" spans="1:14" x14ac:dyDescent="0.15">
      <c r="A2401" s="3">
        <v>2400</v>
      </c>
      <c r="B2401" s="1" t="s">
        <v>926</v>
      </c>
      <c r="C2401" s="1" t="s">
        <v>2035</v>
      </c>
      <c r="E2401" s="1" t="s">
        <v>2471</v>
      </c>
      <c r="F2401" s="1" t="s">
        <v>5289</v>
      </c>
      <c r="G2401" s="3">
        <v>0</v>
      </c>
      <c r="H2401" s="20" t="s">
        <v>6883</v>
      </c>
      <c r="I2401" s="20" t="s">
        <v>5287</v>
      </c>
      <c r="J2401" s="20" t="s">
        <v>3160</v>
      </c>
      <c r="K2401" s="20" t="s">
        <v>10013</v>
      </c>
      <c r="L2401" s="3">
        <v>30</v>
      </c>
      <c r="M2401" s="3" t="s">
        <v>10263</v>
      </c>
      <c r="N2401" s="3" t="str">
        <f>HYPERLINK("http://ictvonline.org/taxonomyHistory.asp?taxnode_id=20162398","ICTVonline=20162398")</f>
        <v>ICTVonline=20162398</v>
      </c>
    </row>
    <row r="2402" spans="1:14" x14ac:dyDescent="0.15">
      <c r="A2402" s="3">
        <v>2401</v>
      </c>
      <c r="B2402" s="1" t="s">
        <v>926</v>
      </c>
      <c r="C2402" s="1" t="s">
        <v>2035</v>
      </c>
      <c r="E2402" s="1" t="s">
        <v>2471</v>
      </c>
      <c r="F2402" s="1" t="s">
        <v>2231</v>
      </c>
      <c r="G2402" s="3">
        <v>1</v>
      </c>
      <c r="H2402" s="20" t="s">
        <v>5290</v>
      </c>
      <c r="I2402" s="20" t="s">
        <v>5291</v>
      </c>
      <c r="J2402" s="20" t="s">
        <v>3160</v>
      </c>
      <c r="K2402" s="20" t="s">
        <v>10016</v>
      </c>
      <c r="L2402" s="3">
        <v>28</v>
      </c>
      <c r="M2402" s="3" t="s">
        <v>10278</v>
      </c>
      <c r="N2402" s="3" t="str">
        <f>HYPERLINK("http://ictvonline.org/taxonomyHistory.asp?taxnode_id=20162399","ICTVonline=20162399")</f>
        <v>ICTVonline=20162399</v>
      </c>
    </row>
    <row r="2403" spans="1:14" x14ac:dyDescent="0.15">
      <c r="A2403" s="3">
        <v>2402</v>
      </c>
      <c r="B2403" s="1" t="s">
        <v>926</v>
      </c>
      <c r="C2403" s="1" t="s">
        <v>2035</v>
      </c>
      <c r="E2403" s="1" t="s">
        <v>2471</v>
      </c>
      <c r="F2403" s="1" t="s">
        <v>2232</v>
      </c>
      <c r="G2403" s="3">
        <v>0</v>
      </c>
      <c r="H2403" s="20" t="s">
        <v>5292</v>
      </c>
      <c r="I2403" s="20" t="s">
        <v>5293</v>
      </c>
      <c r="J2403" s="20" t="s">
        <v>3160</v>
      </c>
      <c r="K2403" s="20" t="s">
        <v>10016</v>
      </c>
      <c r="L2403" s="3">
        <v>28</v>
      </c>
      <c r="M2403" s="3" t="s">
        <v>10278</v>
      </c>
      <c r="N2403" s="3" t="str">
        <f>HYPERLINK("http://ictvonline.org/taxonomyHistory.asp?taxnode_id=20162400","ICTVonline=20162400")</f>
        <v>ICTVonline=20162400</v>
      </c>
    </row>
    <row r="2404" spans="1:14" x14ac:dyDescent="0.15">
      <c r="A2404" s="3">
        <v>2403</v>
      </c>
      <c r="B2404" s="1" t="s">
        <v>926</v>
      </c>
      <c r="C2404" s="1" t="s">
        <v>2154</v>
      </c>
      <c r="E2404" s="1" t="s">
        <v>2155</v>
      </c>
      <c r="F2404" s="1" t="s">
        <v>5294</v>
      </c>
      <c r="G2404" s="3">
        <v>1</v>
      </c>
      <c r="J2404" s="20" t="s">
        <v>2860</v>
      </c>
      <c r="K2404" s="20" t="s">
        <v>10021</v>
      </c>
      <c r="L2404" s="3">
        <v>30</v>
      </c>
      <c r="M2404" s="3" t="s">
        <v>10017</v>
      </c>
      <c r="N2404" s="3" t="str">
        <f>HYPERLINK("http://ictvonline.org/taxonomyHistory.asp?taxnode_id=20162404","ICTVonline=20162404")</f>
        <v>ICTVonline=20162404</v>
      </c>
    </row>
    <row r="2405" spans="1:14" x14ac:dyDescent="0.15">
      <c r="A2405" s="3">
        <v>2404</v>
      </c>
      <c r="B2405" s="1" t="s">
        <v>926</v>
      </c>
      <c r="C2405" s="1" t="s">
        <v>2157</v>
      </c>
      <c r="E2405" s="1" t="s">
        <v>2162</v>
      </c>
      <c r="F2405" s="1" t="s">
        <v>5295</v>
      </c>
      <c r="G2405" s="3">
        <v>1</v>
      </c>
      <c r="J2405" s="20" t="s">
        <v>3176</v>
      </c>
      <c r="K2405" s="20" t="s">
        <v>10021</v>
      </c>
      <c r="L2405" s="3">
        <v>30</v>
      </c>
      <c r="M2405" s="3" t="s">
        <v>10017</v>
      </c>
      <c r="N2405" s="3" t="str">
        <f>HYPERLINK("http://ictvonline.org/taxonomyHistory.asp?taxnode_id=20162408","ICTVonline=20162408")</f>
        <v>ICTVonline=20162408</v>
      </c>
    </row>
    <row r="2406" spans="1:14" x14ac:dyDescent="0.15">
      <c r="A2406" s="3">
        <v>2405</v>
      </c>
      <c r="B2406" s="1" t="s">
        <v>926</v>
      </c>
      <c r="C2406" s="1" t="s">
        <v>1700</v>
      </c>
      <c r="E2406" s="1" t="s">
        <v>7377</v>
      </c>
      <c r="F2406" s="1" t="s">
        <v>7378</v>
      </c>
      <c r="G2406" s="3">
        <v>0</v>
      </c>
      <c r="H2406" s="20" t="s">
        <v>10551</v>
      </c>
      <c r="I2406" s="20" t="s">
        <v>5296</v>
      </c>
      <c r="J2406" s="20" t="s">
        <v>3176</v>
      </c>
      <c r="K2406" s="20" t="s">
        <v>10014</v>
      </c>
      <c r="L2406" s="3">
        <v>31</v>
      </c>
      <c r="M2406" s="3" t="s">
        <v>10279</v>
      </c>
      <c r="N2406" s="3" t="str">
        <f>HYPERLINK("http://ictvonline.org/taxonomyHistory.asp?taxnode_id=20162412","ICTVonline=20162412")</f>
        <v>ICTVonline=20162412</v>
      </c>
    </row>
    <row r="2407" spans="1:14" x14ac:dyDescent="0.15">
      <c r="A2407" s="3">
        <v>2406</v>
      </c>
      <c r="B2407" s="1" t="s">
        <v>926</v>
      </c>
      <c r="C2407" s="1" t="s">
        <v>1700</v>
      </c>
      <c r="E2407" s="1" t="s">
        <v>7377</v>
      </c>
      <c r="F2407" s="1" t="s">
        <v>7379</v>
      </c>
      <c r="G2407" s="3">
        <v>0</v>
      </c>
      <c r="H2407" s="20" t="s">
        <v>5297</v>
      </c>
      <c r="I2407" s="20" t="s">
        <v>5298</v>
      </c>
      <c r="J2407" s="20" t="s">
        <v>3176</v>
      </c>
      <c r="K2407" s="20" t="s">
        <v>10014</v>
      </c>
      <c r="L2407" s="3">
        <v>31</v>
      </c>
      <c r="M2407" s="3" t="s">
        <v>10279</v>
      </c>
      <c r="N2407" s="3" t="str">
        <f>HYPERLINK("http://ictvonline.org/taxonomyHistory.asp?taxnode_id=20162413","ICTVonline=20162413")</f>
        <v>ICTVonline=20162413</v>
      </c>
    </row>
    <row r="2408" spans="1:14" x14ac:dyDescent="0.15">
      <c r="A2408" s="3">
        <v>2407</v>
      </c>
      <c r="B2408" s="1" t="s">
        <v>926</v>
      </c>
      <c r="C2408" s="1" t="s">
        <v>1700</v>
      </c>
      <c r="E2408" s="1" t="s">
        <v>7377</v>
      </c>
      <c r="F2408" s="1" t="s">
        <v>9250</v>
      </c>
      <c r="G2408" s="3">
        <v>0</v>
      </c>
      <c r="H2408" s="20" t="s">
        <v>9251</v>
      </c>
      <c r="I2408" s="20" t="s">
        <v>9252</v>
      </c>
      <c r="J2408" s="20" t="s">
        <v>3176</v>
      </c>
      <c r="K2408" s="20" t="s">
        <v>10013</v>
      </c>
      <c r="L2408" s="3">
        <v>31</v>
      </c>
      <c r="M2408" s="3" t="s">
        <v>9253</v>
      </c>
      <c r="N2408" s="3" t="str">
        <f>HYPERLINK("http://ictvonline.org/taxonomyHistory.asp?taxnode_id=20165273","ICTVonline=20165273")</f>
        <v>ICTVonline=20165273</v>
      </c>
    </row>
    <row r="2409" spans="1:14" x14ac:dyDescent="0.15">
      <c r="A2409" s="3">
        <v>2408</v>
      </c>
      <c r="B2409" s="1" t="s">
        <v>926</v>
      </c>
      <c r="C2409" s="1" t="s">
        <v>1700</v>
      </c>
      <c r="E2409" s="1" t="s">
        <v>7377</v>
      </c>
      <c r="F2409" s="1" t="s">
        <v>9254</v>
      </c>
      <c r="G2409" s="3">
        <v>0</v>
      </c>
      <c r="H2409" s="20" t="s">
        <v>9255</v>
      </c>
      <c r="I2409" s="20" t="s">
        <v>9256</v>
      </c>
      <c r="J2409" s="20" t="s">
        <v>3176</v>
      </c>
      <c r="K2409" s="20" t="s">
        <v>10013</v>
      </c>
      <c r="L2409" s="3">
        <v>31</v>
      </c>
      <c r="M2409" s="3" t="s">
        <v>9253</v>
      </c>
      <c r="N2409" s="3" t="str">
        <f>HYPERLINK("http://ictvonline.org/taxonomyHistory.asp?taxnode_id=20165274","ICTVonline=20165274")</f>
        <v>ICTVonline=20165274</v>
      </c>
    </row>
    <row r="2410" spans="1:14" x14ac:dyDescent="0.15">
      <c r="A2410" s="3">
        <v>2409</v>
      </c>
      <c r="B2410" s="1" t="s">
        <v>926</v>
      </c>
      <c r="C2410" s="1" t="s">
        <v>1700</v>
      </c>
      <c r="E2410" s="1" t="s">
        <v>7377</v>
      </c>
      <c r="F2410" s="1" t="s">
        <v>9257</v>
      </c>
      <c r="G2410" s="3">
        <v>0</v>
      </c>
      <c r="H2410" s="20" t="s">
        <v>9258</v>
      </c>
      <c r="I2410" s="20" t="s">
        <v>9259</v>
      </c>
      <c r="J2410" s="20" t="s">
        <v>3176</v>
      </c>
      <c r="K2410" s="20" t="s">
        <v>10013</v>
      </c>
      <c r="L2410" s="3">
        <v>31</v>
      </c>
      <c r="M2410" s="3" t="s">
        <v>9253</v>
      </c>
      <c r="N2410" s="3" t="str">
        <f>HYPERLINK("http://ictvonline.org/taxonomyHistory.asp?taxnode_id=20165275","ICTVonline=20165275")</f>
        <v>ICTVonline=20165275</v>
      </c>
    </row>
    <row r="2411" spans="1:14" x14ac:dyDescent="0.15">
      <c r="A2411" s="3">
        <v>2410</v>
      </c>
      <c r="B2411" s="1" t="s">
        <v>926</v>
      </c>
      <c r="C2411" s="1" t="s">
        <v>1700</v>
      </c>
      <c r="E2411" s="1" t="s">
        <v>7377</v>
      </c>
      <c r="F2411" s="1" t="s">
        <v>7380</v>
      </c>
      <c r="G2411" s="3">
        <v>0</v>
      </c>
      <c r="H2411" s="20" t="s">
        <v>5299</v>
      </c>
      <c r="I2411" s="20" t="s">
        <v>5300</v>
      </c>
      <c r="J2411" s="20" t="s">
        <v>3176</v>
      </c>
      <c r="K2411" s="20" t="s">
        <v>10014</v>
      </c>
      <c r="L2411" s="3">
        <v>31</v>
      </c>
      <c r="M2411" s="3" t="s">
        <v>10279</v>
      </c>
      <c r="N2411" s="3" t="str">
        <f>HYPERLINK("http://ictvonline.org/taxonomyHistory.asp?taxnode_id=20162414","ICTVonline=20162414")</f>
        <v>ICTVonline=20162414</v>
      </c>
    </row>
    <row r="2412" spans="1:14" x14ac:dyDescent="0.15">
      <c r="A2412" s="3">
        <v>2411</v>
      </c>
      <c r="B2412" s="1" t="s">
        <v>926</v>
      </c>
      <c r="C2412" s="1" t="s">
        <v>1700</v>
      </c>
      <c r="E2412" s="1" t="s">
        <v>7377</v>
      </c>
      <c r="F2412" s="1" t="s">
        <v>9260</v>
      </c>
      <c r="G2412" s="3">
        <v>0</v>
      </c>
      <c r="H2412" s="20" t="s">
        <v>9261</v>
      </c>
      <c r="I2412" s="20" t="s">
        <v>9262</v>
      </c>
      <c r="J2412" s="20" t="s">
        <v>3176</v>
      </c>
      <c r="K2412" s="20" t="s">
        <v>10013</v>
      </c>
      <c r="L2412" s="3">
        <v>31</v>
      </c>
      <c r="M2412" s="3" t="s">
        <v>9253</v>
      </c>
      <c r="N2412" s="3" t="str">
        <f>HYPERLINK("http://ictvonline.org/taxonomyHistory.asp?taxnode_id=20165276","ICTVonline=20165276")</f>
        <v>ICTVonline=20165276</v>
      </c>
    </row>
    <row r="2413" spans="1:14" x14ac:dyDescent="0.15">
      <c r="A2413" s="3">
        <v>2412</v>
      </c>
      <c r="B2413" s="1" t="s">
        <v>926</v>
      </c>
      <c r="C2413" s="1" t="s">
        <v>1700</v>
      </c>
      <c r="E2413" s="1" t="s">
        <v>7377</v>
      </c>
      <c r="F2413" s="1" t="s">
        <v>9263</v>
      </c>
      <c r="G2413" s="3">
        <v>0</v>
      </c>
      <c r="H2413" s="20" t="s">
        <v>9264</v>
      </c>
      <c r="I2413" s="20" t="s">
        <v>9265</v>
      </c>
      <c r="J2413" s="20" t="s">
        <v>3176</v>
      </c>
      <c r="K2413" s="20" t="s">
        <v>10013</v>
      </c>
      <c r="L2413" s="3">
        <v>31</v>
      </c>
      <c r="M2413" s="3" t="s">
        <v>9253</v>
      </c>
      <c r="N2413" s="3" t="str">
        <f>HYPERLINK("http://ictvonline.org/taxonomyHistory.asp?taxnode_id=20165277","ICTVonline=20165277")</f>
        <v>ICTVonline=20165277</v>
      </c>
    </row>
    <row r="2414" spans="1:14" x14ac:dyDescent="0.15">
      <c r="A2414" s="3">
        <v>2413</v>
      </c>
      <c r="B2414" s="1" t="s">
        <v>926</v>
      </c>
      <c r="C2414" s="1" t="s">
        <v>1700</v>
      </c>
      <c r="E2414" s="1" t="s">
        <v>7377</v>
      </c>
      <c r="F2414" s="1" t="s">
        <v>9266</v>
      </c>
      <c r="G2414" s="3">
        <v>0</v>
      </c>
      <c r="H2414" s="20" t="s">
        <v>9267</v>
      </c>
      <c r="I2414" s="20" t="s">
        <v>9268</v>
      </c>
      <c r="J2414" s="20" t="s">
        <v>3176</v>
      </c>
      <c r="K2414" s="20" t="s">
        <v>10013</v>
      </c>
      <c r="L2414" s="3">
        <v>31</v>
      </c>
      <c r="M2414" s="3" t="s">
        <v>9253</v>
      </c>
      <c r="N2414" s="3" t="str">
        <f>HYPERLINK("http://ictvonline.org/taxonomyHistory.asp?taxnode_id=20165278","ICTVonline=20165278")</f>
        <v>ICTVonline=20165278</v>
      </c>
    </row>
    <row r="2415" spans="1:14" x14ac:dyDescent="0.15">
      <c r="A2415" s="3">
        <v>2414</v>
      </c>
      <c r="B2415" s="1" t="s">
        <v>926</v>
      </c>
      <c r="C2415" s="1" t="s">
        <v>1700</v>
      </c>
      <c r="E2415" s="1" t="s">
        <v>7377</v>
      </c>
      <c r="F2415" s="1" t="s">
        <v>7381</v>
      </c>
      <c r="G2415" s="3">
        <v>0</v>
      </c>
      <c r="H2415" s="20" t="s">
        <v>5301</v>
      </c>
      <c r="I2415" s="20" t="s">
        <v>5302</v>
      </c>
      <c r="J2415" s="20" t="s">
        <v>3176</v>
      </c>
      <c r="K2415" s="20" t="s">
        <v>10014</v>
      </c>
      <c r="L2415" s="3">
        <v>31</v>
      </c>
      <c r="M2415" s="3" t="s">
        <v>10279</v>
      </c>
      <c r="N2415" s="3" t="str">
        <f>HYPERLINK("http://ictvonline.org/taxonomyHistory.asp?taxnode_id=20162415","ICTVonline=20162415")</f>
        <v>ICTVonline=20162415</v>
      </c>
    </row>
    <row r="2416" spans="1:14" x14ac:dyDescent="0.15">
      <c r="A2416" s="3">
        <v>2415</v>
      </c>
      <c r="B2416" s="1" t="s">
        <v>926</v>
      </c>
      <c r="C2416" s="1" t="s">
        <v>1700</v>
      </c>
      <c r="E2416" s="1" t="s">
        <v>7377</v>
      </c>
      <c r="F2416" s="1" t="s">
        <v>7382</v>
      </c>
      <c r="G2416" s="3">
        <v>1</v>
      </c>
      <c r="H2416" s="20" t="s">
        <v>5303</v>
      </c>
      <c r="I2416" s="20" t="s">
        <v>5304</v>
      </c>
      <c r="J2416" s="20" t="s">
        <v>3176</v>
      </c>
      <c r="K2416" s="20" t="s">
        <v>10014</v>
      </c>
      <c r="L2416" s="3">
        <v>31</v>
      </c>
      <c r="M2416" s="3" t="s">
        <v>10279</v>
      </c>
      <c r="N2416" s="3" t="str">
        <f>HYPERLINK("http://ictvonline.org/taxonomyHistory.asp?taxnode_id=20162416","ICTVonline=20162416")</f>
        <v>ICTVonline=20162416</v>
      </c>
    </row>
    <row r="2417" spans="1:14" x14ac:dyDescent="0.15">
      <c r="A2417" s="3">
        <v>2416</v>
      </c>
      <c r="B2417" s="1" t="s">
        <v>926</v>
      </c>
      <c r="C2417" s="1" t="s">
        <v>1700</v>
      </c>
      <c r="E2417" s="1" t="s">
        <v>7377</v>
      </c>
      <c r="F2417" s="1" t="s">
        <v>7383</v>
      </c>
      <c r="G2417" s="3">
        <v>0</v>
      </c>
      <c r="H2417" s="20" t="s">
        <v>6884</v>
      </c>
      <c r="I2417" s="20" t="s">
        <v>5305</v>
      </c>
      <c r="J2417" s="20" t="s">
        <v>3176</v>
      </c>
      <c r="K2417" s="20" t="s">
        <v>10014</v>
      </c>
      <c r="L2417" s="3">
        <v>31</v>
      </c>
      <c r="M2417" s="3" t="s">
        <v>10279</v>
      </c>
      <c r="N2417" s="3" t="str">
        <f>HYPERLINK("http://ictvonline.org/taxonomyHistory.asp?taxnode_id=20162417","ICTVonline=20162417")</f>
        <v>ICTVonline=20162417</v>
      </c>
    </row>
    <row r="2418" spans="1:14" x14ac:dyDescent="0.15">
      <c r="A2418" s="3">
        <v>2417</v>
      </c>
      <c r="B2418" s="1" t="s">
        <v>926</v>
      </c>
      <c r="C2418" s="1" t="s">
        <v>1700</v>
      </c>
      <c r="E2418" s="1" t="s">
        <v>7377</v>
      </c>
      <c r="F2418" s="1" t="s">
        <v>7384</v>
      </c>
      <c r="G2418" s="3">
        <v>0</v>
      </c>
      <c r="H2418" s="20" t="s">
        <v>5306</v>
      </c>
      <c r="I2418" s="20" t="s">
        <v>5307</v>
      </c>
      <c r="J2418" s="20" t="s">
        <v>3176</v>
      </c>
      <c r="K2418" s="20" t="s">
        <v>10014</v>
      </c>
      <c r="L2418" s="3">
        <v>31</v>
      </c>
      <c r="M2418" s="3" t="s">
        <v>10279</v>
      </c>
      <c r="N2418" s="3" t="str">
        <f>HYPERLINK("http://ictvonline.org/taxonomyHistory.asp?taxnode_id=20162418","ICTVonline=20162418")</f>
        <v>ICTVonline=20162418</v>
      </c>
    </row>
    <row r="2419" spans="1:14" x14ac:dyDescent="0.15">
      <c r="A2419" s="3">
        <v>2418</v>
      </c>
      <c r="B2419" s="1" t="s">
        <v>926</v>
      </c>
      <c r="C2419" s="1" t="s">
        <v>1700</v>
      </c>
      <c r="E2419" s="1" t="s">
        <v>7377</v>
      </c>
      <c r="F2419" s="1" t="s">
        <v>7385</v>
      </c>
      <c r="G2419" s="3">
        <v>0</v>
      </c>
      <c r="H2419" s="20" t="s">
        <v>5308</v>
      </c>
      <c r="I2419" s="20" t="s">
        <v>5307</v>
      </c>
      <c r="J2419" s="20" t="s">
        <v>3176</v>
      </c>
      <c r="K2419" s="20" t="s">
        <v>10014</v>
      </c>
      <c r="L2419" s="3">
        <v>31</v>
      </c>
      <c r="M2419" s="3" t="s">
        <v>10279</v>
      </c>
      <c r="N2419" s="3" t="str">
        <f>HYPERLINK("http://ictvonline.org/taxonomyHistory.asp?taxnode_id=20162419","ICTVonline=20162419")</f>
        <v>ICTVonline=20162419</v>
      </c>
    </row>
    <row r="2420" spans="1:14" x14ac:dyDescent="0.15">
      <c r="A2420" s="3">
        <v>2419</v>
      </c>
      <c r="B2420" s="1" t="s">
        <v>926</v>
      </c>
      <c r="C2420" s="1" t="s">
        <v>1700</v>
      </c>
      <c r="E2420" s="1" t="s">
        <v>7377</v>
      </c>
      <c r="F2420" s="1" t="s">
        <v>7386</v>
      </c>
      <c r="G2420" s="3">
        <v>0</v>
      </c>
      <c r="H2420" s="20" t="s">
        <v>5309</v>
      </c>
      <c r="I2420" s="20" t="s">
        <v>5310</v>
      </c>
      <c r="J2420" s="20" t="s">
        <v>3176</v>
      </c>
      <c r="K2420" s="20" t="s">
        <v>10014</v>
      </c>
      <c r="L2420" s="3">
        <v>31</v>
      </c>
      <c r="M2420" s="3" t="s">
        <v>10279</v>
      </c>
      <c r="N2420" s="3" t="str">
        <f>HYPERLINK("http://ictvonline.org/taxonomyHistory.asp?taxnode_id=20162420","ICTVonline=20162420")</f>
        <v>ICTVonline=20162420</v>
      </c>
    </row>
    <row r="2421" spans="1:14" x14ac:dyDescent="0.15">
      <c r="A2421" s="3">
        <v>2420</v>
      </c>
      <c r="B2421" s="1" t="s">
        <v>926</v>
      </c>
      <c r="C2421" s="1" t="s">
        <v>1700</v>
      </c>
      <c r="E2421" s="1" t="s">
        <v>7377</v>
      </c>
      <c r="F2421" s="1" t="s">
        <v>9269</v>
      </c>
      <c r="G2421" s="3">
        <v>0</v>
      </c>
      <c r="H2421" s="20" t="s">
        <v>9270</v>
      </c>
      <c r="I2421" s="20" t="s">
        <v>9271</v>
      </c>
      <c r="J2421" s="20" t="s">
        <v>3176</v>
      </c>
      <c r="K2421" s="20" t="s">
        <v>10013</v>
      </c>
      <c r="L2421" s="3">
        <v>31</v>
      </c>
      <c r="M2421" s="3" t="s">
        <v>9253</v>
      </c>
      <c r="N2421" s="3" t="str">
        <f>HYPERLINK("http://ictvonline.org/taxonomyHistory.asp?taxnode_id=20165279","ICTVonline=20165279")</f>
        <v>ICTVonline=20165279</v>
      </c>
    </row>
    <row r="2422" spans="1:14" x14ac:dyDescent="0.15">
      <c r="A2422" s="3">
        <v>2421</v>
      </c>
      <c r="B2422" s="1" t="s">
        <v>926</v>
      </c>
      <c r="C2422" s="1" t="s">
        <v>1700</v>
      </c>
      <c r="E2422" s="1" t="s">
        <v>7377</v>
      </c>
      <c r="F2422" s="1" t="s">
        <v>7387</v>
      </c>
      <c r="G2422" s="3">
        <v>0</v>
      </c>
      <c r="H2422" s="20" t="s">
        <v>5311</v>
      </c>
      <c r="I2422" s="20" t="s">
        <v>6886</v>
      </c>
      <c r="J2422" s="20" t="s">
        <v>3176</v>
      </c>
      <c r="K2422" s="20" t="s">
        <v>10014</v>
      </c>
      <c r="L2422" s="3">
        <v>31</v>
      </c>
      <c r="M2422" s="3" t="s">
        <v>10279</v>
      </c>
      <c r="N2422" s="3" t="str">
        <f>HYPERLINK("http://ictvonline.org/taxonomyHistory.asp?taxnode_id=20162422","ICTVonline=20162422")</f>
        <v>ICTVonline=20162422</v>
      </c>
    </row>
    <row r="2423" spans="1:14" x14ac:dyDescent="0.15">
      <c r="A2423" s="3">
        <v>2422</v>
      </c>
      <c r="B2423" s="1" t="s">
        <v>926</v>
      </c>
      <c r="C2423" s="1" t="s">
        <v>1700</v>
      </c>
      <c r="E2423" s="1" t="s">
        <v>7377</v>
      </c>
      <c r="F2423" s="1" t="s">
        <v>7388</v>
      </c>
      <c r="G2423" s="3">
        <v>0</v>
      </c>
      <c r="H2423" s="20" t="s">
        <v>6887</v>
      </c>
      <c r="I2423" s="20" t="s">
        <v>5312</v>
      </c>
      <c r="J2423" s="20" t="s">
        <v>3176</v>
      </c>
      <c r="K2423" s="20" t="s">
        <v>10014</v>
      </c>
      <c r="L2423" s="3">
        <v>31</v>
      </c>
      <c r="M2423" s="3" t="s">
        <v>10279</v>
      </c>
      <c r="N2423" s="3" t="str">
        <f>HYPERLINK("http://ictvonline.org/taxonomyHistory.asp?taxnode_id=20162423","ICTVonline=20162423")</f>
        <v>ICTVonline=20162423</v>
      </c>
    </row>
    <row r="2424" spans="1:14" x14ac:dyDescent="0.15">
      <c r="A2424" s="3">
        <v>2423</v>
      </c>
      <c r="B2424" s="1" t="s">
        <v>926</v>
      </c>
      <c r="C2424" s="1" t="s">
        <v>1700</v>
      </c>
      <c r="E2424" s="1" t="s">
        <v>7502</v>
      </c>
      <c r="F2424" s="1" t="s">
        <v>9272</v>
      </c>
      <c r="G2424" s="3">
        <v>0</v>
      </c>
      <c r="H2424" s="20" t="s">
        <v>9273</v>
      </c>
      <c r="I2424" s="20" t="s">
        <v>9274</v>
      </c>
      <c r="J2424" s="20" t="s">
        <v>3176</v>
      </c>
      <c r="K2424" s="20" t="s">
        <v>10013</v>
      </c>
      <c r="L2424" s="3">
        <v>31</v>
      </c>
      <c r="M2424" s="3" t="s">
        <v>9253</v>
      </c>
      <c r="N2424" s="3" t="str">
        <f>HYPERLINK("http://ictvonline.org/taxonomyHistory.asp?taxnode_id=20165280","ICTVonline=20165280")</f>
        <v>ICTVonline=20165280</v>
      </c>
    </row>
    <row r="2425" spans="1:14" x14ac:dyDescent="0.15">
      <c r="A2425" s="3">
        <v>2424</v>
      </c>
      <c r="B2425" s="1" t="s">
        <v>926</v>
      </c>
      <c r="C2425" s="1" t="s">
        <v>1700</v>
      </c>
      <c r="E2425" s="1" t="s">
        <v>7502</v>
      </c>
      <c r="F2425" s="1" t="s">
        <v>9275</v>
      </c>
      <c r="G2425" s="3">
        <v>0</v>
      </c>
      <c r="H2425" s="20" t="s">
        <v>9276</v>
      </c>
      <c r="I2425" s="20" t="s">
        <v>9277</v>
      </c>
      <c r="J2425" s="20" t="s">
        <v>3176</v>
      </c>
      <c r="K2425" s="20" t="s">
        <v>10013</v>
      </c>
      <c r="L2425" s="3">
        <v>31</v>
      </c>
      <c r="M2425" s="3" t="s">
        <v>9253</v>
      </c>
      <c r="N2425" s="3" t="str">
        <f>HYPERLINK("http://ictvonline.org/taxonomyHistory.asp?taxnode_id=20165281","ICTVonline=20165281")</f>
        <v>ICTVonline=20165281</v>
      </c>
    </row>
    <row r="2426" spans="1:14" x14ac:dyDescent="0.15">
      <c r="A2426" s="3">
        <v>2425</v>
      </c>
      <c r="B2426" s="1" t="s">
        <v>926</v>
      </c>
      <c r="C2426" s="1" t="s">
        <v>1700</v>
      </c>
      <c r="E2426" s="1" t="s">
        <v>7502</v>
      </c>
      <c r="F2426" s="1" t="s">
        <v>7503</v>
      </c>
      <c r="G2426" s="3">
        <v>1</v>
      </c>
      <c r="H2426" s="20" t="s">
        <v>6885</v>
      </c>
      <c r="I2426" s="20" t="s">
        <v>7504</v>
      </c>
      <c r="J2426" s="20" t="s">
        <v>3176</v>
      </c>
      <c r="K2426" s="20" t="s">
        <v>10014</v>
      </c>
      <c r="L2426" s="3">
        <v>31</v>
      </c>
      <c r="M2426" s="3" t="s">
        <v>10279</v>
      </c>
      <c r="N2426" s="3" t="str">
        <f>HYPERLINK("http://ictvonline.org/taxonomyHistory.asp?taxnode_id=20162421","ICTVonline=20162421")</f>
        <v>ICTVonline=20162421</v>
      </c>
    </row>
    <row r="2427" spans="1:14" x14ac:dyDescent="0.15">
      <c r="A2427" s="3">
        <v>2426</v>
      </c>
      <c r="B2427" s="1" t="s">
        <v>926</v>
      </c>
      <c r="C2427" s="1" t="s">
        <v>1700</v>
      </c>
      <c r="E2427" s="1" t="s">
        <v>7502</v>
      </c>
      <c r="F2427" s="1" t="s">
        <v>9278</v>
      </c>
      <c r="G2427" s="3">
        <v>0</v>
      </c>
      <c r="H2427" s="20" t="s">
        <v>9279</v>
      </c>
      <c r="I2427" s="20" t="s">
        <v>9280</v>
      </c>
      <c r="J2427" s="20" t="s">
        <v>3176</v>
      </c>
      <c r="K2427" s="20" t="s">
        <v>10013</v>
      </c>
      <c r="L2427" s="3">
        <v>31</v>
      </c>
      <c r="M2427" s="3" t="s">
        <v>9253</v>
      </c>
      <c r="N2427" s="3" t="str">
        <f>HYPERLINK("http://ictvonline.org/taxonomyHistory.asp?taxnode_id=20165282","ICTVonline=20165282")</f>
        <v>ICTVonline=20165282</v>
      </c>
    </row>
    <row r="2428" spans="1:14" x14ac:dyDescent="0.15">
      <c r="A2428" s="3">
        <v>2427</v>
      </c>
      <c r="B2428" s="1" t="s">
        <v>926</v>
      </c>
      <c r="C2428" s="1" t="s">
        <v>1162</v>
      </c>
      <c r="E2428" s="1" t="s">
        <v>1163</v>
      </c>
      <c r="F2428" s="1" t="s">
        <v>1164</v>
      </c>
      <c r="G2428" s="3">
        <v>0</v>
      </c>
      <c r="J2428" s="20" t="s">
        <v>3160</v>
      </c>
      <c r="K2428" s="20" t="s">
        <v>10016</v>
      </c>
      <c r="L2428" s="3">
        <v>9</v>
      </c>
      <c r="M2428" s="3" t="s">
        <v>10280</v>
      </c>
      <c r="N2428" s="3" t="str">
        <f>HYPERLINK("http://ictvonline.org/taxonomyHistory.asp?taxnode_id=20162427","ICTVonline=20162427")</f>
        <v>ICTVonline=20162427</v>
      </c>
    </row>
    <row r="2429" spans="1:14" x14ac:dyDescent="0.15">
      <c r="A2429" s="3">
        <v>2428</v>
      </c>
      <c r="B2429" s="1" t="s">
        <v>926</v>
      </c>
      <c r="C2429" s="1" t="s">
        <v>1162</v>
      </c>
      <c r="E2429" s="1" t="s">
        <v>1163</v>
      </c>
      <c r="F2429" s="1" t="s">
        <v>1165</v>
      </c>
      <c r="G2429" s="3">
        <v>0</v>
      </c>
      <c r="J2429" s="20" t="s">
        <v>3160</v>
      </c>
      <c r="K2429" s="20" t="s">
        <v>10013</v>
      </c>
      <c r="L2429" s="3">
        <v>18</v>
      </c>
      <c r="M2429" s="3" t="s">
        <v>10101</v>
      </c>
      <c r="N2429" s="3" t="str">
        <f>HYPERLINK("http://ictvonline.org/taxonomyHistory.asp?taxnode_id=20162428","ICTVonline=20162428")</f>
        <v>ICTVonline=20162428</v>
      </c>
    </row>
    <row r="2430" spans="1:14" x14ac:dyDescent="0.15">
      <c r="A2430" s="3">
        <v>2429</v>
      </c>
      <c r="B2430" s="1" t="s">
        <v>926</v>
      </c>
      <c r="C2430" s="1" t="s">
        <v>1162</v>
      </c>
      <c r="E2430" s="1" t="s">
        <v>1163</v>
      </c>
      <c r="F2430" s="1" t="s">
        <v>1166</v>
      </c>
      <c r="G2430" s="3">
        <v>0</v>
      </c>
      <c r="J2430" s="20" t="s">
        <v>3160</v>
      </c>
      <c r="K2430" s="20" t="s">
        <v>10016</v>
      </c>
      <c r="L2430" s="3">
        <v>9</v>
      </c>
      <c r="M2430" s="3" t="s">
        <v>10280</v>
      </c>
      <c r="N2430" s="3" t="str">
        <f>HYPERLINK("http://ictvonline.org/taxonomyHistory.asp?taxnode_id=20162429","ICTVonline=20162429")</f>
        <v>ICTVonline=20162429</v>
      </c>
    </row>
    <row r="2431" spans="1:14" x14ac:dyDescent="0.15">
      <c r="A2431" s="3">
        <v>2430</v>
      </c>
      <c r="B2431" s="1" t="s">
        <v>926</v>
      </c>
      <c r="C2431" s="1" t="s">
        <v>1162</v>
      </c>
      <c r="E2431" s="1" t="s">
        <v>1163</v>
      </c>
      <c r="F2431" s="1" t="s">
        <v>1167</v>
      </c>
      <c r="G2431" s="3">
        <v>0</v>
      </c>
      <c r="J2431" s="20" t="s">
        <v>3160</v>
      </c>
      <c r="K2431" s="20" t="s">
        <v>10016</v>
      </c>
      <c r="L2431" s="3">
        <v>9</v>
      </c>
      <c r="M2431" s="3" t="s">
        <v>10280</v>
      </c>
      <c r="N2431" s="3" t="str">
        <f>HYPERLINK("http://ictvonline.org/taxonomyHistory.asp?taxnode_id=20162430","ICTVonline=20162430")</f>
        <v>ICTVonline=20162430</v>
      </c>
    </row>
    <row r="2432" spans="1:14" x14ac:dyDescent="0.15">
      <c r="A2432" s="3">
        <v>2431</v>
      </c>
      <c r="B2432" s="1" t="s">
        <v>926</v>
      </c>
      <c r="C2432" s="1" t="s">
        <v>1162</v>
      </c>
      <c r="E2432" s="1" t="s">
        <v>1163</v>
      </c>
      <c r="F2432" s="1" t="s">
        <v>1168</v>
      </c>
      <c r="G2432" s="3">
        <v>0</v>
      </c>
      <c r="J2432" s="20" t="s">
        <v>3160</v>
      </c>
      <c r="K2432" s="20" t="s">
        <v>10016</v>
      </c>
      <c r="L2432" s="3">
        <v>9</v>
      </c>
      <c r="M2432" s="3" t="s">
        <v>10280</v>
      </c>
      <c r="N2432" s="3" t="str">
        <f>HYPERLINK("http://ictvonline.org/taxonomyHistory.asp?taxnode_id=20162431","ICTVonline=20162431")</f>
        <v>ICTVonline=20162431</v>
      </c>
    </row>
    <row r="2433" spans="1:14" x14ac:dyDescent="0.15">
      <c r="A2433" s="3">
        <v>2432</v>
      </c>
      <c r="B2433" s="1" t="s">
        <v>926</v>
      </c>
      <c r="C2433" s="1" t="s">
        <v>1162</v>
      </c>
      <c r="E2433" s="1" t="s">
        <v>1163</v>
      </c>
      <c r="F2433" s="1" t="s">
        <v>1169</v>
      </c>
      <c r="G2433" s="3">
        <v>0</v>
      </c>
      <c r="J2433" s="20" t="s">
        <v>3160</v>
      </c>
      <c r="K2433" s="20" t="s">
        <v>10016</v>
      </c>
      <c r="L2433" s="3">
        <v>9</v>
      </c>
      <c r="M2433" s="3" t="s">
        <v>10280</v>
      </c>
      <c r="N2433" s="3" t="str">
        <f>HYPERLINK("http://ictvonline.org/taxonomyHistory.asp?taxnode_id=20162432","ICTVonline=20162432")</f>
        <v>ICTVonline=20162432</v>
      </c>
    </row>
    <row r="2434" spans="1:14" x14ac:dyDescent="0.15">
      <c r="A2434" s="3">
        <v>2433</v>
      </c>
      <c r="B2434" s="1" t="s">
        <v>926</v>
      </c>
      <c r="C2434" s="1" t="s">
        <v>1162</v>
      </c>
      <c r="E2434" s="1" t="s">
        <v>1163</v>
      </c>
      <c r="F2434" s="1" t="s">
        <v>1705</v>
      </c>
      <c r="G2434" s="3">
        <v>0</v>
      </c>
      <c r="J2434" s="20" t="s">
        <v>3160</v>
      </c>
      <c r="K2434" s="20" t="s">
        <v>10013</v>
      </c>
      <c r="L2434" s="3">
        <v>18</v>
      </c>
      <c r="M2434" s="3" t="s">
        <v>10101</v>
      </c>
      <c r="N2434" s="3" t="str">
        <f>HYPERLINK("http://ictvonline.org/taxonomyHistory.asp?taxnode_id=20162433","ICTVonline=20162433")</f>
        <v>ICTVonline=20162433</v>
      </c>
    </row>
    <row r="2435" spans="1:14" x14ac:dyDescent="0.15">
      <c r="A2435" s="3">
        <v>2434</v>
      </c>
      <c r="B2435" s="1" t="s">
        <v>926</v>
      </c>
      <c r="C2435" s="1" t="s">
        <v>1162</v>
      </c>
      <c r="E2435" s="1" t="s">
        <v>1163</v>
      </c>
      <c r="F2435" s="1" t="s">
        <v>1706</v>
      </c>
      <c r="G2435" s="3">
        <v>0</v>
      </c>
      <c r="J2435" s="20" t="s">
        <v>3160</v>
      </c>
      <c r="K2435" s="20" t="s">
        <v>10016</v>
      </c>
      <c r="L2435" s="3">
        <v>9</v>
      </c>
      <c r="M2435" s="3" t="s">
        <v>10280</v>
      </c>
      <c r="N2435" s="3" t="str">
        <f>HYPERLINK("http://ictvonline.org/taxonomyHistory.asp?taxnode_id=20162434","ICTVonline=20162434")</f>
        <v>ICTVonline=20162434</v>
      </c>
    </row>
    <row r="2436" spans="1:14" x14ac:dyDescent="0.15">
      <c r="A2436" s="3">
        <v>2435</v>
      </c>
      <c r="B2436" s="1" t="s">
        <v>926</v>
      </c>
      <c r="C2436" s="1" t="s">
        <v>1162</v>
      </c>
      <c r="E2436" s="1" t="s">
        <v>1163</v>
      </c>
      <c r="F2436" s="1" t="s">
        <v>1707</v>
      </c>
      <c r="G2436" s="3">
        <v>0</v>
      </c>
      <c r="J2436" s="20" t="s">
        <v>3160</v>
      </c>
      <c r="K2436" s="20" t="s">
        <v>10016</v>
      </c>
      <c r="L2436" s="3">
        <v>9</v>
      </c>
      <c r="M2436" s="3" t="s">
        <v>10280</v>
      </c>
      <c r="N2436" s="3" t="str">
        <f>HYPERLINK("http://ictvonline.org/taxonomyHistory.asp?taxnode_id=20162435","ICTVonline=20162435")</f>
        <v>ICTVonline=20162435</v>
      </c>
    </row>
    <row r="2437" spans="1:14" x14ac:dyDescent="0.15">
      <c r="A2437" s="3">
        <v>2436</v>
      </c>
      <c r="B2437" s="1" t="s">
        <v>926</v>
      </c>
      <c r="C2437" s="1" t="s">
        <v>1162</v>
      </c>
      <c r="E2437" s="1" t="s">
        <v>1163</v>
      </c>
      <c r="F2437" s="1" t="s">
        <v>1708</v>
      </c>
      <c r="G2437" s="3">
        <v>0</v>
      </c>
      <c r="J2437" s="20" t="s">
        <v>3160</v>
      </c>
      <c r="K2437" s="20" t="s">
        <v>10016</v>
      </c>
      <c r="L2437" s="3">
        <v>9</v>
      </c>
      <c r="M2437" s="3" t="s">
        <v>10280</v>
      </c>
      <c r="N2437" s="3" t="str">
        <f>HYPERLINK("http://ictvonline.org/taxonomyHistory.asp?taxnode_id=20162436","ICTVonline=20162436")</f>
        <v>ICTVonline=20162436</v>
      </c>
    </row>
    <row r="2438" spans="1:14" x14ac:dyDescent="0.15">
      <c r="A2438" s="3">
        <v>2437</v>
      </c>
      <c r="B2438" s="1" t="s">
        <v>926</v>
      </c>
      <c r="C2438" s="1" t="s">
        <v>1162</v>
      </c>
      <c r="E2438" s="1" t="s">
        <v>1163</v>
      </c>
      <c r="F2438" s="1" t="s">
        <v>1709</v>
      </c>
      <c r="G2438" s="3">
        <v>0</v>
      </c>
      <c r="J2438" s="20" t="s">
        <v>3160</v>
      </c>
      <c r="K2438" s="20" t="s">
        <v>10216</v>
      </c>
      <c r="L2438" s="3">
        <v>18</v>
      </c>
      <c r="M2438" s="3" t="s">
        <v>10101</v>
      </c>
      <c r="N2438" s="3" t="str">
        <f>HYPERLINK("http://ictvonline.org/taxonomyHistory.asp?taxnode_id=20162437","ICTVonline=20162437")</f>
        <v>ICTVonline=20162437</v>
      </c>
    </row>
    <row r="2439" spans="1:14" x14ac:dyDescent="0.15">
      <c r="A2439" s="3">
        <v>2438</v>
      </c>
      <c r="B2439" s="1" t="s">
        <v>926</v>
      </c>
      <c r="C2439" s="1" t="s">
        <v>1162</v>
      </c>
      <c r="E2439" s="1" t="s">
        <v>1163</v>
      </c>
      <c r="F2439" s="1" t="s">
        <v>1710</v>
      </c>
      <c r="G2439" s="3">
        <v>0</v>
      </c>
      <c r="J2439" s="20" t="s">
        <v>3160</v>
      </c>
      <c r="K2439" s="20" t="s">
        <v>10021</v>
      </c>
      <c r="L2439" s="3">
        <v>12</v>
      </c>
      <c r="M2439" s="3" t="s">
        <v>10281</v>
      </c>
      <c r="N2439" s="3" t="str">
        <f>HYPERLINK("http://ictvonline.org/taxonomyHistory.asp?taxnode_id=20162438","ICTVonline=20162438")</f>
        <v>ICTVonline=20162438</v>
      </c>
    </row>
    <row r="2440" spans="1:14" x14ac:dyDescent="0.15">
      <c r="A2440" s="3">
        <v>2439</v>
      </c>
      <c r="B2440" s="1" t="s">
        <v>926</v>
      </c>
      <c r="C2440" s="1" t="s">
        <v>1162</v>
      </c>
      <c r="E2440" s="1" t="s">
        <v>1163</v>
      </c>
      <c r="F2440" s="1" t="s">
        <v>1711</v>
      </c>
      <c r="G2440" s="3">
        <v>0</v>
      </c>
      <c r="J2440" s="20" t="s">
        <v>3160</v>
      </c>
      <c r="K2440" s="20" t="s">
        <v>10016</v>
      </c>
      <c r="L2440" s="3">
        <v>9</v>
      </c>
      <c r="M2440" s="3" t="s">
        <v>10280</v>
      </c>
      <c r="N2440" s="3" t="str">
        <f>HYPERLINK("http://ictvonline.org/taxonomyHistory.asp?taxnode_id=20162439","ICTVonline=20162439")</f>
        <v>ICTVonline=20162439</v>
      </c>
    </row>
    <row r="2441" spans="1:14" x14ac:dyDescent="0.15">
      <c r="A2441" s="3">
        <v>2440</v>
      </c>
      <c r="B2441" s="1" t="s">
        <v>926</v>
      </c>
      <c r="C2441" s="1" t="s">
        <v>1162</v>
      </c>
      <c r="E2441" s="1" t="s">
        <v>1163</v>
      </c>
      <c r="F2441" s="1" t="s">
        <v>1712</v>
      </c>
      <c r="G2441" s="3">
        <v>0</v>
      </c>
      <c r="J2441" s="20" t="s">
        <v>3160</v>
      </c>
      <c r="K2441" s="20" t="s">
        <v>10013</v>
      </c>
      <c r="L2441" s="3">
        <v>18</v>
      </c>
      <c r="M2441" s="3" t="s">
        <v>10101</v>
      </c>
      <c r="N2441" s="3" t="str">
        <f>HYPERLINK("http://ictvonline.org/taxonomyHistory.asp?taxnode_id=20162440","ICTVonline=20162440")</f>
        <v>ICTVonline=20162440</v>
      </c>
    </row>
    <row r="2442" spans="1:14" x14ac:dyDescent="0.15">
      <c r="A2442" s="3">
        <v>2441</v>
      </c>
      <c r="B2442" s="1" t="s">
        <v>926</v>
      </c>
      <c r="C2442" s="1" t="s">
        <v>1162</v>
      </c>
      <c r="E2442" s="1" t="s">
        <v>1163</v>
      </c>
      <c r="F2442" s="1" t="s">
        <v>1713</v>
      </c>
      <c r="G2442" s="3">
        <v>0</v>
      </c>
      <c r="J2442" s="20" t="s">
        <v>3160</v>
      </c>
      <c r="K2442" s="20" t="s">
        <v>10013</v>
      </c>
      <c r="L2442" s="3">
        <v>18</v>
      </c>
      <c r="M2442" s="3" t="s">
        <v>10101</v>
      </c>
      <c r="N2442" s="3" t="str">
        <f>HYPERLINK("http://ictvonline.org/taxonomyHistory.asp?taxnode_id=20162441","ICTVonline=20162441")</f>
        <v>ICTVonline=20162441</v>
      </c>
    </row>
    <row r="2443" spans="1:14" x14ac:dyDescent="0.15">
      <c r="A2443" s="3">
        <v>2442</v>
      </c>
      <c r="B2443" s="1" t="s">
        <v>926</v>
      </c>
      <c r="C2443" s="1" t="s">
        <v>1162</v>
      </c>
      <c r="E2443" s="1" t="s">
        <v>1163</v>
      </c>
      <c r="F2443" s="1" t="s">
        <v>1714</v>
      </c>
      <c r="G2443" s="3">
        <v>0</v>
      </c>
      <c r="J2443" s="20" t="s">
        <v>3160</v>
      </c>
      <c r="K2443" s="20" t="s">
        <v>10021</v>
      </c>
      <c r="L2443" s="3">
        <v>18</v>
      </c>
      <c r="M2443" s="3" t="s">
        <v>10101</v>
      </c>
      <c r="N2443" s="3" t="str">
        <f>HYPERLINK("http://ictvonline.org/taxonomyHistory.asp?taxnode_id=20162442","ICTVonline=20162442")</f>
        <v>ICTVonline=20162442</v>
      </c>
    </row>
    <row r="2444" spans="1:14" x14ac:dyDescent="0.15">
      <c r="A2444" s="3">
        <v>2443</v>
      </c>
      <c r="B2444" s="1" t="s">
        <v>926</v>
      </c>
      <c r="C2444" s="1" t="s">
        <v>1162</v>
      </c>
      <c r="E2444" s="1" t="s">
        <v>1163</v>
      </c>
      <c r="F2444" s="1" t="s">
        <v>1715</v>
      </c>
      <c r="G2444" s="3">
        <v>0</v>
      </c>
      <c r="J2444" s="20" t="s">
        <v>3160</v>
      </c>
      <c r="K2444" s="20" t="s">
        <v>10016</v>
      </c>
      <c r="L2444" s="3">
        <v>9</v>
      </c>
      <c r="M2444" s="3" t="s">
        <v>10280</v>
      </c>
      <c r="N2444" s="3" t="str">
        <f>HYPERLINK("http://ictvonline.org/taxonomyHistory.asp?taxnode_id=20162443","ICTVonline=20162443")</f>
        <v>ICTVonline=20162443</v>
      </c>
    </row>
    <row r="2445" spans="1:14" x14ac:dyDescent="0.15">
      <c r="A2445" s="3">
        <v>2444</v>
      </c>
      <c r="B2445" s="1" t="s">
        <v>926</v>
      </c>
      <c r="C2445" s="1" t="s">
        <v>1162</v>
      </c>
      <c r="E2445" s="1" t="s">
        <v>1163</v>
      </c>
      <c r="F2445" s="1" t="s">
        <v>1716</v>
      </c>
      <c r="G2445" s="3">
        <v>0</v>
      </c>
      <c r="J2445" s="20" t="s">
        <v>3160</v>
      </c>
      <c r="K2445" s="20" t="s">
        <v>10013</v>
      </c>
      <c r="L2445" s="3">
        <v>18</v>
      </c>
      <c r="M2445" s="3" t="s">
        <v>10101</v>
      </c>
      <c r="N2445" s="3" t="str">
        <f>HYPERLINK("http://ictvonline.org/taxonomyHistory.asp?taxnode_id=20162444","ICTVonline=20162444")</f>
        <v>ICTVonline=20162444</v>
      </c>
    </row>
    <row r="2446" spans="1:14" x14ac:dyDescent="0.15">
      <c r="A2446" s="3">
        <v>2445</v>
      </c>
      <c r="B2446" s="1" t="s">
        <v>926</v>
      </c>
      <c r="C2446" s="1" t="s">
        <v>1162</v>
      </c>
      <c r="E2446" s="1" t="s">
        <v>1163</v>
      </c>
      <c r="F2446" s="1" t="s">
        <v>1717</v>
      </c>
      <c r="G2446" s="3">
        <v>0</v>
      </c>
      <c r="J2446" s="20" t="s">
        <v>3160</v>
      </c>
      <c r="K2446" s="20" t="s">
        <v>10016</v>
      </c>
      <c r="L2446" s="3">
        <v>9</v>
      </c>
      <c r="M2446" s="3" t="s">
        <v>10280</v>
      </c>
      <c r="N2446" s="3" t="str">
        <f>HYPERLINK("http://ictvonline.org/taxonomyHistory.asp?taxnode_id=20162445","ICTVonline=20162445")</f>
        <v>ICTVonline=20162445</v>
      </c>
    </row>
    <row r="2447" spans="1:14" x14ac:dyDescent="0.15">
      <c r="A2447" s="3">
        <v>2446</v>
      </c>
      <c r="B2447" s="1" t="s">
        <v>926</v>
      </c>
      <c r="C2447" s="1" t="s">
        <v>1162</v>
      </c>
      <c r="E2447" s="1" t="s">
        <v>1163</v>
      </c>
      <c r="F2447" s="1" t="s">
        <v>1718</v>
      </c>
      <c r="G2447" s="3">
        <v>0</v>
      </c>
      <c r="J2447" s="20" t="s">
        <v>3160</v>
      </c>
      <c r="K2447" s="20" t="s">
        <v>10013</v>
      </c>
      <c r="L2447" s="3">
        <v>18</v>
      </c>
      <c r="M2447" s="3" t="s">
        <v>10101</v>
      </c>
      <c r="N2447" s="3" t="str">
        <f>HYPERLINK("http://ictvonline.org/taxonomyHistory.asp?taxnode_id=20162446","ICTVonline=20162446")</f>
        <v>ICTVonline=20162446</v>
      </c>
    </row>
    <row r="2448" spans="1:14" x14ac:dyDescent="0.15">
      <c r="A2448" s="3">
        <v>2447</v>
      </c>
      <c r="B2448" s="1" t="s">
        <v>926</v>
      </c>
      <c r="C2448" s="1" t="s">
        <v>1162</v>
      </c>
      <c r="E2448" s="1" t="s">
        <v>1163</v>
      </c>
      <c r="F2448" s="1" t="s">
        <v>1719</v>
      </c>
      <c r="G2448" s="3">
        <v>0</v>
      </c>
      <c r="J2448" s="20" t="s">
        <v>3160</v>
      </c>
      <c r="K2448" s="20" t="s">
        <v>10013</v>
      </c>
      <c r="L2448" s="3">
        <v>18</v>
      </c>
      <c r="M2448" s="3" t="s">
        <v>10101</v>
      </c>
      <c r="N2448" s="3" t="str">
        <f>HYPERLINK("http://ictvonline.org/taxonomyHistory.asp?taxnode_id=20162447","ICTVonline=20162447")</f>
        <v>ICTVonline=20162447</v>
      </c>
    </row>
    <row r="2449" spans="1:14" x14ac:dyDescent="0.15">
      <c r="A2449" s="3">
        <v>2448</v>
      </c>
      <c r="B2449" s="1" t="s">
        <v>926</v>
      </c>
      <c r="C2449" s="1" t="s">
        <v>1162</v>
      </c>
      <c r="E2449" s="1" t="s">
        <v>1163</v>
      </c>
      <c r="F2449" s="1" t="s">
        <v>1720</v>
      </c>
      <c r="G2449" s="3">
        <v>0</v>
      </c>
      <c r="J2449" s="20" t="s">
        <v>3160</v>
      </c>
      <c r="K2449" s="20" t="s">
        <v>10216</v>
      </c>
      <c r="L2449" s="3">
        <v>18</v>
      </c>
      <c r="M2449" s="3" t="s">
        <v>10101</v>
      </c>
      <c r="N2449" s="3" t="str">
        <f>HYPERLINK("http://ictvonline.org/taxonomyHistory.asp?taxnode_id=20162448","ICTVonline=20162448")</f>
        <v>ICTVonline=20162448</v>
      </c>
    </row>
    <row r="2450" spans="1:14" x14ac:dyDescent="0.15">
      <c r="A2450" s="3">
        <v>2449</v>
      </c>
      <c r="B2450" s="1" t="s">
        <v>926</v>
      </c>
      <c r="C2450" s="1" t="s">
        <v>1162</v>
      </c>
      <c r="E2450" s="1" t="s">
        <v>1163</v>
      </c>
      <c r="F2450" s="1" t="s">
        <v>1721</v>
      </c>
      <c r="G2450" s="3">
        <v>0</v>
      </c>
      <c r="J2450" s="20" t="s">
        <v>3160</v>
      </c>
      <c r="K2450" s="20" t="s">
        <v>10016</v>
      </c>
      <c r="L2450" s="3">
        <v>9</v>
      </c>
      <c r="M2450" s="3" t="s">
        <v>10280</v>
      </c>
      <c r="N2450" s="3" t="str">
        <f>HYPERLINK("http://ictvonline.org/taxonomyHistory.asp?taxnode_id=20162449","ICTVonline=20162449")</f>
        <v>ICTVonline=20162449</v>
      </c>
    </row>
    <row r="2451" spans="1:14" x14ac:dyDescent="0.15">
      <c r="A2451" s="3">
        <v>2450</v>
      </c>
      <c r="B2451" s="1" t="s">
        <v>926</v>
      </c>
      <c r="C2451" s="1" t="s">
        <v>1162</v>
      </c>
      <c r="E2451" s="1" t="s">
        <v>1163</v>
      </c>
      <c r="F2451" s="1" t="s">
        <v>1722</v>
      </c>
      <c r="G2451" s="3">
        <v>0</v>
      </c>
      <c r="J2451" s="20" t="s">
        <v>3160</v>
      </c>
      <c r="K2451" s="20" t="s">
        <v>10016</v>
      </c>
      <c r="L2451" s="3">
        <v>9</v>
      </c>
      <c r="M2451" s="3" t="s">
        <v>10280</v>
      </c>
      <c r="N2451" s="3" t="str">
        <f>HYPERLINK("http://ictvonline.org/taxonomyHistory.asp?taxnode_id=20162450","ICTVonline=20162450")</f>
        <v>ICTVonline=20162450</v>
      </c>
    </row>
    <row r="2452" spans="1:14" x14ac:dyDescent="0.15">
      <c r="A2452" s="3">
        <v>2451</v>
      </c>
      <c r="B2452" s="1" t="s">
        <v>926</v>
      </c>
      <c r="C2452" s="1" t="s">
        <v>1162</v>
      </c>
      <c r="E2452" s="1" t="s">
        <v>1163</v>
      </c>
      <c r="F2452" s="1" t="s">
        <v>1723</v>
      </c>
      <c r="G2452" s="3">
        <v>0</v>
      </c>
      <c r="J2452" s="20" t="s">
        <v>3160</v>
      </c>
      <c r="K2452" s="20" t="s">
        <v>10016</v>
      </c>
      <c r="L2452" s="3">
        <v>9</v>
      </c>
      <c r="M2452" s="3" t="s">
        <v>10280</v>
      </c>
      <c r="N2452" s="3" t="str">
        <f>HYPERLINK("http://ictvonline.org/taxonomyHistory.asp?taxnode_id=20162451","ICTVonline=20162451")</f>
        <v>ICTVonline=20162451</v>
      </c>
    </row>
    <row r="2453" spans="1:14" x14ac:dyDescent="0.15">
      <c r="A2453" s="3">
        <v>2452</v>
      </c>
      <c r="B2453" s="1" t="s">
        <v>926</v>
      </c>
      <c r="C2453" s="1" t="s">
        <v>1162</v>
      </c>
      <c r="E2453" s="1" t="s">
        <v>1163</v>
      </c>
      <c r="F2453" s="1" t="s">
        <v>1724</v>
      </c>
      <c r="G2453" s="3">
        <v>0</v>
      </c>
      <c r="J2453" s="20" t="s">
        <v>3160</v>
      </c>
      <c r="K2453" s="20" t="s">
        <v>10016</v>
      </c>
      <c r="L2453" s="3">
        <v>9</v>
      </c>
      <c r="M2453" s="3" t="s">
        <v>10280</v>
      </c>
      <c r="N2453" s="3" t="str">
        <f>HYPERLINK("http://ictvonline.org/taxonomyHistory.asp?taxnode_id=20162452","ICTVonline=20162452")</f>
        <v>ICTVonline=20162452</v>
      </c>
    </row>
    <row r="2454" spans="1:14" x14ac:dyDescent="0.15">
      <c r="A2454" s="3">
        <v>2453</v>
      </c>
      <c r="B2454" s="1" t="s">
        <v>926</v>
      </c>
      <c r="C2454" s="1" t="s">
        <v>1162</v>
      </c>
      <c r="E2454" s="1" t="s">
        <v>1163</v>
      </c>
      <c r="F2454" s="1" t="s">
        <v>1725</v>
      </c>
      <c r="G2454" s="3">
        <v>0</v>
      </c>
      <c r="J2454" s="20" t="s">
        <v>3160</v>
      </c>
      <c r="K2454" s="20" t="s">
        <v>10013</v>
      </c>
      <c r="L2454" s="3">
        <v>12</v>
      </c>
      <c r="M2454" s="3" t="s">
        <v>10281</v>
      </c>
      <c r="N2454" s="3" t="str">
        <f>HYPERLINK("http://ictvonline.org/taxonomyHistory.asp?taxnode_id=20162453","ICTVonline=20162453")</f>
        <v>ICTVonline=20162453</v>
      </c>
    </row>
    <row r="2455" spans="1:14" x14ac:dyDescent="0.15">
      <c r="A2455" s="3">
        <v>2454</v>
      </c>
      <c r="B2455" s="1" t="s">
        <v>926</v>
      </c>
      <c r="C2455" s="1" t="s">
        <v>1162</v>
      </c>
      <c r="E2455" s="1" t="s">
        <v>1163</v>
      </c>
      <c r="F2455" s="1" t="s">
        <v>1726</v>
      </c>
      <c r="G2455" s="3">
        <v>0</v>
      </c>
      <c r="J2455" s="20" t="s">
        <v>3160</v>
      </c>
      <c r="K2455" s="20" t="s">
        <v>10016</v>
      </c>
      <c r="L2455" s="3">
        <v>9</v>
      </c>
      <c r="M2455" s="3" t="s">
        <v>10280</v>
      </c>
      <c r="N2455" s="3" t="str">
        <f>HYPERLINK("http://ictvonline.org/taxonomyHistory.asp?taxnode_id=20162454","ICTVonline=20162454")</f>
        <v>ICTVonline=20162454</v>
      </c>
    </row>
    <row r="2456" spans="1:14" x14ac:dyDescent="0.15">
      <c r="A2456" s="3">
        <v>2455</v>
      </c>
      <c r="B2456" s="1" t="s">
        <v>926</v>
      </c>
      <c r="C2456" s="1" t="s">
        <v>1162</v>
      </c>
      <c r="E2456" s="1" t="s">
        <v>1163</v>
      </c>
      <c r="F2456" s="1" t="s">
        <v>2068</v>
      </c>
      <c r="G2456" s="3">
        <v>0</v>
      </c>
      <c r="J2456" s="20" t="s">
        <v>3160</v>
      </c>
      <c r="K2456" s="20" t="s">
        <v>10013</v>
      </c>
      <c r="L2456" s="3">
        <v>18</v>
      </c>
      <c r="M2456" s="3" t="s">
        <v>10101</v>
      </c>
      <c r="N2456" s="3" t="str">
        <f>HYPERLINK("http://ictvonline.org/taxonomyHistory.asp?taxnode_id=20162455","ICTVonline=20162455")</f>
        <v>ICTVonline=20162455</v>
      </c>
    </row>
    <row r="2457" spans="1:14" x14ac:dyDescent="0.15">
      <c r="A2457" s="3">
        <v>2456</v>
      </c>
      <c r="B2457" s="1" t="s">
        <v>926</v>
      </c>
      <c r="C2457" s="1" t="s">
        <v>1162</v>
      </c>
      <c r="E2457" s="1" t="s">
        <v>1163</v>
      </c>
      <c r="F2457" s="1" t="s">
        <v>1199</v>
      </c>
      <c r="G2457" s="3">
        <v>0</v>
      </c>
      <c r="J2457" s="20" t="s">
        <v>3160</v>
      </c>
      <c r="K2457" s="20" t="s">
        <v>10216</v>
      </c>
      <c r="L2457" s="3">
        <v>18</v>
      </c>
      <c r="M2457" s="3" t="s">
        <v>10101</v>
      </c>
      <c r="N2457" s="3" t="str">
        <f>HYPERLINK("http://ictvonline.org/taxonomyHistory.asp?taxnode_id=20162456","ICTVonline=20162456")</f>
        <v>ICTVonline=20162456</v>
      </c>
    </row>
    <row r="2458" spans="1:14" x14ac:dyDescent="0.15">
      <c r="A2458" s="3">
        <v>2457</v>
      </c>
      <c r="B2458" s="1" t="s">
        <v>926</v>
      </c>
      <c r="C2458" s="1" t="s">
        <v>1162</v>
      </c>
      <c r="E2458" s="1" t="s">
        <v>1163</v>
      </c>
      <c r="F2458" s="1" t="s">
        <v>1200</v>
      </c>
      <c r="G2458" s="3">
        <v>0</v>
      </c>
      <c r="J2458" s="20" t="s">
        <v>3160</v>
      </c>
      <c r="K2458" s="20" t="s">
        <v>10016</v>
      </c>
      <c r="L2458" s="3">
        <v>9</v>
      </c>
      <c r="M2458" s="3" t="s">
        <v>10280</v>
      </c>
      <c r="N2458" s="3" t="str">
        <f>HYPERLINK("http://ictvonline.org/taxonomyHistory.asp?taxnode_id=20162457","ICTVonline=20162457")</f>
        <v>ICTVonline=20162457</v>
      </c>
    </row>
    <row r="2459" spans="1:14" x14ac:dyDescent="0.15">
      <c r="A2459" s="3">
        <v>2458</v>
      </c>
      <c r="B2459" s="1" t="s">
        <v>926</v>
      </c>
      <c r="C2459" s="1" t="s">
        <v>1162</v>
      </c>
      <c r="E2459" s="1" t="s">
        <v>1163</v>
      </c>
      <c r="F2459" s="1" t="s">
        <v>1201</v>
      </c>
      <c r="G2459" s="3">
        <v>0</v>
      </c>
      <c r="J2459" s="20" t="s">
        <v>3160</v>
      </c>
      <c r="K2459" s="20" t="s">
        <v>10016</v>
      </c>
      <c r="L2459" s="3">
        <v>9</v>
      </c>
      <c r="M2459" s="3" t="s">
        <v>10280</v>
      </c>
      <c r="N2459" s="3" t="str">
        <f>HYPERLINK("http://ictvonline.org/taxonomyHistory.asp?taxnode_id=20162458","ICTVonline=20162458")</f>
        <v>ICTVonline=20162458</v>
      </c>
    </row>
    <row r="2460" spans="1:14" x14ac:dyDescent="0.15">
      <c r="A2460" s="3">
        <v>2459</v>
      </c>
      <c r="B2460" s="1" t="s">
        <v>926</v>
      </c>
      <c r="C2460" s="1" t="s">
        <v>1162</v>
      </c>
      <c r="E2460" s="1" t="s">
        <v>1163</v>
      </c>
      <c r="F2460" s="1" t="s">
        <v>730</v>
      </c>
      <c r="G2460" s="3">
        <v>0</v>
      </c>
      <c r="J2460" s="20" t="s">
        <v>3160</v>
      </c>
      <c r="K2460" s="20" t="s">
        <v>10016</v>
      </c>
      <c r="L2460" s="3">
        <v>9</v>
      </c>
      <c r="M2460" s="3" t="s">
        <v>10280</v>
      </c>
      <c r="N2460" s="3" t="str">
        <f>HYPERLINK("http://ictvonline.org/taxonomyHistory.asp?taxnode_id=20162459","ICTVonline=20162459")</f>
        <v>ICTVonline=20162459</v>
      </c>
    </row>
    <row r="2461" spans="1:14" x14ac:dyDescent="0.15">
      <c r="A2461" s="3">
        <v>2460</v>
      </c>
      <c r="B2461" s="1" t="s">
        <v>926</v>
      </c>
      <c r="C2461" s="1" t="s">
        <v>1162</v>
      </c>
      <c r="E2461" s="1" t="s">
        <v>1163</v>
      </c>
      <c r="F2461" s="1" t="s">
        <v>731</v>
      </c>
      <c r="G2461" s="3">
        <v>0</v>
      </c>
      <c r="J2461" s="20" t="s">
        <v>3160</v>
      </c>
      <c r="K2461" s="20" t="s">
        <v>10016</v>
      </c>
      <c r="L2461" s="3">
        <v>9</v>
      </c>
      <c r="M2461" s="3" t="s">
        <v>10280</v>
      </c>
      <c r="N2461" s="3" t="str">
        <f>HYPERLINK("http://ictvonline.org/taxonomyHistory.asp?taxnode_id=20162460","ICTVonline=20162460")</f>
        <v>ICTVonline=20162460</v>
      </c>
    </row>
    <row r="2462" spans="1:14" x14ac:dyDescent="0.15">
      <c r="A2462" s="3">
        <v>2461</v>
      </c>
      <c r="B2462" s="1" t="s">
        <v>926</v>
      </c>
      <c r="C2462" s="1" t="s">
        <v>1162</v>
      </c>
      <c r="E2462" s="1" t="s">
        <v>1163</v>
      </c>
      <c r="F2462" s="1" t="s">
        <v>732</v>
      </c>
      <c r="G2462" s="3">
        <v>0</v>
      </c>
      <c r="J2462" s="20" t="s">
        <v>3160</v>
      </c>
      <c r="K2462" s="20" t="s">
        <v>10016</v>
      </c>
      <c r="L2462" s="3">
        <v>9</v>
      </c>
      <c r="M2462" s="3" t="s">
        <v>10280</v>
      </c>
      <c r="N2462" s="3" t="str">
        <f>HYPERLINK("http://ictvonline.org/taxonomyHistory.asp?taxnode_id=20162461","ICTVonline=20162461")</f>
        <v>ICTVonline=20162461</v>
      </c>
    </row>
    <row r="2463" spans="1:14" x14ac:dyDescent="0.15">
      <c r="A2463" s="3">
        <v>2462</v>
      </c>
      <c r="B2463" s="1" t="s">
        <v>926</v>
      </c>
      <c r="C2463" s="1" t="s">
        <v>1162</v>
      </c>
      <c r="E2463" s="1" t="s">
        <v>1163</v>
      </c>
      <c r="F2463" s="1" t="s">
        <v>733</v>
      </c>
      <c r="G2463" s="3">
        <v>0</v>
      </c>
      <c r="J2463" s="20" t="s">
        <v>3160</v>
      </c>
      <c r="K2463" s="20" t="s">
        <v>10216</v>
      </c>
      <c r="L2463" s="3">
        <v>18</v>
      </c>
      <c r="M2463" s="3" t="s">
        <v>10101</v>
      </c>
      <c r="N2463" s="3" t="str">
        <f>HYPERLINK("http://ictvonline.org/taxonomyHistory.asp?taxnode_id=20162462","ICTVonline=20162462")</f>
        <v>ICTVonline=20162462</v>
      </c>
    </row>
    <row r="2464" spans="1:14" x14ac:dyDescent="0.15">
      <c r="A2464" s="3">
        <v>2463</v>
      </c>
      <c r="B2464" s="1" t="s">
        <v>926</v>
      </c>
      <c r="C2464" s="1" t="s">
        <v>1162</v>
      </c>
      <c r="E2464" s="1" t="s">
        <v>1163</v>
      </c>
      <c r="F2464" s="1" t="s">
        <v>734</v>
      </c>
      <c r="G2464" s="3">
        <v>0</v>
      </c>
      <c r="J2464" s="20" t="s">
        <v>3160</v>
      </c>
      <c r="K2464" s="20" t="s">
        <v>10016</v>
      </c>
      <c r="L2464" s="3">
        <v>9</v>
      </c>
      <c r="M2464" s="3" t="s">
        <v>10280</v>
      </c>
      <c r="N2464" s="3" t="str">
        <f>HYPERLINK("http://ictvonline.org/taxonomyHistory.asp?taxnode_id=20162463","ICTVonline=20162463")</f>
        <v>ICTVonline=20162463</v>
      </c>
    </row>
    <row r="2465" spans="1:14" x14ac:dyDescent="0.15">
      <c r="A2465" s="3">
        <v>2464</v>
      </c>
      <c r="B2465" s="1" t="s">
        <v>926</v>
      </c>
      <c r="C2465" s="1" t="s">
        <v>1162</v>
      </c>
      <c r="E2465" s="1" t="s">
        <v>1163</v>
      </c>
      <c r="F2465" s="1" t="s">
        <v>735</v>
      </c>
      <c r="G2465" s="3">
        <v>0</v>
      </c>
      <c r="J2465" s="20" t="s">
        <v>3160</v>
      </c>
      <c r="K2465" s="20" t="s">
        <v>10021</v>
      </c>
      <c r="L2465" s="3">
        <v>14</v>
      </c>
      <c r="M2465" s="3" t="s">
        <v>10234</v>
      </c>
      <c r="N2465" s="3" t="str">
        <f>HYPERLINK("http://ictvonline.org/taxonomyHistory.asp?taxnode_id=20162464","ICTVonline=20162464")</f>
        <v>ICTVonline=20162464</v>
      </c>
    </row>
    <row r="2466" spans="1:14" x14ac:dyDescent="0.15">
      <c r="A2466" s="3">
        <v>2465</v>
      </c>
      <c r="B2466" s="1" t="s">
        <v>926</v>
      </c>
      <c r="C2466" s="1" t="s">
        <v>1162</v>
      </c>
      <c r="E2466" s="1" t="s">
        <v>1163</v>
      </c>
      <c r="F2466" s="1" t="s">
        <v>736</v>
      </c>
      <c r="G2466" s="3">
        <v>0</v>
      </c>
      <c r="J2466" s="20" t="s">
        <v>3160</v>
      </c>
      <c r="K2466" s="20" t="s">
        <v>10013</v>
      </c>
      <c r="L2466" s="3">
        <v>12</v>
      </c>
      <c r="M2466" s="3" t="s">
        <v>10281</v>
      </c>
      <c r="N2466" s="3" t="str">
        <f>HYPERLINK("http://ictvonline.org/taxonomyHistory.asp?taxnode_id=20162465","ICTVonline=20162465")</f>
        <v>ICTVonline=20162465</v>
      </c>
    </row>
    <row r="2467" spans="1:14" x14ac:dyDescent="0.15">
      <c r="A2467" s="3">
        <v>2466</v>
      </c>
      <c r="B2467" s="1" t="s">
        <v>926</v>
      </c>
      <c r="C2467" s="1" t="s">
        <v>1162</v>
      </c>
      <c r="E2467" s="1" t="s">
        <v>1163</v>
      </c>
      <c r="F2467" s="1" t="s">
        <v>1207</v>
      </c>
      <c r="G2467" s="3">
        <v>0</v>
      </c>
      <c r="J2467" s="20" t="s">
        <v>3160</v>
      </c>
      <c r="K2467" s="20" t="s">
        <v>10016</v>
      </c>
      <c r="L2467" s="3">
        <v>9</v>
      </c>
      <c r="M2467" s="3" t="s">
        <v>10280</v>
      </c>
      <c r="N2467" s="3" t="str">
        <f>HYPERLINK("http://ictvonline.org/taxonomyHistory.asp?taxnode_id=20162466","ICTVonline=20162466")</f>
        <v>ICTVonline=20162466</v>
      </c>
    </row>
    <row r="2468" spans="1:14" x14ac:dyDescent="0.15">
      <c r="A2468" s="3">
        <v>2467</v>
      </c>
      <c r="B2468" s="1" t="s">
        <v>926</v>
      </c>
      <c r="C2468" s="1" t="s">
        <v>1162</v>
      </c>
      <c r="E2468" s="1" t="s">
        <v>1163</v>
      </c>
      <c r="F2468" s="1" t="s">
        <v>1208</v>
      </c>
      <c r="G2468" s="3">
        <v>0</v>
      </c>
      <c r="J2468" s="20" t="s">
        <v>3160</v>
      </c>
      <c r="K2468" s="20" t="s">
        <v>10013</v>
      </c>
      <c r="L2468" s="3">
        <v>18</v>
      </c>
      <c r="M2468" s="3" t="s">
        <v>10101</v>
      </c>
      <c r="N2468" s="3" t="str">
        <f>HYPERLINK("http://ictvonline.org/taxonomyHistory.asp?taxnode_id=20162467","ICTVonline=20162467")</f>
        <v>ICTVonline=20162467</v>
      </c>
    </row>
    <row r="2469" spans="1:14" x14ac:dyDescent="0.15">
      <c r="A2469" s="3">
        <v>2468</v>
      </c>
      <c r="B2469" s="1" t="s">
        <v>926</v>
      </c>
      <c r="C2469" s="1" t="s">
        <v>1162</v>
      </c>
      <c r="E2469" s="1" t="s">
        <v>1163</v>
      </c>
      <c r="F2469" s="1" t="s">
        <v>6477</v>
      </c>
      <c r="G2469" s="3">
        <v>0</v>
      </c>
      <c r="J2469" s="20" t="s">
        <v>3160</v>
      </c>
      <c r="K2469" s="20" t="s">
        <v>10021</v>
      </c>
      <c r="L2469" s="3">
        <v>12</v>
      </c>
      <c r="M2469" s="3" t="s">
        <v>10281</v>
      </c>
      <c r="N2469" s="3" t="str">
        <f>HYPERLINK("http://ictvonline.org/taxonomyHistory.asp?taxnode_id=20162468","ICTVonline=20162468")</f>
        <v>ICTVonline=20162468</v>
      </c>
    </row>
    <row r="2470" spans="1:14" x14ac:dyDescent="0.15">
      <c r="A2470" s="3">
        <v>2469</v>
      </c>
      <c r="B2470" s="1" t="s">
        <v>926</v>
      </c>
      <c r="C2470" s="1" t="s">
        <v>1162</v>
      </c>
      <c r="E2470" s="1" t="s">
        <v>1163</v>
      </c>
      <c r="F2470" s="1" t="s">
        <v>1209</v>
      </c>
      <c r="G2470" s="3">
        <v>0</v>
      </c>
      <c r="J2470" s="20" t="s">
        <v>3160</v>
      </c>
      <c r="K2470" s="20" t="s">
        <v>10016</v>
      </c>
      <c r="L2470" s="3">
        <v>9</v>
      </c>
      <c r="M2470" s="3" t="s">
        <v>10280</v>
      </c>
      <c r="N2470" s="3" t="str">
        <f>HYPERLINK("http://ictvonline.org/taxonomyHistory.asp?taxnode_id=20162469","ICTVonline=20162469")</f>
        <v>ICTVonline=20162469</v>
      </c>
    </row>
    <row r="2471" spans="1:14" x14ac:dyDescent="0.15">
      <c r="A2471" s="3">
        <v>2470</v>
      </c>
      <c r="B2471" s="1" t="s">
        <v>926</v>
      </c>
      <c r="C2471" s="1" t="s">
        <v>1162</v>
      </c>
      <c r="E2471" s="1" t="s">
        <v>1163</v>
      </c>
      <c r="F2471" s="1" t="s">
        <v>1210</v>
      </c>
      <c r="G2471" s="3">
        <v>0</v>
      </c>
      <c r="J2471" s="20" t="s">
        <v>3160</v>
      </c>
      <c r="K2471" s="20" t="s">
        <v>10016</v>
      </c>
      <c r="L2471" s="3">
        <v>9</v>
      </c>
      <c r="M2471" s="3" t="s">
        <v>10280</v>
      </c>
      <c r="N2471" s="3" t="str">
        <f>HYPERLINK("http://ictvonline.org/taxonomyHistory.asp?taxnode_id=20162470","ICTVonline=20162470")</f>
        <v>ICTVonline=20162470</v>
      </c>
    </row>
    <row r="2472" spans="1:14" x14ac:dyDescent="0.15">
      <c r="A2472" s="3">
        <v>2471</v>
      </c>
      <c r="B2472" s="1" t="s">
        <v>926</v>
      </c>
      <c r="C2472" s="1" t="s">
        <v>1162</v>
      </c>
      <c r="E2472" s="1" t="s">
        <v>1163</v>
      </c>
      <c r="F2472" s="1" t="s">
        <v>1211</v>
      </c>
      <c r="G2472" s="3">
        <v>0</v>
      </c>
      <c r="J2472" s="20" t="s">
        <v>3160</v>
      </c>
      <c r="K2472" s="20" t="s">
        <v>10016</v>
      </c>
      <c r="L2472" s="3">
        <v>9</v>
      </c>
      <c r="M2472" s="3" t="s">
        <v>10280</v>
      </c>
      <c r="N2472" s="3" t="str">
        <f>HYPERLINK("http://ictvonline.org/taxonomyHistory.asp?taxnode_id=20162471","ICTVonline=20162471")</f>
        <v>ICTVonline=20162471</v>
      </c>
    </row>
    <row r="2473" spans="1:14" x14ac:dyDescent="0.15">
      <c r="A2473" s="3">
        <v>2472</v>
      </c>
      <c r="B2473" s="1" t="s">
        <v>926</v>
      </c>
      <c r="C2473" s="1" t="s">
        <v>1162</v>
      </c>
      <c r="E2473" s="1" t="s">
        <v>1163</v>
      </c>
      <c r="F2473" s="1" t="s">
        <v>1212</v>
      </c>
      <c r="G2473" s="3">
        <v>0</v>
      </c>
      <c r="J2473" s="20" t="s">
        <v>3160</v>
      </c>
      <c r="K2473" s="20" t="s">
        <v>10016</v>
      </c>
      <c r="L2473" s="3">
        <v>9</v>
      </c>
      <c r="M2473" s="3" t="s">
        <v>10280</v>
      </c>
      <c r="N2473" s="3" t="str">
        <f>HYPERLINK("http://ictvonline.org/taxonomyHistory.asp?taxnode_id=20162472","ICTVonline=20162472")</f>
        <v>ICTVonline=20162472</v>
      </c>
    </row>
    <row r="2474" spans="1:14" x14ac:dyDescent="0.15">
      <c r="A2474" s="3">
        <v>2473</v>
      </c>
      <c r="B2474" s="1" t="s">
        <v>926</v>
      </c>
      <c r="C2474" s="1" t="s">
        <v>1162</v>
      </c>
      <c r="E2474" s="1" t="s">
        <v>1163</v>
      </c>
      <c r="F2474" s="1" t="s">
        <v>1213</v>
      </c>
      <c r="G2474" s="3">
        <v>0</v>
      </c>
      <c r="J2474" s="20" t="s">
        <v>3160</v>
      </c>
      <c r="K2474" s="20" t="s">
        <v>10016</v>
      </c>
      <c r="L2474" s="3">
        <v>9</v>
      </c>
      <c r="M2474" s="3" t="s">
        <v>10280</v>
      </c>
      <c r="N2474" s="3" t="str">
        <f>HYPERLINK("http://ictvonline.org/taxonomyHistory.asp?taxnode_id=20162473","ICTVonline=20162473")</f>
        <v>ICTVonline=20162473</v>
      </c>
    </row>
    <row r="2475" spans="1:14" x14ac:dyDescent="0.15">
      <c r="A2475" s="3">
        <v>2474</v>
      </c>
      <c r="B2475" s="1" t="s">
        <v>926</v>
      </c>
      <c r="C2475" s="1" t="s">
        <v>1162</v>
      </c>
      <c r="E2475" s="1" t="s">
        <v>1163</v>
      </c>
      <c r="F2475" s="1" t="s">
        <v>1214</v>
      </c>
      <c r="G2475" s="3">
        <v>0</v>
      </c>
      <c r="J2475" s="20" t="s">
        <v>3160</v>
      </c>
      <c r="K2475" s="20" t="s">
        <v>10013</v>
      </c>
      <c r="L2475" s="3">
        <v>18</v>
      </c>
      <c r="M2475" s="3" t="s">
        <v>10101</v>
      </c>
      <c r="N2475" s="3" t="str">
        <f>HYPERLINK("http://ictvonline.org/taxonomyHistory.asp?taxnode_id=20162474","ICTVonline=20162474")</f>
        <v>ICTVonline=20162474</v>
      </c>
    </row>
    <row r="2476" spans="1:14" x14ac:dyDescent="0.15">
      <c r="A2476" s="3">
        <v>2475</v>
      </c>
      <c r="B2476" s="1" t="s">
        <v>926</v>
      </c>
      <c r="C2476" s="1" t="s">
        <v>1162</v>
      </c>
      <c r="E2476" s="1" t="s">
        <v>1163</v>
      </c>
      <c r="F2476" s="1" t="s">
        <v>1215</v>
      </c>
      <c r="G2476" s="3">
        <v>0</v>
      </c>
      <c r="J2476" s="20" t="s">
        <v>3160</v>
      </c>
      <c r="K2476" s="20" t="s">
        <v>10216</v>
      </c>
      <c r="L2476" s="3">
        <v>18</v>
      </c>
      <c r="M2476" s="3" t="s">
        <v>10101</v>
      </c>
      <c r="N2476" s="3" t="str">
        <f>HYPERLINK("http://ictvonline.org/taxonomyHistory.asp?taxnode_id=20162475","ICTVonline=20162475")</f>
        <v>ICTVonline=20162475</v>
      </c>
    </row>
    <row r="2477" spans="1:14" x14ac:dyDescent="0.15">
      <c r="A2477" s="3">
        <v>2476</v>
      </c>
      <c r="B2477" s="1" t="s">
        <v>926</v>
      </c>
      <c r="C2477" s="1" t="s">
        <v>1162</v>
      </c>
      <c r="E2477" s="1" t="s">
        <v>1163</v>
      </c>
      <c r="F2477" s="1" t="s">
        <v>1216</v>
      </c>
      <c r="G2477" s="3">
        <v>0</v>
      </c>
      <c r="J2477" s="20" t="s">
        <v>3160</v>
      </c>
      <c r="K2477" s="20" t="s">
        <v>10013</v>
      </c>
      <c r="L2477" s="3">
        <v>18</v>
      </c>
      <c r="M2477" s="3" t="s">
        <v>10101</v>
      </c>
      <c r="N2477" s="3" t="str">
        <f>HYPERLINK("http://ictvonline.org/taxonomyHistory.asp?taxnode_id=20162476","ICTVonline=20162476")</f>
        <v>ICTVonline=20162476</v>
      </c>
    </row>
    <row r="2478" spans="1:14" x14ac:dyDescent="0.15">
      <c r="A2478" s="3">
        <v>2477</v>
      </c>
      <c r="B2478" s="1" t="s">
        <v>926</v>
      </c>
      <c r="C2478" s="1" t="s">
        <v>1162</v>
      </c>
      <c r="E2478" s="1" t="s">
        <v>1163</v>
      </c>
      <c r="F2478" s="1" t="s">
        <v>1217</v>
      </c>
      <c r="G2478" s="3">
        <v>1</v>
      </c>
      <c r="J2478" s="20" t="s">
        <v>3160</v>
      </c>
      <c r="K2478" s="20" t="s">
        <v>10016</v>
      </c>
      <c r="L2478" s="3">
        <v>9</v>
      </c>
      <c r="M2478" s="3" t="s">
        <v>10280</v>
      </c>
      <c r="N2478" s="3" t="str">
        <f>HYPERLINK("http://ictvonline.org/taxonomyHistory.asp?taxnode_id=20162477","ICTVonline=20162477")</f>
        <v>ICTVonline=20162477</v>
      </c>
    </row>
    <row r="2479" spans="1:14" x14ac:dyDescent="0.15">
      <c r="A2479" s="3">
        <v>2478</v>
      </c>
      <c r="B2479" s="1" t="s">
        <v>926</v>
      </c>
      <c r="C2479" s="1" t="s">
        <v>1162</v>
      </c>
      <c r="E2479" s="1" t="s">
        <v>1163</v>
      </c>
      <c r="F2479" s="1" t="s">
        <v>1218</v>
      </c>
      <c r="G2479" s="3">
        <v>0</v>
      </c>
      <c r="J2479" s="20" t="s">
        <v>3160</v>
      </c>
      <c r="K2479" s="20" t="s">
        <v>10021</v>
      </c>
      <c r="L2479" s="3">
        <v>18</v>
      </c>
      <c r="M2479" s="3" t="s">
        <v>10101</v>
      </c>
      <c r="N2479" s="3" t="str">
        <f>HYPERLINK("http://ictvonline.org/taxonomyHistory.asp?taxnode_id=20162478","ICTVonline=20162478")</f>
        <v>ICTVonline=20162478</v>
      </c>
    </row>
    <row r="2480" spans="1:14" x14ac:dyDescent="0.15">
      <c r="A2480" s="3">
        <v>2479</v>
      </c>
      <c r="B2480" s="1" t="s">
        <v>926</v>
      </c>
      <c r="C2480" s="1" t="s">
        <v>1162</v>
      </c>
      <c r="E2480" s="1" t="s">
        <v>1163</v>
      </c>
      <c r="F2480" s="1" t="s">
        <v>1219</v>
      </c>
      <c r="G2480" s="3">
        <v>0</v>
      </c>
      <c r="J2480" s="20" t="s">
        <v>3160</v>
      </c>
      <c r="K2480" s="20" t="s">
        <v>10013</v>
      </c>
      <c r="L2480" s="3">
        <v>18</v>
      </c>
      <c r="M2480" s="3" t="s">
        <v>10101</v>
      </c>
      <c r="N2480" s="3" t="str">
        <f>HYPERLINK("http://ictvonline.org/taxonomyHistory.asp?taxnode_id=20162479","ICTVonline=20162479")</f>
        <v>ICTVonline=20162479</v>
      </c>
    </row>
    <row r="2481" spans="1:14" x14ac:dyDescent="0.15">
      <c r="A2481" s="3">
        <v>2480</v>
      </c>
      <c r="B2481" s="1" t="s">
        <v>926</v>
      </c>
      <c r="C2481" s="1" t="s">
        <v>1162</v>
      </c>
      <c r="E2481" s="1" t="s">
        <v>1220</v>
      </c>
      <c r="F2481" s="1" t="s">
        <v>9281</v>
      </c>
      <c r="G2481" s="3">
        <v>0</v>
      </c>
      <c r="H2481" s="20" t="s">
        <v>9282</v>
      </c>
      <c r="I2481" s="20" t="s">
        <v>9283</v>
      </c>
      <c r="J2481" s="20" t="s">
        <v>3160</v>
      </c>
      <c r="K2481" s="20" t="s">
        <v>10013</v>
      </c>
      <c r="L2481" s="3">
        <v>31</v>
      </c>
      <c r="M2481" s="3" t="s">
        <v>9284</v>
      </c>
      <c r="N2481" s="3" t="str">
        <f>HYPERLINK("http://ictvonline.org/taxonomyHistory.asp?taxnode_id=20165283","ICTVonline=20165283")</f>
        <v>ICTVonline=20165283</v>
      </c>
    </row>
    <row r="2482" spans="1:14" x14ac:dyDescent="0.15">
      <c r="A2482" s="3">
        <v>2481</v>
      </c>
      <c r="B2482" s="1" t="s">
        <v>926</v>
      </c>
      <c r="C2482" s="1" t="s">
        <v>1162</v>
      </c>
      <c r="E2482" s="1" t="s">
        <v>1220</v>
      </c>
      <c r="F2482" s="1" t="s">
        <v>9285</v>
      </c>
      <c r="G2482" s="3">
        <v>0</v>
      </c>
      <c r="H2482" s="20" t="s">
        <v>9286</v>
      </c>
      <c r="I2482" s="20" t="s">
        <v>9287</v>
      </c>
      <c r="J2482" s="20" t="s">
        <v>3160</v>
      </c>
      <c r="K2482" s="20" t="s">
        <v>10013</v>
      </c>
      <c r="L2482" s="3">
        <v>31</v>
      </c>
      <c r="M2482" s="3" t="s">
        <v>9284</v>
      </c>
      <c r="N2482" s="3" t="str">
        <f>HYPERLINK("http://ictvonline.org/taxonomyHistory.asp?taxnode_id=20165284","ICTVonline=20165284")</f>
        <v>ICTVonline=20165284</v>
      </c>
    </row>
    <row r="2483" spans="1:14" x14ac:dyDescent="0.15">
      <c r="A2483" s="3">
        <v>2482</v>
      </c>
      <c r="B2483" s="1" t="s">
        <v>926</v>
      </c>
      <c r="C2483" s="1" t="s">
        <v>1162</v>
      </c>
      <c r="E2483" s="1" t="s">
        <v>1220</v>
      </c>
      <c r="F2483" s="1" t="s">
        <v>10552</v>
      </c>
      <c r="G2483" s="3">
        <v>1</v>
      </c>
      <c r="J2483" s="20" t="s">
        <v>3160</v>
      </c>
      <c r="K2483" s="20" t="s">
        <v>10021</v>
      </c>
      <c r="L2483" s="3">
        <v>31</v>
      </c>
      <c r="M2483" s="3" t="s">
        <v>9284</v>
      </c>
      <c r="N2483" s="3" t="str">
        <f>HYPERLINK("http://ictvonline.org/taxonomyHistory.asp?taxnode_id=20162481","ICTVonline=20162481")</f>
        <v>ICTVonline=20162481</v>
      </c>
    </row>
    <row r="2484" spans="1:14" x14ac:dyDescent="0.15">
      <c r="A2484" s="3">
        <v>2483</v>
      </c>
      <c r="B2484" s="1" t="s">
        <v>926</v>
      </c>
      <c r="C2484" s="1" t="s">
        <v>1162</v>
      </c>
      <c r="E2484" s="1" t="s">
        <v>1220</v>
      </c>
      <c r="F2484" s="1" t="s">
        <v>9288</v>
      </c>
      <c r="G2484" s="3">
        <v>0</v>
      </c>
      <c r="H2484" s="20" t="s">
        <v>9289</v>
      </c>
      <c r="I2484" s="20" t="s">
        <v>9290</v>
      </c>
      <c r="J2484" s="20" t="s">
        <v>3160</v>
      </c>
      <c r="K2484" s="20" t="s">
        <v>10013</v>
      </c>
      <c r="L2484" s="3">
        <v>31</v>
      </c>
      <c r="M2484" s="3" t="s">
        <v>9284</v>
      </c>
      <c r="N2484" s="3" t="str">
        <f>HYPERLINK("http://ictvonline.org/taxonomyHistory.asp?taxnode_id=20165285","ICTVonline=20165285")</f>
        <v>ICTVonline=20165285</v>
      </c>
    </row>
    <row r="2485" spans="1:14" x14ac:dyDescent="0.15">
      <c r="A2485" s="3">
        <v>2484</v>
      </c>
      <c r="B2485" s="1" t="s">
        <v>926</v>
      </c>
      <c r="C2485" s="1" t="s">
        <v>1162</v>
      </c>
      <c r="E2485" s="1" t="s">
        <v>1220</v>
      </c>
      <c r="F2485" s="1" t="s">
        <v>9291</v>
      </c>
      <c r="G2485" s="3">
        <v>0</v>
      </c>
      <c r="H2485" s="20" t="s">
        <v>9292</v>
      </c>
      <c r="I2485" s="20" t="s">
        <v>9293</v>
      </c>
      <c r="J2485" s="20" t="s">
        <v>3160</v>
      </c>
      <c r="K2485" s="20" t="s">
        <v>10013</v>
      </c>
      <c r="L2485" s="3">
        <v>31</v>
      </c>
      <c r="M2485" s="3" t="s">
        <v>9284</v>
      </c>
      <c r="N2485" s="3" t="str">
        <f>HYPERLINK("http://ictvonline.org/taxonomyHistory.asp?taxnode_id=20165286","ICTVonline=20165286")</f>
        <v>ICTVonline=20165286</v>
      </c>
    </row>
    <row r="2486" spans="1:14" x14ac:dyDescent="0.15">
      <c r="A2486" s="3">
        <v>2485</v>
      </c>
      <c r="B2486" s="1" t="s">
        <v>926</v>
      </c>
      <c r="C2486" s="1" t="s">
        <v>1162</v>
      </c>
      <c r="E2486" s="1" t="s">
        <v>1220</v>
      </c>
      <c r="F2486" s="1" t="s">
        <v>9294</v>
      </c>
      <c r="G2486" s="3">
        <v>0</v>
      </c>
      <c r="H2486" s="20" t="s">
        <v>9295</v>
      </c>
      <c r="I2486" s="20" t="s">
        <v>9296</v>
      </c>
      <c r="J2486" s="20" t="s">
        <v>3160</v>
      </c>
      <c r="K2486" s="20" t="s">
        <v>10013</v>
      </c>
      <c r="L2486" s="3">
        <v>31</v>
      </c>
      <c r="M2486" s="3" t="s">
        <v>9284</v>
      </c>
      <c r="N2486" s="3" t="str">
        <f>HYPERLINK("http://ictvonline.org/taxonomyHistory.asp?taxnode_id=20165287","ICTVonline=20165287")</f>
        <v>ICTVonline=20165287</v>
      </c>
    </row>
    <row r="2487" spans="1:14" x14ac:dyDescent="0.15">
      <c r="A2487" s="3">
        <v>2486</v>
      </c>
      <c r="B2487" s="1" t="s">
        <v>926</v>
      </c>
      <c r="C2487" s="1" t="s">
        <v>1162</v>
      </c>
      <c r="E2487" s="1" t="s">
        <v>1220</v>
      </c>
      <c r="F2487" s="1" t="s">
        <v>9297</v>
      </c>
      <c r="G2487" s="3">
        <v>0</v>
      </c>
      <c r="H2487" s="20" t="s">
        <v>9298</v>
      </c>
      <c r="I2487" s="20" t="s">
        <v>9299</v>
      </c>
      <c r="J2487" s="20" t="s">
        <v>3160</v>
      </c>
      <c r="K2487" s="20" t="s">
        <v>10013</v>
      </c>
      <c r="L2487" s="3">
        <v>31</v>
      </c>
      <c r="M2487" s="3" t="s">
        <v>9284</v>
      </c>
      <c r="N2487" s="3" t="str">
        <f>HYPERLINK("http://ictvonline.org/taxonomyHistory.asp?taxnode_id=20165288","ICTVonline=20165288")</f>
        <v>ICTVonline=20165288</v>
      </c>
    </row>
    <row r="2488" spans="1:14" x14ac:dyDescent="0.15">
      <c r="A2488" s="3">
        <v>2487</v>
      </c>
      <c r="B2488" s="1" t="s">
        <v>926</v>
      </c>
      <c r="C2488" s="1" t="s">
        <v>1162</v>
      </c>
      <c r="E2488" s="1" t="s">
        <v>1220</v>
      </c>
      <c r="F2488" s="1" t="s">
        <v>9300</v>
      </c>
      <c r="G2488" s="3">
        <v>0</v>
      </c>
      <c r="H2488" s="20" t="s">
        <v>9301</v>
      </c>
      <c r="I2488" s="20" t="s">
        <v>9302</v>
      </c>
      <c r="J2488" s="20" t="s">
        <v>3160</v>
      </c>
      <c r="K2488" s="20" t="s">
        <v>10013</v>
      </c>
      <c r="L2488" s="3">
        <v>31</v>
      </c>
      <c r="M2488" s="3" t="s">
        <v>9284</v>
      </c>
      <c r="N2488" s="3" t="str">
        <f>HYPERLINK("http://ictvonline.org/taxonomyHistory.asp?taxnode_id=20165289","ICTVonline=20165289")</f>
        <v>ICTVonline=20165289</v>
      </c>
    </row>
    <row r="2489" spans="1:14" x14ac:dyDescent="0.15">
      <c r="A2489" s="3">
        <v>2488</v>
      </c>
      <c r="B2489" s="1" t="s">
        <v>926</v>
      </c>
      <c r="C2489" s="1" t="s">
        <v>1162</v>
      </c>
      <c r="E2489" s="1" t="s">
        <v>1220</v>
      </c>
      <c r="F2489" s="1" t="s">
        <v>9303</v>
      </c>
      <c r="G2489" s="3">
        <v>0</v>
      </c>
      <c r="H2489" s="20" t="s">
        <v>9304</v>
      </c>
      <c r="I2489" s="20" t="s">
        <v>9305</v>
      </c>
      <c r="J2489" s="20" t="s">
        <v>3160</v>
      </c>
      <c r="K2489" s="20" t="s">
        <v>10013</v>
      </c>
      <c r="L2489" s="3">
        <v>31</v>
      </c>
      <c r="M2489" s="3" t="s">
        <v>9284</v>
      </c>
      <c r="N2489" s="3" t="str">
        <f>HYPERLINK("http://ictvonline.org/taxonomyHistory.asp?taxnode_id=20165290","ICTVonline=20165290")</f>
        <v>ICTVonline=20165290</v>
      </c>
    </row>
    <row r="2490" spans="1:14" x14ac:dyDescent="0.15">
      <c r="A2490" s="3">
        <v>2489</v>
      </c>
      <c r="B2490" s="1" t="s">
        <v>926</v>
      </c>
      <c r="C2490" s="1" t="s">
        <v>1162</v>
      </c>
      <c r="E2490" s="1" t="s">
        <v>1220</v>
      </c>
      <c r="F2490" s="1" t="s">
        <v>9306</v>
      </c>
      <c r="G2490" s="3">
        <v>0</v>
      </c>
      <c r="H2490" s="20" t="s">
        <v>9307</v>
      </c>
      <c r="I2490" s="20" t="s">
        <v>9308</v>
      </c>
      <c r="J2490" s="20" t="s">
        <v>3160</v>
      </c>
      <c r="K2490" s="20" t="s">
        <v>10013</v>
      </c>
      <c r="L2490" s="3">
        <v>31</v>
      </c>
      <c r="M2490" s="3" t="s">
        <v>9284</v>
      </c>
      <c r="N2490" s="3" t="str">
        <f>HYPERLINK("http://ictvonline.org/taxonomyHistory.asp?taxnode_id=20165291","ICTVonline=20165291")</f>
        <v>ICTVonline=20165291</v>
      </c>
    </row>
    <row r="2491" spans="1:14" x14ac:dyDescent="0.15">
      <c r="A2491" s="3">
        <v>2490</v>
      </c>
      <c r="B2491" s="1" t="s">
        <v>926</v>
      </c>
      <c r="C2491" s="1" t="s">
        <v>1162</v>
      </c>
      <c r="E2491" s="1" t="s">
        <v>1220</v>
      </c>
      <c r="F2491" s="1" t="s">
        <v>9309</v>
      </c>
      <c r="G2491" s="3">
        <v>0</v>
      </c>
      <c r="H2491" s="20" t="s">
        <v>9310</v>
      </c>
      <c r="I2491" s="20" t="s">
        <v>9311</v>
      </c>
      <c r="J2491" s="20" t="s">
        <v>3160</v>
      </c>
      <c r="K2491" s="20" t="s">
        <v>10013</v>
      </c>
      <c r="L2491" s="3">
        <v>31</v>
      </c>
      <c r="M2491" s="3" t="s">
        <v>9284</v>
      </c>
      <c r="N2491" s="3" t="str">
        <f>HYPERLINK("http://ictvonline.org/taxonomyHistory.asp?taxnode_id=20165292","ICTVonline=20165292")</f>
        <v>ICTVonline=20165292</v>
      </c>
    </row>
    <row r="2492" spans="1:14" x14ac:dyDescent="0.15">
      <c r="A2492" s="3">
        <v>2491</v>
      </c>
      <c r="B2492" s="1" t="s">
        <v>926</v>
      </c>
      <c r="C2492" s="1" t="s">
        <v>1162</v>
      </c>
      <c r="E2492" s="1" t="s">
        <v>1220</v>
      </c>
      <c r="F2492" s="1" t="s">
        <v>9312</v>
      </c>
      <c r="G2492" s="3">
        <v>0</v>
      </c>
      <c r="H2492" s="20" t="s">
        <v>9313</v>
      </c>
      <c r="I2492" s="20" t="s">
        <v>9314</v>
      </c>
      <c r="J2492" s="20" t="s">
        <v>3160</v>
      </c>
      <c r="K2492" s="20" t="s">
        <v>10013</v>
      </c>
      <c r="L2492" s="3">
        <v>31</v>
      </c>
      <c r="M2492" s="3" t="s">
        <v>9284</v>
      </c>
      <c r="N2492" s="3" t="str">
        <f>HYPERLINK("http://ictvonline.org/taxonomyHistory.asp?taxnode_id=20165293","ICTVonline=20165293")</f>
        <v>ICTVonline=20165293</v>
      </c>
    </row>
    <row r="2493" spans="1:14" x14ac:dyDescent="0.15">
      <c r="A2493" s="3">
        <v>2492</v>
      </c>
      <c r="B2493" s="1" t="s">
        <v>926</v>
      </c>
      <c r="C2493" s="1" t="s">
        <v>1162</v>
      </c>
      <c r="E2493" s="1" t="s">
        <v>1220</v>
      </c>
      <c r="F2493" s="1" t="s">
        <v>9315</v>
      </c>
      <c r="G2493" s="3">
        <v>0</v>
      </c>
      <c r="H2493" s="20" t="s">
        <v>9316</v>
      </c>
      <c r="I2493" s="20" t="s">
        <v>9317</v>
      </c>
      <c r="J2493" s="20" t="s">
        <v>3160</v>
      </c>
      <c r="K2493" s="20" t="s">
        <v>10013</v>
      </c>
      <c r="L2493" s="3">
        <v>31</v>
      </c>
      <c r="M2493" s="3" t="s">
        <v>9284</v>
      </c>
      <c r="N2493" s="3" t="str">
        <f>HYPERLINK("http://ictvonline.org/taxonomyHistory.asp?taxnode_id=20165294","ICTVonline=20165294")</f>
        <v>ICTVonline=20165294</v>
      </c>
    </row>
    <row r="2494" spans="1:14" x14ac:dyDescent="0.15">
      <c r="A2494" s="3">
        <v>2493</v>
      </c>
      <c r="B2494" s="1" t="s">
        <v>926</v>
      </c>
      <c r="C2494" s="1" t="s">
        <v>1162</v>
      </c>
      <c r="E2494" s="1" t="s">
        <v>1220</v>
      </c>
      <c r="F2494" s="1" t="s">
        <v>9318</v>
      </c>
      <c r="G2494" s="3">
        <v>0</v>
      </c>
      <c r="H2494" s="20" t="s">
        <v>9319</v>
      </c>
      <c r="I2494" s="20" t="s">
        <v>9320</v>
      </c>
      <c r="J2494" s="20" t="s">
        <v>3160</v>
      </c>
      <c r="K2494" s="20" t="s">
        <v>10013</v>
      </c>
      <c r="L2494" s="3">
        <v>31</v>
      </c>
      <c r="M2494" s="3" t="s">
        <v>9284</v>
      </c>
      <c r="N2494" s="3" t="str">
        <f>HYPERLINK("http://ictvonline.org/taxonomyHistory.asp?taxnode_id=20165295","ICTVonline=20165295")</f>
        <v>ICTVonline=20165295</v>
      </c>
    </row>
    <row r="2495" spans="1:14" x14ac:dyDescent="0.15">
      <c r="A2495" s="3">
        <v>2494</v>
      </c>
      <c r="B2495" s="1" t="s">
        <v>926</v>
      </c>
      <c r="C2495" s="1" t="s">
        <v>1162</v>
      </c>
      <c r="E2495" s="1" t="s">
        <v>2314</v>
      </c>
      <c r="F2495" s="1" t="s">
        <v>2315</v>
      </c>
      <c r="G2495" s="3">
        <v>1</v>
      </c>
      <c r="J2495" s="20" t="s">
        <v>3160</v>
      </c>
      <c r="K2495" s="20" t="s">
        <v>10072</v>
      </c>
      <c r="L2495" s="3">
        <v>27</v>
      </c>
      <c r="M2495" s="3" t="s">
        <v>10282</v>
      </c>
      <c r="N2495" s="3" t="str">
        <f>HYPERLINK("http://ictvonline.org/taxonomyHistory.asp?taxnode_id=20162483","ICTVonline=20162483")</f>
        <v>ICTVonline=20162483</v>
      </c>
    </row>
    <row r="2496" spans="1:14" x14ac:dyDescent="0.15">
      <c r="A2496" s="3">
        <v>2495</v>
      </c>
      <c r="B2496" s="1" t="s">
        <v>926</v>
      </c>
      <c r="C2496" s="1" t="s">
        <v>1162</v>
      </c>
      <c r="E2496" s="1" t="s">
        <v>2314</v>
      </c>
      <c r="F2496" s="1" t="s">
        <v>2316</v>
      </c>
      <c r="G2496" s="3">
        <v>0</v>
      </c>
      <c r="J2496" s="20" t="s">
        <v>3160</v>
      </c>
      <c r="K2496" s="20" t="s">
        <v>10013</v>
      </c>
      <c r="L2496" s="3">
        <v>27</v>
      </c>
      <c r="M2496" s="3" t="s">
        <v>10282</v>
      </c>
      <c r="N2496" s="3" t="str">
        <f>HYPERLINK("http://ictvonline.org/taxonomyHistory.asp?taxnode_id=20162484","ICTVonline=20162484")</f>
        <v>ICTVonline=20162484</v>
      </c>
    </row>
    <row r="2497" spans="1:14" x14ac:dyDescent="0.15">
      <c r="A2497" s="3">
        <v>2496</v>
      </c>
      <c r="B2497" s="1" t="s">
        <v>926</v>
      </c>
      <c r="C2497" s="1" t="s">
        <v>1162</v>
      </c>
      <c r="E2497" s="1" t="s">
        <v>2314</v>
      </c>
      <c r="F2497" s="1" t="s">
        <v>9321</v>
      </c>
      <c r="G2497" s="3">
        <v>0</v>
      </c>
      <c r="H2497" s="20" t="s">
        <v>9322</v>
      </c>
      <c r="I2497" s="20" t="s">
        <v>9323</v>
      </c>
      <c r="J2497" s="20" t="s">
        <v>3160</v>
      </c>
      <c r="K2497" s="20" t="s">
        <v>10013</v>
      </c>
      <c r="L2497" s="3">
        <v>31</v>
      </c>
      <c r="M2497" s="3" t="s">
        <v>9324</v>
      </c>
      <c r="N2497" s="3" t="str">
        <f>HYPERLINK("http://ictvonline.org/taxonomyHistory.asp?taxnode_id=20165296","ICTVonline=20165296")</f>
        <v>ICTVonline=20165296</v>
      </c>
    </row>
    <row r="2498" spans="1:14" x14ac:dyDescent="0.15">
      <c r="A2498" s="3">
        <v>2497</v>
      </c>
      <c r="B2498" s="1" t="s">
        <v>926</v>
      </c>
      <c r="C2498" s="1" t="s">
        <v>1162</v>
      </c>
      <c r="E2498" s="1" t="s">
        <v>2314</v>
      </c>
      <c r="F2498" s="1" t="s">
        <v>9325</v>
      </c>
      <c r="G2498" s="3">
        <v>0</v>
      </c>
      <c r="H2498" s="20" t="s">
        <v>9326</v>
      </c>
      <c r="I2498" s="20" t="s">
        <v>9327</v>
      </c>
      <c r="J2498" s="20" t="s">
        <v>3160</v>
      </c>
      <c r="K2498" s="20" t="s">
        <v>10013</v>
      </c>
      <c r="L2498" s="3">
        <v>31</v>
      </c>
      <c r="M2498" s="3" t="s">
        <v>9324</v>
      </c>
      <c r="N2498" s="3" t="str">
        <f>HYPERLINK("http://ictvonline.org/taxonomyHistory.asp?taxnode_id=20165297","ICTVonline=20165297")</f>
        <v>ICTVonline=20165297</v>
      </c>
    </row>
    <row r="2499" spans="1:14" x14ac:dyDescent="0.15">
      <c r="A2499" s="3">
        <v>2498</v>
      </c>
      <c r="B2499" s="1" t="s">
        <v>926</v>
      </c>
      <c r="C2499" s="1" t="s">
        <v>1162</v>
      </c>
      <c r="E2499" s="1" t="s">
        <v>2314</v>
      </c>
      <c r="F2499" s="1" t="s">
        <v>9328</v>
      </c>
      <c r="G2499" s="3">
        <v>0</v>
      </c>
      <c r="H2499" s="20" t="s">
        <v>9329</v>
      </c>
      <c r="I2499" s="20" t="s">
        <v>9330</v>
      </c>
      <c r="J2499" s="20" t="s">
        <v>3160</v>
      </c>
      <c r="K2499" s="20" t="s">
        <v>10013</v>
      </c>
      <c r="L2499" s="3">
        <v>31</v>
      </c>
      <c r="M2499" s="3" t="s">
        <v>9324</v>
      </c>
      <c r="N2499" s="3" t="str">
        <f>HYPERLINK("http://ictvonline.org/taxonomyHistory.asp?taxnode_id=20165298","ICTVonline=20165298")</f>
        <v>ICTVonline=20165298</v>
      </c>
    </row>
    <row r="2500" spans="1:14" x14ac:dyDescent="0.15">
      <c r="A2500" s="3">
        <v>2499</v>
      </c>
      <c r="B2500" s="1" t="s">
        <v>926</v>
      </c>
      <c r="C2500" s="1" t="s">
        <v>1162</v>
      </c>
      <c r="E2500" s="1" t="s">
        <v>2314</v>
      </c>
      <c r="F2500" s="1" t="s">
        <v>9331</v>
      </c>
      <c r="G2500" s="3">
        <v>0</v>
      </c>
      <c r="H2500" s="20" t="s">
        <v>9332</v>
      </c>
      <c r="I2500" s="20" t="s">
        <v>9333</v>
      </c>
      <c r="J2500" s="20" t="s">
        <v>3160</v>
      </c>
      <c r="K2500" s="20" t="s">
        <v>10013</v>
      </c>
      <c r="L2500" s="3">
        <v>31</v>
      </c>
      <c r="M2500" s="3" t="s">
        <v>9324</v>
      </c>
      <c r="N2500" s="3" t="str">
        <f>HYPERLINK("http://ictvonline.org/taxonomyHistory.asp?taxnode_id=20165299","ICTVonline=20165299")</f>
        <v>ICTVonline=20165299</v>
      </c>
    </row>
    <row r="2501" spans="1:14" x14ac:dyDescent="0.15">
      <c r="A2501" s="3">
        <v>2500</v>
      </c>
      <c r="B2501" s="1" t="s">
        <v>926</v>
      </c>
      <c r="C2501" s="1" t="s">
        <v>1162</v>
      </c>
      <c r="E2501" s="1" t="s">
        <v>2314</v>
      </c>
      <c r="F2501" s="1" t="s">
        <v>9334</v>
      </c>
      <c r="G2501" s="3">
        <v>0</v>
      </c>
      <c r="H2501" s="20" t="s">
        <v>9335</v>
      </c>
      <c r="I2501" s="20" t="s">
        <v>9336</v>
      </c>
      <c r="J2501" s="20" t="s">
        <v>3160</v>
      </c>
      <c r="K2501" s="20" t="s">
        <v>10013</v>
      </c>
      <c r="L2501" s="3">
        <v>31</v>
      </c>
      <c r="M2501" s="3" t="s">
        <v>9324</v>
      </c>
      <c r="N2501" s="3" t="str">
        <f>HYPERLINK("http://ictvonline.org/taxonomyHistory.asp?taxnode_id=20165300","ICTVonline=20165300")</f>
        <v>ICTVonline=20165300</v>
      </c>
    </row>
    <row r="2502" spans="1:14" x14ac:dyDescent="0.15">
      <c r="A2502" s="3">
        <v>2501</v>
      </c>
      <c r="B2502" s="1" t="s">
        <v>926</v>
      </c>
      <c r="C2502" s="1" t="s">
        <v>1162</v>
      </c>
      <c r="E2502" s="1" t="s">
        <v>2314</v>
      </c>
      <c r="F2502" s="1" t="s">
        <v>9337</v>
      </c>
      <c r="G2502" s="3">
        <v>0</v>
      </c>
      <c r="H2502" s="20" t="s">
        <v>9338</v>
      </c>
      <c r="I2502" s="20" t="s">
        <v>9339</v>
      </c>
      <c r="J2502" s="20" t="s">
        <v>3160</v>
      </c>
      <c r="K2502" s="20" t="s">
        <v>10013</v>
      </c>
      <c r="L2502" s="3">
        <v>31</v>
      </c>
      <c r="M2502" s="3" t="s">
        <v>9324</v>
      </c>
      <c r="N2502" s="3" t="str">
        <f>HYPERLINK("http://ictvonline.org/taxonomyHistory.asp?taxnode_id=20165301","ICTVonline=20165301")</f>
        <v>ICTVonline=20165301</v>
      </c>
    </row>
    <row r="2503" spans="1:14" x14ac:dyDescent="0.15">
      <c r="A2503" s="3">
        <v>2502</v>
      </c>
      <c r="B2503" s="1" t="s">
        <v>926</v>
      </c>
      <c r="C2503" s="1" t="s">
        <v>1162</v>
      </c>
      <c r="E2503" s="1" t="s">
        <v>2314</v>
      </c>
      <c r="F2503" s="1" t="s">
        <v>9340</v>
      </c>
      <c r="G2503" s="3">
        <v>0</v>
      </c>
      <c r="H2503" s="20" t="s">
        <v>9341</v>
      </c>
      <c r="I2503" s="20" t="s">
        <v>9342</v>
      </c>
      <c r="J2503" s="20" t="s">
        <v>3160</v>
      </c>
      <c r="K2503" s="20" t="s">
        <v>10013</v>
      </c>
      <c r="L2503" s="3">
        <v>31</v>
      </c>
      <c r="M2503" s="3" t="s">
        <v>9324</v>
      </c>
      <c r="N2503" s="3" t="str">
        <f>HYPERLINK("http://ictvonline.org/taxonomyHistory.asp?taxnode_id=20165302","ICTVonline=20165302")</f>
        <v>ICTVonline=20165302</v>
      </c>
    </row>
    <row r="2504" spans="1:14" x14ac:dyDescent="0.15">
      <c r="A2504" s="3">
        <v>2503</v>
      </c>
      <c r="B2504" s="1" t="s">
        <v>926</v>
      </c>
      <c r="C2504" s="1" t="s">
        <v>1162</v>
      </c>
      <c r="E2504" s="1" t="s">
        <v>2314</v>
      </c>
      <c r="F2504" s="1" t="s">
        <v>9343</v>
      </c>
      <c r="G2504" s="3">
        <v>0</v>
      </c>
      <c r="H2504" s="20" t="s">
        <v>9344</v>
      </c>
      <c r="I2504" s="20" t="s">
        <v>9345</v>
      </c>
      <c r="J2504" s="20" t="s">
        <v>3160</v>
      </c>
      <c r="K2504" s="20" t="s">
        <v>10013</v>
      </c>
      <c r="L2504" s="3">
        <v>31</v>
      </c>
      <c r="M2504" s="3" t="s">
        <v>9324</v>
      </c>
      <c r="N2504" s="3" t="str">
        <f>HYPERLINK("http://ictvonline.org/taxonomyHistory.asp?taxnode_id=20165303","ICTVonline=20165303")</f>
        <v>ICTVonline=20165303</v>
      </c>
    </row>
    <row r="2505" spans="1:14" x14ac:dyDescent="0.15">
      <c r="A2505" s="3">
        <v>2504</v>
      </c>
      <c r="B2505" s="1" t="s">
        <v>926</v>
      </c>
      <c r="C2505" s="1" t="s">
        <v>1162</v>
      </c>
      <c r="E2505" s="1" t="s">
        <v>2314</v>
      </c>
      <c r="F2505" s="1" t="s">
        <v>9346</v>
      </c>
      <c r="G2505" s="3">
        <v>0</v>
      </c>
      <c r="H2505" s="20" t="s">
        <v>9347</v>
      </c>
      <c r="I2505" s="20" t="s">
        <v>9348</v>
      </c>
      <c r="J2505" s="20" t="s">
        <v>3160</v>
      </c>
      <c r="K2505" s="20" t="s">
        <v>10013</v>
      </c>
      <c r="L2505" s="3">
        <v>31</v>
      </c>
      <c r="M2505" s="3" t="s">
        <v>9324</v>
      </c>
      <c r="N2505" s="3" t="str">
        <f>HYPERLINK("http://ictvonline.org/taxonomyHistory.asp?taxnode_id=20165304","ICTVonline=20165304")</f>
        <v>ICTVonline=20165304</v>
      </c>
    </row>
    <row r="2506" spans="1:14" x14ac:dyDescent="0.15">
      <c r="A2506" s="3">
        <v>2505</v>
      </c>
      <c r="B2506" s="1" t="s">
        <v>926</v>
      </c>
      <c r="C2506" s="1" t="s">
        <v>1162</v>
      </c>
      <c r="E2506" s="1" t="s">
        <v>1221</v>
      </c>
      <c r="F2506" s="1" t="s">
        <v>1222</v>
      </c>
      <c r="G2506" s="3">
        <v>0</v>
      </c>
      <c r="J2506" s="20" t="s">
        <v>3160</v>
      </c>
      <c r="K2506" s="20" t="s">
        <v>10016</v>
      </c>
      <c r="L2506" s="3">
        <v>11</v>
      </c>
      <c r="M2506" s="3" t="s">
        <v>10283</v>
      </c>
      <c r="N2506" s="3" t="str">
        <f>HYPERLINK("http://ictvonline.org/taxonomyHistory.asp?taxnode_id=20162486","ICTVonline=20162486")</f>
        <v>ICTVonline=20162486</v>
      </c>
    </row>
    <row r="2507" spans="1:14" x14ac:dyDescent="0.15">
      <c r="A2507" s="3">
        <v>2506</v>
      </c>
      <c r="B2507" s="1" t="s">
        <v>926</v>
      </c>
      <c r="C2507" s="1" t="s">
        <v>1162</v>
      </c>
      <c r="E2507" s="1" t="s">
        <v>1221</v>
      </c>
      <c r="F2507" s="1" t="s">
        <v>296</v>
      </c>
      <c r="G2507" s="3">
        <v>1</v>
      </c>
      <c r="J2507" s="20" t="s">
        <v>3160</v>
      </c>
      <c r="K2507" s="20" t="s">
        <v>10284</v>
      </c>
      <c r="L2507" s="3">
        <v>18</v>
      </c>
      <c r="M2507" s="3" t="s">
        <v>10101</v>
      </c>
      <c r="N2507" s="3" t="str">
        <f>HYPERLINK("http://ictvonline.org/taxonomyHistory.asp?taxnode_id=20162487","ICTVonline=20162487")</f>
        <v>ICTVonline=20162487</v>
      </c>
    </row>
    <row r="2508" spans="1:14" x14ac:dyDescent="0.15">
      <c r="A2508" s="3">
        <v>2507</v>
      </c>
      <c r="B2508" s="1" t="s">
        <v>926</v>
      </c>
      <c r="C2508" s="1" t="s">
        <v>1162</v>
      </c>
      <c r="E2508" s="1" t="s">
        <v>1221</v>
      </c>
      <c r="F2508" s="1" t="s">
        <v>417</v>
      </c>
      <c r="G2508" s="3">
        <v>0</v>
      </c>
      <c r="J2508" s="20" t="s">
        <v>3160</v>
      </c>
      <c r="K2508" s="20" t="s">
        <v>10284</v>
      </c>
      <c r="L2508" s="3">
        <v>18</v>
      </c>
      <c r="M2508" s="3" t="s">
        <v>10101</v>
      </c>
      <c r="N2508" s="3" t="str">
        <f>HYPERLINK("http://ictvonline.org/taxonomyHistory.asp?taxnode_id=20162488","ICTVonline=20162488")</f>
        <v>ICTVonline=20162488</v>
      </c>
    </row>
    <row r="2509" spans="1:14" x14ac:dyDescent="0.15">
      <c r="A2509" s="3">
        <v>2508</v>
      </c>
      <c r="B2509" s="1" t="s">
        <v>926</v>
      </c>
      <c r="C2509" s="1" t="s">
        <v>1162</v>
      </c>
      <c r="E2509" s="1" t="s">
        <v>1221</v>
      </c>
      <c r="F2509" s="1" t="s">
        <v>418</v>
      </c>
      <c r="G2509" s="3">
        <v>0</v>
      </c>
      <c r="J2509" s="20" t="s">
        <v>3160</v>
      </c>
      <c r="K2509" s="20" t="s">
        <v>10021</v>
      </c>
      <c r="L2509" s="3">
        <v>18</v>
      </c>
      <c r="M2509" s="3" t="s">
        <v>10101</v>
      </c>
      <c r="N2509" s="3" t="str">
        <f>HYPERLINK("http://ictvonline.org/taxonomyHistory.asp?taxnode_id=20162489","ICTVonline=20162489")</f>
        <v>ICTVonline=20162489</v>
      </c>
    </row>
    <row r="2510" spans="1:14" x14ac:dyDescent="0.15">
      <c r="A2510" s="3">
        <v>2509</v>
      </c>
      <c r="B2510" s="1" t="s">
        <v>926</v>
      </c>
      <c r="C2510" s="1" t="s">
        <v>2169</v>
      </c>
      <c r="E2510" s="1" t="s">
        <v>2317</v>
      </c>
      <c r="F2510" s="1" t="s">
        <v>2170</v>
      </c>
      <c r="G2510" s="3">
        <v>1</v>
      </c>
      <c r="H2510" s="20" t="s">
        <v>5313</v>
      </c>
      <c r="J2510" s="20" t="s">
        <v>2860</v>
      </c>
      <c r="K2510" s="20" t="s">
        <v>10016</v>
      </c>
      <c r="L2510" s="3">
        <v>27</v>
      </c>
      <c r="M2510" s="3" t="s">
        <v>10285</v>
      </c>
      <c r="N2510" s="3" t="str">
        <f>HYPERLINK("http://ictvonline.org/taxonomyHistory.asp?taxnode_id=20162493","ICTVonline=20162493")</f>
        <v>ICTVonline=20162493</v>
      </c>
    </row>
    <row r="2511" spans="1:14" x14ac:dyDescent="0.15">
      <c r="A2511" s="3">
        <v>2510</v>
      </c>
      <c r="B2511" s="1" t="s">
        <v>926</v>
      </c>
      <c r="C2511" s="1" t="s">
        <v>2169</v>
      </c>
      <c r="E2511" s="1" t="s">
        <v>2317</v>
      </c>
      <c r="F2511" s="1" t="s">
        <v>2318</v>
      </c>
      <c r="G2511" s="3">
        <v>0</v>
      </c>
      <c r="H2511" s="20" t="s">
        <v>5314</v>
      </c>
      <c r="J2511" s="20" t="s">
        <v>2860</v>
      </c>
      <c r="K2511" s="20" t="s">
        <v>10013</v>
      </c>
      <c r="L2511" s="3">
        <v>27</v>
      </c>
      <c r="M2511" s="3" t="s">
        <v>10285</v>
      </c>
      <c r="N2511" s="3" t="str">
        <f>HYPERLINK("http://ictvonline.org/taxonomyHistory.asp?taxnode_id=20162494","ICTVonline=20162494")</f>
        <v>ICTVonline=20162494</v>
      </c>
    </row>
    <row r="2512" spans="1:14" x14ac:dyDescent="0.15">
      <c r="A2512" s="3">
        <v>2511</v>
      </c>
      <c r="B2512" s="1" t="s">
        <v>926</v>
      </c>
      <c r="C2512" s="1" t="s">
        <v>2169</v>
      </c>
      <c r="E2512" s="1" t="s">
        <v>2317</v>
      </c>
      <c r="F2512" s="1" t="s">
        <v>2319</v>
      </c>
      <c r="G2512" s="3">
        <v>0</v>
      </c>
      <c r="H2512" s="20" t="s">
        <v>5315</v>
      </c>
      <c r="J2512" s="20" t="s">
        <v>2860</v>
      </c>
      <c r="K2512" s="20" t="s">
        <v>10013</v>
      </c>
      <c r="L2512" s="3">
        <v>27</v>
      </c>
      <c r="M2512" s="3" t="s">
        <v>10285</v>
      </c>
      <c r="N2512" s="3" t="str">
        <f>HYPERLINK("http://ictvonline.org/taxonomyHistory.asp?taxnode_id=20162495","ICTVonline=20162495")</f>
        <v>ICTVonline=20162495</v>
      </c>
    </row>
    <row r="2513" spans="1:14" x14ac:dyDescent="0.15">
      <c r="A2513" s="3">
        <v>2512</v>
      </c>
      <c r="B2513" s="1" t="s">
        <v>926</v>
      </c>
      <c r="C2513" s="1" t="s">
        <v>2169</v>
      </c>
      <c r="E2513" s="1" t="s">
        <v>2317</v>
      </c>
      <c r="F2513" s="1" t="s">
        <v>2320</v>
      </c>
      <c r="G2513" s="3">
        <v>0</v>
      </c>
      <c r="H2513" s="20" t="s">
        <v>5316</v>
      </c>
      <c r="J2513" s="20" t="s">
        <v>2860</v>
      </c>
      <c r="K2513" s="20" t="s">
        <v>10013</v>
      </c>
      <c r="L2513" s="3">
        <v>27</v>
      </c>
      <c r="M2513" s="3" t="s">
        <v>10285</v>
      </c>
      <c r="N2513" s="3" t="str">
        <f>HYPERLINK("http://ictvonline.org/taxonomyHistory.asp?taxnode_id=20162496","ICTVonline=20162496")</f>
        <v>ICTVonline=20162496</v>
      </c>
    </row>
    <row r="2514" spans="1:14" x14ac:dyDescent="0.15">
      <c r="A2514" s="3">
        <v>2513</v>
      </c>
      <c r="B2514" s="1" t="s">
        <v>926</v>
      </c>
      <c r="C2514" s="1" t="s">
        <v>2169</v>
      </c>
      <c r="E2514" s="1" t="s">
        <v>2317</v>
      </c>
      <c r="F2514" s="1" t="s">
        <v>2321</v>
      </c>
      <c r="G2514" s="3">
        <v>0</v>
      </c>
      <c r="H2514" s="20" t="s">
        <v>5317</v>
      </c>
      <c r="J2514" s="20" t="s">
        <v>2860</v>
      </c>
      <c r="K2514" s="20" t="s">
        <v>10013</v>
      </c>
      <c r="L2514" s="3">
        <v>27</v>
      </c>
      <c r="M2514" s="3" t="s">
        <v>10285</v>
      </c>
      <c r="N2514" s="3" t="str">
        <f>HYPERLINK("http://ictvonline.org/taxonomyHistory.asp?taxnode_id=20162497","ICTVonline=20162497")</f>
        <v>ICTVonline=20162497</v>
      </c>
    </row>
    <row r="2515" spans="1:14" x14ac:dyDescent="0.15">
      <c r="A2515" s="3">
        <v>2514</v>
      </c>
      <c r="B2515" s="1" t="s">
        <v>926</v>
      </c>
      <c r="C2515" s="1" t="s">
        <v>2169</v>
      </c>
      <c r="E2515" s="1" t="s">
        <v>2317</v>
      </c>
      <c r="F2515" s="1" t="s">
        <v>2322</v>
      </c>
      <c r="G2515" s="3">
        <v>0</v>
      </c>
      <c r="H2515" s="20" t="s">
        <v>5318</v>
      </c>
      <c r="J2515" s="20" t="s">
        <v>2860</v>
      </c>
      <c r="K2515" s="20" t="s">
        <v>10013</v>
      </c>
      <c r="L2515" s="3">
        <v>27</v>
      </c>
      <c r="M2515" s="3" t="s">
        <v>10285</v>
      </c>
      <c r="N2515" s="3" t="str">
        <f>HYPERLINK("http://ictvonline.org/taxonomyHistory.asp?taxnode_id=20162498","ICTVonline=20162498")</f>
        <v>ICTVonline=20162498</v>
      </c>
    </row>
    <row r="2516" spans="1:14" x14ac:dyDescent="0.15">
      <c r="A2516" s="3">
        <v>2515</v>
      </c>
      <c r="B2516" s="1" t="s">
        <v>926</v>
      </c>
      <c r="C2516" s="1" t="s">
        <v>2169</v>
      </c>
      <c r="E2516" s="1" t="s">
        <v>2317</v>
      </c>
      <c r="F2516" s="1" t="s">
        <v>2323</v>
      </c>
      <c r="G2516" s="3">
        <v>0</v>
      </c>
      <c r="H2516" s="20" t="s">
        <v>5319</v>
      </c>
      <c r="J2516" s="20" t="s">
        <v>2860</v>
      </c>
      <c r="K2516" s="20" t="s">
        <v>10013</v>
      </c>
      <c r="L2516" s="3">
        <v>27</v>
      </c>
      <c r="M2516" s="3" t="s">
        <v>10285</v>
      </c>
      <c r="N2516" s="3" t="str">
        <f>HYPERLINK("http://ictvonline.org/taxonomyHistory.asp?taxnode_id=20162499","ICTVonline=20162499")</f>
        <v>ICTVonline=20162499</v>
      </c>
    </row>
    <row r="2517" spans="1:14" x14ac:dyDescent="0.15">
      <c r="A2517" s="3">
        <v>2516</v>
      </c>
      <c r="B2517" s="1" t="s">
        <v>926</v>
      </c>
      <c r="C2517" s="1" t="s">
        <v>2169</v>
      </c>
      <c r="E2517" s="1" t="s">
        <v>2324</v>
      </c>
      <c r="F2517" s="1" t="s">
        <v>2325</v>
      </c>
      <c r="G2517" s="3">
        <v>0</v>
      </c>
      <c r="H2517" s="20" t="s">
        <v>5320</v>
      </c>
      <c r="J2517" s="20" t="s">
        <v>2860</v>
      </c>
      <c r="K2517" s="20" t="s">
        <v>10013</v>
      </c>
      <c r="L2517" s="3">
        <v>27</v>
      </c>
      <c r="M2517" s="3" t="s">
        <v>10285</v>
      </c>
      <c r="N2517" s="3" t="str">
        <f>HYPERLINK("http://ictvonline.org/taxonomyHistory.asp?taxnode_id=20162501","ICTVonline=20162501")</f>
        <v>ICTVonline=20162501</v>
      </c>
    </row>
    <row r="2518" spans="1:14" x14ac:dyDescent="0.15">
      <c r="A2518" s="3">
        <v>2517</v>
      </c>
      <c r="B2518" s="1" t="s">
        <v>926</v>
      </c>
      <c r="C2518" s="1" t="s">
        <v>2169</v>
      </c>
      <c r="E2518" s="1" t="s">
        <v>2324</v>
      </c>
      <c r="F2518" s="1" t="s">
        <v>2326</v>
      </c>
      <c r="G2518" s="3">
        <v>1</v>
      </c>
      <c r="H2518" s="20" t="s">
        <v>5321</v>
      </c>
      <c r="J2518" s="20" t="s">
        <v>2860</v>
      </c>
      <c r="K2518" s="20" t="s">
        <v>10072</v>
      </c>
      <c r="L2518" s="3">
        <v>27</v>
      </c>
      <c r="M2518" s="3" t="s">
        <v>10285</v>
      </c>
      <c r="N2518" s="3" t="str">
        <f>HYPERLINK("http://ictvonline.org/taxonomyHistory.asp?taxnode_id=20162502","ICTVonline=20162502")</f>
        <v>ICTVonline=20162502</v>
      </c>
    </row>
    <row r="2519" spans="1:14" x14ac:dyDescent="0.15">
      <c r="A2519" s="3">
        <v>2518</v>
      </c>
      <c r="B2519" s="1" t="s">
        <v>926</v>
      </c>
      <c r="C2519" s="1" t="s">
        <v>2171</v>
      </c>
      <c r="E2519" s="1" t="s">
        <v>2327</v>
      </c>
      <c r="F2519" s="1" t="s">
        <v>2229</v>
      </c>
      <c r="G2519" s="3">
        <v>1</v>
      </c>
      <c r="J2519" s="20" t="s">
        <v>5199</v>
      </c>
      <c r="K2519" s="20" t="s">
        <v>10076</v>
      </c>
      <c r="L2519" s="3">
        <v>27</v>
      </c>
      <c r="M2519" s="3" t="s">
        <v>10286</v>
      </c>
      <c r="N2519" s="3" t="str">
        <f>HYPERLINK("http://ictvonline.org/taxonomyHistory.asp?taxnode_id=20162506","ICTVonline=20162506")</f>
        <v>ICTVonline=20162506</v>
      </c>
    </row>
    <row r="2520" spans="1:14" x14ac:dyDescent="0.15">
      <c r="A2520" s="3">
        <v>2519</v>
      </c>
      <c r="B2520" s="1" t="s">
        <v>926</v>
      </c>
      <c r="C2520" s="1" t="s">
        <v>2171</v>
      </c>
      <c r="E2520" s="1" t="s">
        <v>2327</v>
      </c>
      <c r="F2520" s="1" t="s">
        <v>2328</v>
      </c>
      <c r="G2520" s="3">
        <v>0</v>
      </c>
      <c r="J2520" s="20" t="s">
        <v>5199</v>
      </c>
      <c r="K2520" s="20" t="s">
        <v>10013</v>
      </c>
      <c r="L2520" s="3">
        <v>27</v>
      </c>
      <c r="M2520" s="3" t="s">
        <v>10286</v>
      </c>
      <c r="N2520" s="3" t="str">
        <f>HYPERLINK("http://ictvonline.org/taxonomyHistory.asp?taxnode_id=20162507","ICTVonline=20162507")</f>
        <v>ICTVonline=20162507</v>
      </c>
    </row>
    <row r="2521" spans="1:14" x14ac:dyDescent="0.15">
      <c r="A2521" s="3">
        <v>2520</v>
      </c>
      <c r="B2521" s="1" t="s">
        <v>926</v>
      </c>
      <c r="C2521" s="1" t="s">
        <v>2171</v>
      </c>
      <c r="E2521" s="1" t="s">
        <v>2172</v>
      </c>
      <c r="F2521" s="1" t="s">
        <v>5322</v>
      </c>
      <c r="G2521" s="3">
        <v>0</v>
      </c>
      <c r="H2521" s="20" t="s">
        <v>7389</v>
      </c>
      <c r="I2521" s="20" t="s">
        <v>6888</v>
      </c>
      <c r="J2521" s="20" t="s">
        <v>5199</v>
      </c>
      <c r="K2521" s="20" t="s">
        <v>10013</v>
      </c>
      <c r="L2521" s="3">
        <v>30</v>
      </c>
      <c r="M2521" s="3" t="s">
        <v>10287</v>
      </c>
      <c r="N2521" s="3" t="str">
        <f>HYPERLINK("http://ictvonline.org/taxonomyHistory.asp?taxnode_id=20162509","ICTVonline=20162509")</f>
        <v>ICTVonline=20162509</v>
      </c>
    </row>
    <row r="2522" spans="1:14" x14ac:dyDescent="0.15">
      <c r="A2522" s="3">
        <v>2521</v>
      </c>
      <c r="B2522" s="1" t="s">
        <v>926</v>
      </c>
      <c r="C2522" s="1" t="s">
        <v>2171</v>
      </c>
      <c r="E2522" s="1" t="s">
        <v>2172</v>
      </c>
      <c r="F2522" s="1" t="s">
        <v>2473</v>
      </c>
      <c r="G2522" s="3">
        <v>0</v>
      </c>
      <c r="J2522" s="20" t="s">
        <v>5199</v>
      </c>
      <c r="K2522" s="20" t="s">
        <v>10013</v>
      </c>
      <c r="L2522" s="3">
        <v>28</v>
      </c>
      <c r="M2522" s="3" t="s">
        <v>10288</v>
      </c>
      <c r="N2522" s="3" t="str">
        <f>HYPERLINK("http://ictvonline.org/taxonomyHistory.asp?taxnode_id=20162510","ICTVonline=20162510")</f>
        <v>ICTVonline=20162510</v>
      </c>
    </row>
    <row r="2523" spans="1:14" x14ac:dyDescent="0.15">
      <c r="A2523" s="3">
        <v>2522</v>
      </c>
      <c r="B2523" s="1" t="s">
        <v>926</v>
      </c>
      <c r="C2523" s="1" t="s">
        <v>2171</v>
      </c>
      <c r="E2523" s="1" t="s">
        <v>2172</v>
      </c>
      <c r="F2523" s="1" t="s">
        <v>2474</v>
      </c>
      <c r="G2523" s="3">
        <v>0</v>
      </c>
      <c r="J2523" s="20" t="s">
        <v>5199</v>
      </c>
      <c r="K2523" s="20" t="s">
        <v>10013</v>
      </c>
      <c r="L2523" s="3">
        <v>28</v>
      </c>
      <c r="M2523" s="3" t="s">
        <v>10288</v>
      </c>
      <c r="N2523" s="3" t="str">
        <f>HYPERLINK("http://ictvonline.org/taxonomyHistory.asp?taxnode_id=20162511","ICTVonline=20162511")</f>
        <v>ICTVonline=20162511</v>
      </c>
    </row>
    <row r="2524" spans="1:14" x14ac:dyDescent="0.15">
      <c r="A2524" s="3">
        <v>2523</v>
      </c>
      <c r="B2524" s="1" t="s">
        <v>926</v>
      </c>
      <c r="C2524" s="1" t="s">
        <v>2171</v>
      </c>
      <c r="E2524" s="1" t="s">
        <v>2172</v>
      </c>
      <c r="F2524" s="1" t="s">
        <v>2173</v>
      </c>
      <c r="G2524" s="3">
        <v>0</v>
      </c>
      <c r="J2524" s="20" t="s">
        <v>5199</v>
      </c>
      <c r="K2524" s="20" t="s">
        <v>10016</v>
      </c>
      <c r="L2524" s="3">
        <v>16</v>
      </c>
      <c r="M2524" s="3" t="s">
        <v>10237</v>
      </c>
      <c r="N2524" s="3" t="str">
        <f>HYPERLINK("http://ictvonline.org/taxonomyHistory.asp?taxnode_id=20162512","ICTVonline=20162512")</f>
        <v>ICTVonline=20162512</v>
      </c>
    </row>
    <row r="2525" spans="1:14" x14ac:dyDescent="0.15">
      <c r="A2525" s="3">
        <v>2524</v>
      </c>
      <c r="B2525" s="1" t="s">
        <v>926</v>
      </c>
      <c r="C2525" s="1" t="s">
        <v>2171</v>
      </c>
      <c r="E2525" s="1" t="s">
        <v>2172</v>
      </c>
      <c r="F2525" s="1" t="s">
        <v>2059</v>
      </c>
      <c r="G2525" s="3">
        <v>0</v>
      </c>
      <c r="J2525" s="20" t="s">
        <v>5199</v>
      </c>
      <c r="K2525" s="20" t="s">
        <v>10016</v>
      </c>
      <c r="L2525" s="3">
        <v>16</v>
      </c>
      <c r="M2525" s="3" t="s">
        <v>10237</v>
      </c>
      <c r="N2525" s="3" t="str">
        <f>HYPERLINK("http://ictvonline.org/taxonomyHistory.asp?taxnode_id=20162513","ICTVonline=20162513")</f>
        <v>ICTVonline=20162513</v>
      </c>
    </row>
    <row r="2526" spans="1:14" x14ac:dyDescent="0.15">
      <c r="A2526" s="3">
        <v>2525</v>
      </c>
      <c r="B2526" s="1" t="s">
        <v>926</v>
      </c>
      <c r="C2526" s="1" t="s">
        <v>2171</v>
      </c>
      <c r="E2526" s="1" t="s">
        <v>2172</v>
      </c>
      <c r="F2526" s="1" t="s">
        <v>2060</v>
      </c>
      <c r="G2526" s="3">
        <v>0</v>
      </c>
      <c r="J2526" s="20" t="s">
        <v>5199</v>
      </c>
      <c r="K2526" s="20" t="s">
        <v>10013</v>
      </c>
      <c r="L2526" s="3">
        <v>22</v>
      </c>
      <c r="M2526" s="3" t="s">
        <v>10289</v>
      </c>
      <c r="N2526" s="3" t="str">
        <f>HYPERLINK("http://ictvonline.org/taxonomyHistory.asp?taxnode_id=20162514","ICTVonline=20162514")</f>
        <v>ICTVonline=20162514</v>
      </c>
    </row>
    <row r="2527" spans="1:14" x14ac:dyDescent="0.15">
      <c r="A2527" s="3">
        <v>2526</v>
      </c>
      <c r="B2527" s="1" t="s">
        <v>926</v>
      </c>
      <c r="C2527" s="1" t="s">
        <v>2171</v>
      </c>
      <c r="E2527" s="1" t="s">
        <v>2172</v>
      </c>
      <c r="F2527" s="1" t="s">
        <v>2061</v>
      </c>
      <c r="G2527" s="3">
        <v>0</v>
      </c>
      <c r="J2527" s="20" t="s">
        <v>5199</v>
      </c>
      <c r="K2527" s="20" t="s">
        <v>10013</v>
      </c>
      <c r="L2527" s="3">
        <v>24</v>
      </c>
      <c r="M2527" s="3" t="s">
        <v>10290</v>
      </c>
      <c r="N2527" s="3" t="str">
        <f>HYPERLINK("http://ictvonline.org/taxonomyHistory.asp?taxnode_id=20162515","ICTVonline=20162515")</f>
        <v>ICTVonline=20162515</v>
      </c>
    </row>
    <row r="2528" spans="1:14" x14ac:dyDescent="0.15">
      <c r="A2528" s="3">
        <v>2527</v>
      </c>
      <c r="B2528" s="1" t="s">
        <v>926</v>
      </c>
      <c r="C2528" s="1" t="s">
        <v>2171</v>
      </c>
      <c r="E2528" s="1" t="s">
        <v>2172</v>
      </c>
      <c r="F2528" s="1" t="s">
        <v>2062</v>
      </c>
      <c r="G2528" s="3">
        <v>0</v>
      </c>
      <c r="J2528" s="20" t="s">
        <v>5199</v>
      </c>
      <c r="K2528" s="20" t="s">
        <v>10013</v>
      </c>
      <c r="L2528" s="3">
        <v>24</v>
      </c>
      <c r="M2528" s="3" t="s">
        <v>10291</v>
      </c>
      <c r="N2528" s="3" t="str">
        <f>HYPERLINK("http://ictvonline.org/taxonomyHistory.asp?taxnode_id=20162516","ICTVonline=20162516")</f>
        <v>ICTVonline=20162516</v>
      </c>
    </row>
    <row r="2529" spans="1:14" x14ac:dyDescent="0.15">
      <c r="A2529" s="3">
        <v>2528</v>
      </c>
      <c r="B2529" s="1" t="s">
        <v>926</v>
      </c>
      <c r="C2529" s="1" t="s">
        <v>2171</v>
      </c>
      <c r="E2529" s="1" t="s">
        <v>2172</v>
      </c>
      <c r="F2529" s="1" t="s">
        <v>2063</v>
      </c>
      <c r="G2529" s="3">
        <v>0</v>
      </c>
      <c r="J2529" s="20" t="s">
        <v>5199</v>
      </c>
      <c r="K2529" s="20" t="s">
        <v>10013</v>
      </c>
      <c r="L2529" s="3">
        <v>22</v>
      </c>
      <c r="M2529" s="3" t="s">
        <v>10289</v>
      </c>
      <c r="N2529" s="3" t="str">
        <f>HYPERLINK("http://ictvonline.org/taxonomyHistory.asp?taxnode_id=20162517","ICTVonline=20162517")</f>
        <v>ICTVonline=20162517</v>
      </c>
    </row>
    <row r="2530" spans="1:14" x14ac:dyDescent="0.15">
      <c r="A2530" s="3">
        <v>2529</v>
      </c>
      <c r="B2530" s="1" t="s">
        <v>926</v>
      </c>
      <c r="C2530" s="1" t="s">
        <v>2171</v>
      </c>
      <c r="E2530" s="1" t="s">
        <v>2172</v>
      </c>
      <c r="F2530" s="1" t="s">
        <v>2064</v>
      </c>
      <c r="G2530" s="3">
        <v>0</v>
      </c>
      <c r="J2530" s="20" t="s">
        <v>5199</v>
      </c>
      <c r="K2530" s="20" t="s">
        <v>10292</v>
      </c>
      <c r="L2530" s="3">
        <v>24</v>
      </c>
      <c r="M2530" s="3" t="s">
        <v>10293</v>
      </c>
      <c r="N2530" s="3" t="str">
        <f>HYPERLINK("http://ictvonline.org/taxonomyHistory.asp?taxnode_id=20162518","ICTVonline=20162518")</f>
        <v>ICTVonline=20162518</v>
      </c>
    </row>
    <row r="2531" spans="1:14" x14ac:dyDescent="0.15">
      <c r="A2531" s="3">
        <v>2530</v>
      </c>
      <c r="B2531" s="1" t="s">
        <v>926</v>
      </c>
      <c r="C2531" s="1" t="s">
        <v>2171</v>
      </c>
      <c r="E2531" s="1" t="s">
        <v>2172</v>
      </c>
      <c r="F2531" s="1" t="s">
        <v>2475</v>
      </c>
      <c r="G2531" s="3">
        <v>0</v>
      </c>
      <c r="J2531" s="20" t="s">
        <v>5199</v>
      </c>
      <c r="K2531" s="20" t="s">
        <v>10013</v>
      </c>
      <c r="L2531" s="3">
        <v>28</v>
      </c>
      <c r="M2531" s="3" t="s">
        <v>10288</v>
      </c>
      <c r="N2531" s="3" t="str">
        <f>HYPERLINK("http://ictvonline.org/taxonomyHistory.asp?taxnode_id=20162519","ICTVonline=20162519")</f>
        <v>ICTVonline=20162519</v>
      </c>
    </row>
    <row r="2532" spans="1:14" x14ac:dyDescent="0.15">
      <c r="A2532" s="3">
        <v>2531</v>
      </c>
      <c r="B2532" s="1" t="s">
        <v>926</v>
      </c>
      <c r="C2532" s="1" t="s">
        <v>2171</v>
      </c>
      <c r="E2532" s="1" t="s">
        <v>2172</v>
      </c>
      <c r="F2532" s="1" t="s">
        <v>2065</v>
      </c>
      <c r="G2532" s="3">
        <v>0</v>
      </c>
      <c r="J2532" s="20" t="s">
        <v>5199</v>
      </c>
      <c r="K2532" s="20" t="s">
        <v>10013</v>
      </c>
      <c r="L2532" s="3">
        <v>24</v>
      </c>
      <c r="M2532" s="3" t="s">
        <v>10294</v>
      </c>
      <c r="N2532" s="3" t="str">
        <f>HYPERLINK("http://ictvonline.org/taxonomyHistory.asp?taxnode_id=20162520","ICTVonline=20162520")</f>
        <v>ICTVonline=20162520</v>
      </c>
    </row>
    <row r="2533" spans="1:14" x14ac:dyDescent="0.15">
      <c r="A2533" s="3">
        <v>2532</v>
      </c>
      <c r="B2533" s="1" t="s">
        <v>926</v>
      </c>
      <c r="C2533" s="1" t="s">
        <v>2171</v>
      </c>
      <c r="E2533" s="1" t="s">
        <v>2172</v>
      </c>
      <c r="F2533" s="1" t="s">
        <v>2066</v>
      </c>
      <c r="G2533" s="3">
        <v>0</v>
      </c>
      <c r="J2533" s="20" t="s">
        <v>5199</v>
      </c>
      <c r="K2533" s="20" t="s">
        <v>10016</v>
      </c>
      <c r="L2533" s="3">
        <v>16</v>
      </c>
      <c r="M2533" s="3" t="s">
        <v>10237</v>
      </c>
      <c r="N2533" s="3" t="str">
        <f>HYPERLINK("http://ictvonline.org/taxonomyHistory.asp?taxnode_id=20162521","ICTVonline=20162521")</f>
        <v>ICTVonline=20162521</v>
      </c>
    </row>
    <row r="2534" spans="1:14" x14ac:dyDescent="0.15">
      <c r="A2534" s="3">
        <v>2533</v>
      </c>
      <c r="B2534" s="1" t="s">
        <v>926</v>
      </c>
      <c r="C2534" s="1" t="s">
        <v>2171</v>
      </c>
      <c r="E2534" s="1" t="s">
        <v>2172</v>
      </c>
      <c r="F2534" s="1" t="s">
        <v>2476</v>
      </c>
      <c r="G2534" s="3">
        <v>0</v>
      </c>
      <c r="J2534" s="20" t="s">
        <v>5199</v>
      </c>
      <c r="K2534" s="20" t="s">
        <v>10013</v>
      </c>
      <c r="L2534" s="3">
        <v>28</v>
      </c>
      <c r="M2534" s="3" t="s">
        <v>10288</v>
      </c>
      <c r="N2534" s="3" t="str">
        <f>HYPERLINK("http://ictvonline.org/taxonomyHistory.asp?taxnode_id=20162522","ICTVonline=20162522")</f>
        <v>ICTVonline=20162522</v>
      </c>
    </row>
    <row r="2535" spans="1:14" x14ac:dyDescent="0.15">
      <c r="A2535" s="3">
        <v>2534</v>
      </c>
      <c r="B2535" s="1" t="s">
        <v>926</v>
      </c>
      <c r="C2535" s="1" t="s">
        <v>2171</v>
      </c>
      <c r="E2535" s="1" t="s">
        <v>2172</v>
      </c>
      <c r="F2535" s="1" t="s">
        <v>2067</v>
      </c>
      <c r="G2535" s="3">
        <v>0</v>
      </c>
      <c r="J2535" s="20" t="s">
        <v>5199</v>
      </c>
      <c r="K2535" s="20" t="s">
        <v>10016</v>
      </c>
      <c r="L2535" s="3">
        <v>16</v>
      </c>
      <c r="M2535" s="3" t="s">
        <v>10237</v>
      </c>
      <c r="N2535" s="3" t="str">
        <f>HYPERLINK("http://ictvonline.org/taxonomyHistory.asp?taxnode_id=20162523","ICTVonline=20162523")</f>
        <v>ICTVonline=20162523</v>
      </c>
    </row>
    <row r="2536" spans="1:14" x14ac:dyDescent="0.15">
      <c r="A2536" s="3">
        <v>2535</v>
      </c>
      <c r="B2536" s="1" t="s">
        <v>926</v>
      </c>
      <c r="C2536" s="1" t="s">
        <v>2171</v>
      </c>
      <c r="E2536" s="1" t="s">
        <v>2172</v>
      </c>
      <c r="F2536" s="1" t="s">
        <v>278</v>
      </c>
      <c r="G2536" s="3">
        <v>0</v>
      </c>
      <c r="J2536" s="20" t="s">
        <v>5199</v>
      </c>
      <c r="K2536" s="20" t="s">
        <v>10021</v>
      </c>
      <c r="L2536" s="3">
        <v>23</v>
      </c>
      <c r="M2536" s="3" t="s">
        <v>10229</v>
      </c>
      <c r="N2536" s="3" t="str">
        <f>HYPERLINK("http://ictvonline.org/taxonomyHistory.asp?taxnode_id=20162524","ICTVonline=20162524")</f>
        <v>ICTVonline=20162524</v>
      </c>
    </row>
    <row r="2537" spans="1:14" x14ac:dyDescent="0.15">
      <c r="A2537" s="3">
        <v>2536</v>
      </c>
      <c r="B2537" s="1" t="s">
        <v>926</v>
      </c>
      <c r="C2537" s="1" t="s">
        <v>2171</v>
      </c>
      <c r="E2537" s="1" t="s">
        <v>2172</v>
      </c>
      <c r="F2537" s="1" t="s">
        <v>279</v>
      </c>
      <c r="G2537" s="3">
        <v>1</v>
      </c>
      <c r="J2537" s="20" t="s">
        <v>5199</v>
      </c>
      <c r="K2537" s="20" t="s">
        <v>10021</v>
      </c>
      <c r="L2537" s="3">
        <v>23</v>
      </c>
      <c r="M2537" s="3" t="s">
        <v>10229</v>
      </c>
      <c r="N2537" s="3" t="str">
        <f>HYPERLINK("http://ictvonline.org/taxonomyHistory.asp?taxnode_id=20162525","ICTVonline=20162525")</f>
        <v>ICTVonline=20162525</v>
      </c>
    </row>
    <row r="2538" spans="1:14" x14ac:dyDescent="0.15">
      <c r="A2538" s="3">
        <v>2537</v>
      </c>
      <c r="B2538" s="1" t="s">
        <v>926</v>
      </c>
      <c r="C2538" s="1" t="s">
        <v>2171</v>
      </c>
      <c r="E2538" s="1" t="s">
        <v>2172</v>
      </c>
      <c r="F2538" s="1" t="s">
        <v>2477</v>
      </c>
      <c r="G2538" s="3">
        <v>0</v>
      </c>
      <c r="J2538" s="20" t="s">
        <v>5199</v>
      </c>
      <c r="K2538" s="20" t="s">
        <v>10013</v>
      </c>
      <c r="L2538" s="3">
        <v>28</v>
      </c>
      <c r="M2538" s="3" t="s">
        <v>10288</v>
      </c>
      <c r="N2538" s="3" t="str">
        <f>HYPERLINK("http://ictvonline.org/taxonomyHistory.asp?taxnode_id=20162526","ICTVonline=20162526")</f>
        <v>ICTVonline=20162526</v>
      </c>
    </row>
    <row r="2539" spans="1:14" x14ac:dyDescent="0.15">
      <c r="A2539" s="3">
        <v>2538</v>
      </c>
      <c r="B2539" s="1" t="s">
        <v>926</v>
      </c>
      <c r="C2539" s="1" t="s">
        <v>2171</v>
      </c>
      <c r="E2539" s="1" t="s">
        <v>2172</v>
      </c>
      <c r="F2539" s="1" t="s">
        <v>2478</v>
      </c>
      <c r="G2539" s="3">
        <v>0</v>
      </c>
      <c r="J2539" s="20" t="s">
        <v>5199</v>
      </c>
      <c r="K2539" s="20" t="s">
        <v>10013</v>
      </c>
      <c r="L2539" s="3">
        <v>28</v>
      </c>
      <c r="M2539" s="3" t="s">
        <v>10288</v>
      </c>
      <c r="N2539" s="3" t="str">
        <f>HYPERLINK("http://ictvonline.org/taxonomyHistory.asp?taxnode_id=20162527","ICTVonline=20162527")</f>
        <v>ICTVonline=20162527</v>
      </c>
    </row>
    <row r="2540" spans="1:14" x14ac:dyDescent="0.15">
      <c r="A2540" s="3">
        <v>2539</v>
      </c>
      <c r="B2540" s="1" t="s">
        <v>926</v>
      </c>
      <c r="C2540" s="1" t="s">
        <v>2171</v>
      </c>
      <c r="E2540" s="1" t="s">
        <v>2172</v>
      </c>
      <c r="F2540" s="1" t="s">
        <v>2479</v>
      </c>
      <c r="G2540" s="3">
        <v>0</v>
      </c>
      <c r="J2540" s="20" t="s">
        <v>5199</v>
      </c>
      <c r="K2540" s="20" t="s">
        <v>10013</v>
      </c>
      <c r="L2540" s="3">
        <v>28</v>
      </c>
      <c r="M2540" s="3" t="s">
        <v>10288</v>
      </c>
      <c r="N2540" s="3" t="str">
        <f>HYPERLINK("http://ictvonline.org/taxonomyHistory.asp?taxnode_id=20162528","ICTVonline=20162528")</f>
        <v>ICTVonline=20162528</v>
      </c>
    </row>
    <row r="2541" spans="1:14" x14ac:dyDescent="0.15">
      <c r="A2541" s="3">
        <v>2540</v>
      </c>
      <c r="B2541" s="1" t="s">
        <v>926</v>
      </c>
      <c r="C2541" s="1" t="s">
        <v>2171</v>
      </c>
      <c r="E2541" s="1" t="s">
        <v>2172</v>
      </c>
      <c r="F2541" s="1" t="s">
        <v>280</v>
      </c>
      <c r="G2541" s="3">
        <v>0</v>
      </c>
      <c r="J2541" s="20" t="s">
        <v>5199</v>
      </c>
      <c r="K2541" s="20" t="s">
        <v>10016</v>
      </c>
      <c r="L2541" s="3">
        <v>16</v>
      </c>
      <c r="M2541" s="3" t="s">
        <v>10237</v>
      </c>
      <c r="N2541" s="3" t="str">
        <f>HYPERLINK("http://ictvonline.org/taxonomyHistory.asp?taxnode_id=20162529","ICTVonline=20162529")</f>
        <v>ICTVonline=20162529</v>
      </c>
    </row>
    <row r="2542" spans="1:14" x14ac:dyDescent="0.15">
      <c r="A2542" s="3">
        <v>2541</v>
      </c>
      <c r="B2542" s="1" t="s">
        <v>926</v>
      </c>
      <c r="C2542" s="1" t="s">
        <v>2171</v>
      </c>
      <c r="E2542" s="1" t="s">
        <v>2172</v>
      </c>
      <c r="F2542" s="1" t="s">
        <v>2480</v>
      </c>
      <c r="G2542" s="3">
        <v>0</v>
      </c>
      <c r="J2542" s="20" t="s">
        <v>5199</v>
      </c>
      <c r="K2542" s="20" t="s">
        <v>10013</v>
      </c>
      <c r="L2542" s="3">
        <v>28</v>
      </c>
      <c r="M2542" s="3" t="s">
        <v>10288</v>
      </c>
      <c r="N2542" s="3" t="str">
        <f>HYPERLINK("http://ictvonline.org/taxonomyHistory.asp?taxnode_id=20162530","ICTVonline=20162530")</f>
        <v>ICTVonline=20162530</v>
      </c>
    </row>
    <row r="2543" spans="1:14" x14ac:dyDescent="0.15">
      <c r="A2543" s="3">
        <v>2542</v>
      </c>
      <c r="B2543" s="1" t="s">
        <v>926</v>
      </c>
      <c r="C2543" s="1" t="s">
        <v>2171</v>
      </c>
      <c r="E2543" s="1" t="s">
        <v>2172</v>
      </c>
      <c r="F2543" s="1" t="s">
        <v>2481</v>
      </c>
      <c r="G2543" s="3">
        <v>0</v>
      </c>
      <c r="J2543" s="20" t="s">
        <v>5199</v>
      </c>
      <c r="K2543" s="20" t="s">
        <v>10013</v>
      </c>
      <c r="L2543" s="3">
        <v>28</v>
      </c>
      <c r="M2543" s="3" t="s">
        <v>10288</v>
      </c>
      <c r="N2543" s="3" t="str">
        <f>HYPERLINK("http://ictvonline.org/taxonomyHistory.asp?taxnode_id=20162531","ICTVonline=20162531")</f>
        <v>ICTVonline=20162531</v>
      </c>
    </row>
    <row r="2544" spans="1:14" x14ac:dyDescent="0.15">
      <c r="A2544" s="3">
        <v>2543</v>
      </c>
      <c r="B2544" s="1" t="s">
        <v>926</v>
      </c>
      <c r="C2544" s="1" t="s">
        <v>2171</v>
      </c>
      <c r="E2544" s="1" t="s">
        <v>2172</v>
      </c>
      <c r="F2544" s="1" t="s">
        <v>281</v>
      </c>
      <c r="G2544" s="3">
        <v>0</v>
      </c>
      <c r="J2544" s="20" t="s">
        <v>5199</v>
      </c>
      <c r="K2544" s="20" t="s">
        <v>10013</v>
      </c>
      <c r="L2544" s="3">
        <v>24</v>
      </c>
      <c r="M2544" s="3" t="s">
        <v>10291</v>
      </c>
      <c r="N2544" s="3" t="str">
        <f>HYPERLINK("http://ictvonline.org/taxonomyHistory.asp?taxnode_id=20162532","ICTVonline=20162532")</f>
        <v>ICTVonline=20162532</v>
      </c>
    </row>
    <row r="2545" spans="1:14" x14ac:dyDescent="0.15">
      <c r="A2545" s="3">
        <v>2544</v>
      </c>
      <c r="B2545" s="1" t="s">
        <v>926</v>
      </c>
      <c r="C2545" s="1" t="s">
        <v>2171</v>
      </c>
      <c r="E2545" s="1" t="s">
        <v>2172</v>
      </c>
      <c r="F2545" s="1" t="s">
        <v>282</v>
      </c>
      <c r="G2545" s="3">
        <v>0</v>
      </c>
      <c r="J2545" s="20" t="s">
        <v>5199</v>
      </c>
      <c r="K2545" s="20" t="s">
        <v>10013</v>
      </c>
      <c r="L2545" s="3">
        <v>24</v>
      </c>
      <c r="M2545" s="3" t="s">
        <v>10294</v>
      </c>
      <c r="N2545" s="3" t="str">
        <f>HYPERLINK("http://ictvonline.org/taxonomyHistory.asp?taxnode_id=20162533","ICTVonline=20162533")</f>
        <v>ICTVonline=20162533</v>
      </c>
    </row>
    <row r="2546" spans="1:14" x14ac:dyDescent="0.15">
      <c r="A2546" s="3">
        <v>2545</v>
      </c>
      <c r="B2546" s="1" t="s">
        <v>926</v>
      </c>
      <c r="C2546" s="1" t="s">
        <v>2171</v>
      </c>
      <c r="E2546" s="1" t="s">
        <v>2172</v>
      </c>
      <c r="F2546" s="1" t="s">
        <v>283</v>
      </c>
      <c r="G2546" s="3">
        <v>0</v>
      </c>
      <c r="J2546" s="20" t="s">
        <v>5199</v>
      </c>
      <c r="K2546" s="20" t="s">
        <v>10013</v>
      </c>
      <c r="L2546" s="3">
        <v>22</v>
      </c>
      <c r="M2546" s="3" t="s">
        <v>10289</v>
      </c>
      <c r="N2546" s="3" t="str">
        <f>HYPERLINK("http://ictvonline.org/taxonomyHistory.asp?taxnode_id=20162534","ICTVonline=20162534")</f>
        <v>ICTVonline=20162534</v>
      </c>
    </row>
    <row r="2547" spans="1:14" x14ac:dyDescent="0.15">
      <c r="A2547" s="3">
        <v>2546</v>
      </c>
      <c r="B2547" s="1" t="s">
        <v>926</v>
      </c>
      <c r="C2547" s="1" t="s">
        <v>2171</v>
      </c>
      <c r="E2547" s="1" t="s">
        <v>2172</v>
      </c>
      <c r="F2547" s="1" t="s">
        <v>5323</v>
      </c>
      <c r="G2547" s="3">
        <v>0</v>
      </c>
      <c r="H2547" s="20" t="s">
        <v>7390</v>
      </c>
      <c r="I2547" s="20" t="s">
        <v>6889</v>
      </c>
      <c r="J2547" s="20" t="s">
        <v>5199</v>
      </c>
      <c r="K2547" s="20" t="s">
        <v>10013</v>
      </c>
      <c r="L2547" s="3">
        <v>30</v>
      </c>
      <c r="M2547" s="3" t="s">
        <v>10287</v>
      </c>
      <c r="N2547" s="3" t="str">
        <f>HYPERLINK("http://ictvonline.org/taxonomyHistory.asp?taxnode_id=20162535","ICTVonline=20162535")</f>
        <v>ICTVonline=20162535</v>
      </c>
    </row>
    <row r="2548" spans="1:14" x14ac:dyDescent="0.15">
      <c r="A2548" s="3">
        <v>2547</v>
      </c>
      <c r="B2548" s="1" t="s">
        <v>926</v>
      </c>
      <c r="C2548" s="1" t="s">
        <v>2171</v>
      </c>
      <c r="E2548" s="1" t="s">
        <v>2172</v>
      </c>
      <c r="F2548" s="1" t="s">
        <v>5324</v>
      </c>
      <c r="G2548" s="3">
        <v>0</v>
      </c>
      <c r="H2548" s="20" t="s">
        <v>7391</v>
      </c>
      <c r="I2548" s="20" t="s">
        <v>6890</v>
      </c>
      <c r="J2548" s="20" t="s">
        <v>5199</v>
      </c>
      <c r="K2548" s="20" t="s">
        <v>10013</v>
      </c>
      <c r="L2548" s="3">
        <v>30</v>
      </c>
      <c r="M2548" s="3" t="s">
        <v>10287</v>
      </c>
      <c r="N2548" s="3" t="str">
        <f>HYPERLINK("http://ictvonline.org/taxonomyHistory.asp?taxnode_id=20162536","ICTVonline=20162536")</f>
        <v>ICTVonline=20162536</v>
      </c>
    </row>
    <row r="2549" spans="1:14" x14ac:dyDescent="0.15">
      <c r="A2549" s="3">
        <v>2548</v>
      </c>
      <c r="B2549" s="1" t="s">
        <v>926</v>
      </c>
      <c r="C2549" s="1" t="s">
        <v>2171</v>
      </c>
      <c r="E2549" s="1" t="s">
        <v>2172</v>
      </c>
      <c r="F2549" s="1" t="s">
        <v>5325</v>
      </c>
      <c r="G2549" s="3">
        <v>0</v>
      </c>
      <c r="H2549" s="20" t="s">
        <v>7392</v>
      </c>
      <c r="I2549" s="20" t="s">
        <v>6891</v>
      </c>
      <c r="J2549" s="20" t="s">
        <v>5199</v>
      </c>
      <c r="K2549" s="20" t="s">
        <v>10013</v>
      </c>
      <c r="L2549" s="3">
        <v>30</v>
      </c>
      <c r="M2549" s="3" t="s">
        <v>10287</v>
      </c>
      <c r="N2549" s="3" t="str">
        <f>HYPERLINK("http://ictvonline.org/taxonomyHistory.asp?taxnode_id=20162537","ICTVonline=20162537")</f>
        <v>ICTVonline=20162537</v>
      </c>
    </row>
    <row r="2550" spans="1:14" x14ac:dyDescent="0.15">
      <c r="A2550" s="3">
        <v>2549</v>
      </c>
      <c r="B2550" s="1" t="s">
        <v>926</v>
      </c>
      <c r="C2550" s="1" t="s">
        <v>2171</v>
      </c>
      <c r="E2550" s="1" t="s">
        <v>2172</v>
      </c>
      <c r="F2550" s="1" t="s">
        <v>2482</v>
      </c>
      <c r="G2550" s="3">
        <v>0</v>
      </c>
      <c r="J2550" s="20" t="s">
        <v>5199</v>
      </c>
      <c r="K2550" s="20" t="s">
        <v>10013</v>
      </c>
      <c r="L2550" s="3">
        <v>28</v>
      </c>
      <c r="M2550" s="3" t="s">
        <v>10288</v>
      </c>
      <c r="N2550" s="3" t="str">
        <f>HYPERLINK("http://ictvonline.org/taxonomyHistory.asp?taxnode_id=20162538","ICTVonline=20162538")</f>
        <v>ICTVonline=20162538</v>
      </c>
    </row>
    <row r="2551" spans="1:14" x14ac:dyDescent="0.15">
      <c r="A2551" s="3">
        <v>2550</v>
      </c>
      <c r="B2551" s="1" t="s">
        <v>926</v>
      </c>
      <c r="C2551" s="1" t="s">
        <v>2171</v>
      </c>
      <c r="E2551" s="1" t="s">
        <v>2172</v>
      </c>
      <c r="F2551" s="1" t="s">
        <v>284</v>
      </c>
      <c r="G2551" s="3">
        <v>0</v>
      </c>
      <c r="J2551" s="20" t="s">
        <v>5199</v>
      </c>
      <c r="K2551" s="20" t="s">
        <v>10021</v>
      </c>
      <c r="L2551" s="3">
        <v>23</v>
      </c>
      <c r="M2551" s="3" t="s">
        <v>10229</v>
      </c>
      <c r="N2551" s="3" t="str">
        <f>HYPERLINK("http://ictvonline.org/taxonomyHistory.asp?taxnode_id=20162539","ICTVonline=20162539")</f>
        <v>ICTVonline=20162539</v>
      </c>
    </row>
    <row r="2552" spans="1:14" x14ac:dyDescent="0.15">
      <c r="A2552" s="3">
        <v>2551</v>
      </c>
      <c r="B2552" s="1" t="s">
        <v>926</v>
      </c>
      <c r="C2552" s="1" t="s">
        <v>2171</v>
      </c>
      <c r="E2552" s="1" t="s">
        <v>2172</v>
      </c>
      <c r="F2552" s="1" t="s">
        <v>5326</v>
      </c>
      <c r="G2552" s="3">
        <v>0</v>
      </c>
      <c r="H2552" s="20" t="s">
        <v>7393</v>
      </c>
      <c r="I2552" s="20" t="s">
        <v>6892</v>
      </c>
      <c r="J2552" s="20" t="s">
        <v>5199</v>
      </c>
      <c r="K2552" s="20" t="s">
        <v>10013</v>
      </c>
      <c r="L2552" s="3">
        <v>30</v>
      </c>
      <c r="M2552" s="3" t="s">
        <v>10287</v>
      </c>
      <c r="N2552" s="3" t="str">
        <f>HYPERLINK("http://ictvonline.org/taxonomyHistory.asp?taxnode_id=20162540","ICTVonline=20162540")</f>
        <v>ICTVonline=20162540</v>
      </c>
    </row>
    <row r="2553" spans="1:14" x14ac:dyDescent="0.15">
      <c r="A2553" s="3">
        <v>2552</v>
      </c>
      <c r="B2553" s="1" t="s">
        <v>926</v>
      </c>
      <c r="C2553" s="1" t="s">
        <v>2171</v>
      </c>
      <c r="E2553" s="1" t="s">
        <v>2172</v>
      </c>
      <c r="F2553" s="1" t="s">
        <v>5327</v>
      </c>
      <c r="G2553" s="3">
        <v>0</v>
      </c>
      <c r="H2553" s="20" t="s">
        <v>7394</v>
      </c>
      <c r="I2553" s="20" t="s">
        <v>6893</v>
      </c>
      <c r="J2553" s="20" t="s">
        <v>5199</v>
      </c>
      <c r="K2553" s="20" t="s">
        <v>10013</v>
      </c>
      <c r="L2553" s="3">
        <v>30</v>
      </c>
      <c r="M2553" s="3" t="s">
        <v>10287</v>
      </c>
      <c r="N2553" s="3" t="str">
        <f>HYPERLINK("http://ictvonline.org/taxonomyHistory.asp?taxnode_id=20162541","ICTVonline=20162541")</f>
        <v>ICTVonline=20162541</v>
      </c>
    </row>
    <row r="2554" spans="1:14" x14ac:dyDescent="0.15">
      <c r="A2554" s="3">
        <v>2553</v>
      </c>
      <c r="B2554" s="1" t="s">
        <v>926</v>
      </c>
      <c r="C2554" s="1" t="s">
        <v>2171</v>
      </c>
      <c r="E2554" s="1" t="s">
        <v>2172</v>
      </c>
      <c r="F2554" s="1" t="s">
        <v>5328</v>
      </c>
      <c r="G2554" s="3">
        <v>0</v>
      </c>
      <c r="H2554" s="20" t="s">
        <v>7395</v>
      </c>
      <c r="I2554" s="20" t="s">
        <v>6894</v>
      </c>
      <c r="J2554" s="20" t="s">
        <v>5199</v>
      </c>
      <c r="K2554" s="20" t="s">
        <v>10013</v>
      </c>
      <c r="L2554" s="3">
        <v>30</v>
      </c>
      <c r="M2554" s="3" t="s">
        <v>10287</v>
      </c>
      <c r="N2554" s="3" t="str">
        <f>HYPERLINK("http://ictvonline.org/taxonomyHistory.asp?taxnode_id=20162542","ICTVonline=20162542")</f>
        <v>ICTVonline=20162542</v>
      </c>
    </row>
    <row r="2555" spans="1:14" x14ac:dyDescent="0.15">
      <c r="A2555" s="3">
        <v>2554</v>
      </c>
      <c r="B2555" s="1" t="s">
        <v>926</v>
      </c>
      <c r="C2555" s="1" t="s">
        <v>2171</v>
      </c>
      <c r="E2555" s="1" t="s">
        <v>2172</v>
      </c>
      <c r="F2555" s="1" t="s">
        <v>5329</v>
      </c>
      <c r="G2555" s="3">
        <v>0</v>
      </c>
      <c r="H2555" s="20" t="s">
        <v>7396</v>
      </c>
      <c r="I2555" s="20" t="s">
        <v>6895</v>
      </c>
      <c r="J2555" s="20" t="s">
        <v>5199</v>
      </c>
      <c r="K2555" s="20" t="s">
        <v>10013</v>
      </c>
      <c r="L2555" s="3">
        <v>30</v>
      </c>
      <c r="M2555" s="3" t="s">
        <v>10287</v>
      </c>
      <c r="N2555" s="3" t="str">
        <f>HYPERLINK("http://ictvonline.org/taxonomyHistory.asp?taxnode_id=20162543","ICTVonline=20162543")</f>
        <v>ICTVonline=20162543</v>
      </c>
    </row>
    <row r="2556" spans="1:14" x14ac:dyDescent="0.15">
      <c r="A2556" s="3">
        <v>2555</v>
      </c>
      <c r="B2556" s="1" t="s">
        <v>926</v>
      </c>
      <c r="C2556" s="1" t="s">
        <v>2171</v>
      </c>
      <c r="E2556" s="1" t="s">
        <v>2172</v>
      </c>
      <c r="F2556" s="1" t="s">
        <v>285</v>
      </c>
      <c r="G2556" s="3">
        <v>0</v>
      </c>
      <c r="J2556" s="20" t="s">
        <v>5199</v>
      </c>
      <c r="K2556" s="20" t="s">
        <v>10013</v>
      </c>
      <c r="L2556" s="3">
        <v>22</v>
      </c>
      <c r="M2556" s="3" t="s">
        <v>10289</v>
      </c>
      <c r="N2556" s="3" t="str">
        <f>HYPERLINK("http://ictvonline.org/taxonomyHistory.asp?taxnode_id=20162544","ICTVonline=20162544")</f>
        <v>ICTVonline=20162544</v>
      </c>
    </row>
    <row r="2557" spans="1:14" x14ac:dyDescent="0.15">
      <c r="A2557" s="3">
        <v>2556</v>
      </c>
      <c r="B2557" s="1" t="s">
        <v>926</v>
      </c>
      <c r="C2557" s="1" t="s">
        <v>2171</v>
      </c>
      <c r="E2557" s="1" t="s">
        <v>2172</v>
      </c>
      <c r="F2557" s="1" t="s">
        <v>2483</v>
      </c>
      <c r="G2557" s="3">
        <v>0</v>
      </c>
      <c r="J2557" s="20" t="s">
        <v>5199</v>
      </c>
      <c r="K2557" s="20" t="s">
        <v>10013</v>
      </c>
      <c r="L2557" s="3">
        <v>28</v>
      </c>
      <c r="M2557" s="3" t="s">
        <v>10288</v>
      </c>
      <c r="N2557" s="3" t="str">
        <f>HYPERLINK("http://ictvonline.org/taxonomyHistory.asp?taxnode_id=20162545","ICTVonline=20162545")</f>
        <v>ICTVonline=20162545</v>
      </c>
    </row>
    <row r="2558" spans="1:14" x14ac:dyDescent="0.15">
      <c r="A2558" s="3">
        <v>2557</v>
      </c>
      <c r="B2558" s="1" t="s">
        <v>926</v>
      </c>
      <c r="C2558" s="1" t="s">
        <v>2171</v>
      </c>
      <c r="E2558" s="1" t="s">
        <v>2172</v>
      </c>
      <c r="F2558" s="1" t="s">
        <v>286</v>
      </c>
      <c r="G2558" s="3">
        <v>0</v>
      </c>
      <c r="J2558" s="20" t="s">
        <v>5199</v>
      </c>
      <c r="K2558" s="20" t="s">
        <v>10021</v>
      </c>
      <c r="L2558" s="3">
        <v>22</v>
      </c>
      <c r="M2558" s="3" t="s">
        <v>10295</v>
      </c>
      <c r="N2558" s="3" t="str">
        <f>HYPERLINK("http://ictvonline.org/taxonomyHistory.asp?taxnode_id=20162546","ICTVonline=20162546")</f>
        <v>ICTVonline=20162546</v>
      </c>
    </row>
    <row r="2559" spans="1:14" x14ac:dyDescent="0.15">
      <c r="A2559" s="3">
        <v>2558</v>
      </c>
      <c r="B2559" s="1" t="s">
        <v>926</v>
      </c>
      <c r="C2559" s="1" t="s">
        <v>2171</v>
      </c>
      <c r="E2559" s="1" t="s">
        <v>2172</v>
      </c>
      <c r="F2559" s="1" t="s">
        <v>2484</v>
      </c>
      <c r="G2559" s="3">
        <v>0</v>
      </c>
      <c r="J2559" s="20" t="s">
        <v>5199</v>
      </c>
      <c r="K2559" s="20" t="s">
        <v>10013</v>
      </c>
      <c r="L2559" s="3">
        <v>28</v>
      </c>
      <c r="M2559" s="3" t="s">
        <v>10288</v>
      </c>
      <c r="N2559" s="3" t="str">
        <f>HYPERLINK("http://ictvonline.org/taxonomyHistory.asp?taxnode_id=20162547","ICTVonline=20162547")</f>
        <v>ICTVonline=20162547</v>
      </c>
    </row>
    <row r="2560" spans="1:14" x14ac:dyDescent="0.15">
      <c r="A2560" s="3">
        <v>2559</v>
      </c>
      <c r="B2560" s="1" t="s">
        <v>926</v>
      </c>
      <c r="C2560" s="1" t="s">
        <v>2171</v>
      </c>
      <c r="E2560" s="1" t="s">
        <v>2172</v>
      </c>
      <c r="F2560" s="1" t="s">
        <v>2485</v>
      </c>
      <c r="G2560" s="3">
        <v>0</v>
      </c>
      <c r="J2560" s="20" t="s">
        <v>5199</v>
      </c>
      <c r="K2560" s="20" t="s">
        <v>10013</v>
      </c>
      <c r="L2560" s="3">
        <v>28</v>
      </c>
      <c r="M2560" s="3" t="s">
        <v>10288</v>
      </c>
      <c r="N2560" s="3" t="str">
        <f>HYPERLINK("http://ictvonline.org/taxonomyHistory.asp?taxnode_id=20162548","ICTVonline=20162548")</f>
        <v>ICTVonline=20162548</v>
      </c>
    </row>
    <row r="2561" spans="1:14" x14ac:dyDescent="0.15">
      <c r="A2561" s="3">
        <v>2560</v>
      </c>
      <c r="B2561" s="1" t="s">
        <v>926</v>
      </c>
      <c r="C2561" s="1" t="s">
        <v>2171</v>
      </c>
      <c r="E2561" s="1" t="s">
        <v>2172</v>
      </c>
      <c r="F2561" s="1" t="s">
        <v>287</v>
      </c>
      <c r="G2561" s="3">
        <v>0</v>
      </c>
      <c r="J2561" s="20" t="s">
        <v>5199</v>
      </c>
      <c r="K2561" s="20" t="s">
        <v>10013</v>
      </c>
      <c r="L2561" s="3">
        <v>24</v>
      </c>
      <c r="M2561" s="3" t="s">
        <v>10291</v>
      </c>
      <c r="N2561" s="3" t="str">
        <f>HYPERLINK("http://ictvonline.org/taxonomyHistory.asp?taxnode_id=20162549","ICTVonline=20162549")</f>
        <v>ICTVonline=20162549</v>
      </c>
    </row>
    <row r="2562" spans="1:14" x14ac:dyDescent="0.15">
      <c r="A2562" s="3">
        <v>2561</v>
      </c>
      <c r="B2562" s="1" t="s">
        <v>926</v>
      </c>
      <c r="C2562" s="1" t="s">
        <v>2171</v>
      </c>
      <c r="E2562" s="1" t="s">
        <v>2172</v>
      </c>
      <c r="F2562" s="1" t="s">
        <v>5330</v>
      </c>
      <c r="G2562" s="3">
        <v>0</v>
      </c>
      <c r="H2562" s="20" t="s">
        <v>7397</v>
      </c>
      <c r="I2562" s="20" t="s">
        <v>6896</v>
      </c>
      <c r="J2562" s="20" t="s">
        <v>5199</v>
      </c>
      <c r="K2562" s="20" t="s">
        <v>10013</v>
      </c>
      <c r="L2562" s="3">
        <v>30</v>
      </c>
      <c r="M2562" s="3" t="s">
        <v>10287</v>
      </c>
      <c r="N2562" s="3" t="str">
        <f>HYPERLINK("http://ictvonline.org/taxonomyHistory.asp?taxnode_id=20162550","ICTVonline=20162550")</f>
        <v>ICTVonline=20162550</v>
      </c>
    </row>
    <row r="2563" spans="1:14" x14ac:dyDescent="0.15">
      <c r="A2563" s="3">
        <v>2562</v>
      </c>
      <c r="B2563" s="1" t="s">
        <v>926</v>
      </c>
      <c r="C2563" s="1" t="s">
        <v>2171</v>
      </c>
      <c r="E2563" s="1" t="s">
        <v>2172</v>
      </c>
      <c r="F2563" s="1" t="s">
        <v>5331</v>
      </c>
      <c r="G2563" s="3">
        <v>0</v>
      </c>
      <c r="H2563" s="20" t="s">
        <v>7398</v>
      </c>
      <c r="I2563" s="20" t="s">
        <v>6897</v>
      </c>
      <c r="J2563" s="20" t="s">
        <v>5199</v>
      </c>
      <c r="K2563" s="20" t="s">
        <v>10013</v>
      </c>
      <c r="L2563" s="3">
        <v>30</v>
      </c>
      <c r="M2563" s="3" t="s">
        <v>10287</v>
      </c>
      <c r="N2563" s="3" t="str">
        <f>HYPERLINK("http://ictvonline.org/taxonomyHistory.asp?taxnode_id=20162551","ICTVonline=20162551")</f>
        <v>ICTVonline=20162551</v>
      </c>
    </row>
    <row r="2564" spans="1:14" x14ac:dyDescent="0.15">
      <c r="A2564" s="3">
        <v>2563</v>
      </c>
      <c r="B2564" s="1" t="s">
        <v>926</v>
      </c>
      <c r="C2564" s="1" t="s">
        <v>2171</v>
      </c>
      <c r="E2564" s="1" t="s">
        <v>2172</v>
      </c>
      <c r="F2564" s="1" t="s">
        <v>5332</v>
      </c>
      <c r="G2564" s="3">
        <v>0</v>
      </c>
      <c r="H2564" s="20" t="s">
        <v>7399</v>
      </c>
      <c r="I2564" s="20" t="s">
        <v>6898</v>
      </c>
      <c r="J2564" s="20" t="s">
        <v>5199</v>
      </c>
      <c r="K2564" s="20" t="s">
        <v>10013</v>
      </c>
      <c r="L2564" s="3">
        <v>30</v>
      </c>
      <c r="M2564" s="3" t="s">
        <v>10287</v>
      </c>
      <c r="N2564" s="3" t="str">
        <f>HYPERLINK("http://ictvonline.org/taxonomyHistory.asp?taxnode_id=20162552","ICTVonline=20162552")</f>
        <v>ICTVonline=20162552</v>
      </c>
    </row>
    <row r="2565" spans="1:14" x14ac:dyDescent="0.15">
      <c r="A2565" s="3">
        <v>2564</v>
      </c>
      <c r="B2565" s="1" t="s">
        <v>926</v>
      </c>
      <c r="C2565" s="1" t="s">
        <v>2171</v>
      </c>
      <c r="E2565" s="1" t="s">
        <v>2172</v>
      </c>
      <c r="F2565" s="1" t="s">
        <v>288</v>
      </c>
      <c r="G2565" s="3">
        <v>0</v>
      </c>
      <c r="J2565" s="20" t="s">
        <v>5199</v>
      </c>
      <c r="K2565" s="20" t="s">
        <v>10013</v>
      </c>
      <c r="L2565" s="3">
        <v>24</v>
      </c>
      <c r="M2565" s="3" t="s">
        <v>10291</v>
      </c>
      <c r="N2565" s="3" t="str">
        <f>HYPERLINK("http://ictvonline.org/taxonomyHistory.asp?taxnode_id=20162553","ICTVonline=20162553")</f>
        <v>ICTVonline=20162553</v>
      </c>
    </row>
    <row r="2566" spans="1:14" x14ac:dyDescent="0.15">
      <c r="A2566" s="3">
        <v>2565</v>
      </c>
      <c r="B2566" s="1" t="s">
        <v>926</v>
      </c>
      <c r="C2566" s="1" t="s">
        <v>2171</v>
      </c>
      <c r="E2566" s="1" t="s">
        <v>2172</v>
      </c>
      <c r="F2566" s="1" t="s">
        <v>289</v>
      </c>
      <c r="G2566" s="3">
        <v>0</v>
      </c>
      <c r="J2566" s="20" t="s">
        <v>5199</v>
      </c>
      <c r="K2566" s="20" t="s">
        <v>10013</v>
      </c>
      <c r="L2566" s="3">
        <v>24</v>
      </c>
      <c r="M2566" s="3" t="s">
        <v>10291</v>
      </c>
      <c r="N2566" s="3" t="str">
        <f>HYPERLINK("http://ictvonline.org/taxonomyHistory.asp?taxnode_id=20162554","ICTVonline=20162554")</f>
        <v>ICTVonline=20162554</v>
      </c>
    </row>
    <row r="2567" spans="1:14" x14ac:dyDescent="0.15">
      <c r="A2567" s="3">
        <v>2566</v>
      </c>
      <c r="B2567" s="1" t="s">
        <v>926</v>
      </c>
      <c r="C2567" s="1" t="s">
        <v>2171</v>
      </c>
      <c r="E2567" s="1" t="s">
        <v>2172</v>
      </c>
      <c r="F2567" s="1" t="s">
        <v>5333</v>
      </c>
      <c r="G2567" s="3">
        <v>0</v>
      </c>
      <c r="H2567" s="20" t="s">
        <v>7400</v>
      </c>
      <c r="I2567" s="20" t="s">
        <v>6899</v>
      </c>
      <c r="J2567" s="20" t="s">
        <v>5199</v>
      </c>
      <c r="K2567" s="20" t="s">
        <v>10013</v>
      </c>
      <c r="L2567" s="3">
        <v>30</v>
      </c>
      <c r="M2567" s="3" t="s">
        <v>10287</v>
      </c>
      <c r="N2567" s="3" t="str">
        <f>HYPERLINK("http://ictvonline.org/taxonomyHistory.asp?taxnode_id=20162555","ICTVonline=20162555")</f>
        <v>ICTVonline=20162555</v>
      </c>
    </row>
    <row r="2568" spans="1:14" x14ac:dyDescent="0.15">
      <c r="A2568" s="3">
        <v>2567</v>
      </c>
      <c r="B2568" s="1" t="s">
        <v>926</v>
      </c>
      <c r="C2568" s="1" t="s">
        <v>2171</v>
      </c>
      <c r="E2568" s="1" t="s">
        <v>2172</v>
      </c>
      <c r="F2568" s="1" t="s">
        <v>95</v>
      </c>
      <c r="G2568" s="3">
        <v>0</v>
      </c>
      <c r="J2568" s="20" t="s">
        <v>5199</v>
      </c>
      <c r="K2568" s="20" t="s">
        <v>10021</v>
      </c>
      <c r="L2568" s="3">
        <v>26</v>
      </c>
      <c r="M2568" s="3" t="s">
        <v>10296</v>
      </c>
      <c r="N2568" s="3" t="str">
        <f>HYPERLINK("http://ictvonline.org/taxonomyHistory.asp?taxnode_id=20162556","ICTVonline=20162556")</f>
        <v>ICTVonline=20162556</v>
      </c>
    </row>
    <row r="2569" spans="1:14" x14ac:dyDescent="0.15">
      <c r="A2569" s="3">
        <v>2568</v>
      </c>
      <c r="B2569" s="1" t="s">
        <v>926</v>
      </c>
      <c r="C2569" s="1" t="s">
        <v>2171</v>
      </c>
      <c r="E2569" s="1" t="s">
        <v>2172</v>
      </c>
      <c r="F2569" s="1" t="s">
        <v>5334</v>
      </c>
      <c r="G2569" s="3">
        <v>0</v>
      </c>
      <c r="H2569" s="20" t="s">
        <v>7401</v>
      </c>
      <c r="I2569" s="20" t="s">
        <v>6900</v>
      </c>
      <c r="J2569" s="20" t="s">
        <v>5199</v>
      </c>
      <c r="K2569" s="20" t="s">
        <v>10013</v>
      </c>
      <c r="L2569" s="3">
        <v>30</v>
      </c>
      <c r="M2569" s="3" t="s">
        <v>10287</v>
      </c>
      <c r="N2569" s="3" t="str">
        <f>HYPERLINK("http://ictvonline.org/taxonomyHistory.asp?taxnode_id=20162557","ICTVonline=20162557")</f>
        <v>ICTVonline=20162557</v>
      </c>
    </row>
    <row r="2570" spans="1:14" x14ac:dyDescent="0.15">
      <c r="A2570" s="3">
        <v>2569</v>
      </c>
      <c r="B2570" s="1" t="s">
        <v>926</v>
      </c>
      <c r="C2570" s="1" t="s">
        <v>2171</v>
      </c>
      <c r="E2570" s="1" t="s">
        <v>2172</v>
      </c>
      <c r="F2570" s="1" t="s">
        <v>421</v>
      </c>
      <c r="G2570" s="3">
        <v>0</v>
      </c>
      <c r="J2570" s="20" t="s">
        <v>5199</v>
      </c>
      <c r="K2570" s="20" t="s">
        <v>10016</v>
      </c>
      <c r="L2570" s="3">
        <v>16</v>
      </c>
      <c r="M2570" s="3" t="s">
        <v>10237</v>
      </c>
      <c r="N2570" s="3" t="str">
        <f>HYPERLINK("http://ictvonline.org/taxonomyHistory.asp?taxnode_id=20162558","ICTVonline=20162558")</f>
        <v>ICTVonline=20162558</v>
      </c>
    </row>
    <row r="2571" spans="1:14" x14ac:dyDescent="0.15">
      <c r="A2571" s="3">
        <v>2570</v>
      </c>
      <c r="B2571" s="1" t="s">
        <v>926</v>
      </c>
      <c r="C2571" s="1" t="s">
        <v>2171</v>
      </c>
      <c r="E2571" s="1" t="s">
        <v>2172</v>
      </c>
      <c r="F2571" s="1" t="s">
        <v>292</v>
      </c>
      <c r="G2571" s="3">
        <v>0</v>
      </c>
      <c r="J2571" s="20" t="s">
        <v>5199</v>
      </c>
      <c r="K2571" s="20" t="s">
        <v>10013</v>
      </c>
      <c r="L2571" s="3">
        <v>22</v>
      </c>
      <c r="M2571" s="3" t="s">
        <v>10289</v>
      </c>
      <c r="N2571" s="3" t="str">
        <f>HYPERLINK("http://ictvonline.org/taxonomyHistory.asp?taxnode_id=20162559","ICTVonline=20162559")</f>
        <v>ICTVonline=20162559</v>
      </c>
    </row>
    <row r="2572" spans="1:14" x14ac:dyDescent="0.15">
      <c r="A2572" s="3">
        <v>2571</v>
      </c>
      <c r="B2572" s="1" t="s">
        <v>926</v>
      </c>
      <c r="C2572" s="1" t="s">
        <v>2171</v>
      </c>
      <c r="E2572" s="1" t="s">
        <v>2172</v>
      </c>
      <c r="F2572" s="1" t="s">
        <v>1316</v>
      </c>
      <c r="G2572" s="3">
        <v>0</v>
      </c>
      <c r="J2572" s="20" t="s">
        <v>5199</v>
      </c>
      <c r="K2572" s="20" t="s">
        <v>10013</v>
      </c>
      <c r="L2572" s="3">
        <v>24</v>
      </c>
      <c r="M2572" s="3" t="s">
        <v>10294</v>
      </c>
      <c r="N2572" s="3" t="str">
        <f>HYPERLINK("http://ictvonline.org/taxonomyHistory.asp?taxnode_id=20162560","ICTVonline=20162560")</f>
        <v>ICTVonline=20162560</v>
      </c>
    </row>
    <row r="2573" spans="1:14" x14ac:dyDescent="0.15">
      <c r="A2573" s="3">
        <v>2572</v>
      </c>
      <c r="B2573" s="1" t="s">
        <v>926</v>
      </c>
      <c r="C2573" s="1" t="s">
        <v>2171</v>
      </c>
      <c r="E2573" s="1" t="s">
        <v>2172</v>
      </c>
      <c r="F2573" s="1" t="s">
        <v>294</v>
      </c>
      <c r="G2573" s="3">
        <v>0</v>
      </c>
      <c r="J2573" s="20" t="s">
        <v>5199</v>
      </c>
      <c r="K2573" s="20" t="s">
        <v>10013</v>
      </c>
      <c r="L2573" s="3">
        <v>22</v>
      </c>
      <c r="M2573" s="3" t="s">
        <v>10289</v>
      </c>
      <c r="N2573" s="3" t="str">
        <f>HYPERLINK("http://ictvonline.org/taxonomyHistory.asp?taxnode_id=20162561","ICTVonline=20162561")</f>
        <v>ICTVonline=20162561</v>
      </c>
    </row>
    <row r="2574" spans="1:14" x14ac:dyDescent="0.15">
      <c r="A2574" s="3">
        <v>2573</v>
      </c>
      <c r="B2574" s="1" t="s">
        <v>926</v>
      </c>
      <c r="C2574" s="1" t="s">
        <v>2171</v>
      </c>
      <c r="E2574" s="1" t="s">
        <v>2172</v>
      </c>
      <c r="F2574" s="1" t="s">
        <v>295</v>
      </c>
      <c r="G2574" s="3">
        <v>0</v>
      </c>
      <c r="J2574" s="20" t="s">
        <v>5199</v>
      </c>
      <c r="K2574" s="20" t="s">
        <v>10013</v>
      </c>
      <c r="L2574" s="3">
        <v>22</v>
      </c>
      <c r="M2574" s="3" t="s">
        <v>10289</v>
      </c>
      <c r="N2574" s="3" t="str">
        <f>HYPERLINK("http://ictvonline.org/taxonomyHistory.asp?taxnode_id=20162562","ICTVonline=20162562")</f>
        <v>ICTVonline=20162562</v>
      </c>
    </row>
    <row r="2575" spans="1:14" x14ac:dyDescent="0.15">
      <c r="A2575" s="3">
        <v>2574</v>
      </c>
      <c r="B2575" s="1" t="s">
        <v>926</v>
      </c>
      <c r="C2575" s="1" t="s">
        <v>2171</v>
      </c>
      <c r="E2575" s="1" t="s">
        <v>2172</v>
      </c>
      <c r="F2575" s="1" t="s">
        <v>415</v>
      </c>
      <c r="G2575" s="3">
        <v>0</v>
      </c>
      <c r="J2575" s="20" t="s">
        <v>5199</v>
      </c>
      <c r="K2575" s="20" t="s">
        <v>10216</v>
      </c>
      <c r="L2575" s="3">
        <v>24</v>
      </c>
      <c r="M2575" s="3" t="s">
        <v>10293</v>
      </c>
      <c r="N2575" s="3" t="str">
        <f>HYPERLINK("http://ictvonline.org/taxonomyHistory.asp?taxnode_id=20162563","ICTVonline=20162563")</f>
        <v>ICTVonline=20162563</v>
      </c>
    </row>
    <row r="2576" spans="1:14" x14ac:dyDescent="0.15">
      <c r="A2576" s="3">
        <v>2575</v>
      </c>
      <c r="B2576" s="1" t="s">
        <v>926</v>
      </c>
      <c r="C2576" s="1" t="s">
        <v>2171</v>
      </c>
      <c r="E2576" s="1" t="s">
        <v>2172</v>
      </c>
      <c r="F2576" s="1" t="s">
        <v>416</v>
      </c>
      <c r="G2576" s="3">
        <v>0</v>
      </c>
      <c r="J2576" s="20" t="s">
        <v>5199</v>
      </c>
      <c r="K2576" s="20" t="s">
        <v>10013</v>
      </c>
      <c r="L2576" s="3">
        <v>17</v>
      </c>
      <c r="M2576" s="3" t="s">
        <v>10208</v>
      </c>
      <c r="N2576" s="3" t="str">
        <f>HYPERLINK("http://ictvonline.org/taxonomyHistory.asp?taxnode_id=20162564","ICTVonline=20162564")</f>
        <v>ICTVonline=20162564</v>
      </c>
    </row>
    <row r="2577" spans="1:14" x14ac:dyDescent="0.15">
      <c r="A2577" s="3">
        <v>2576</v>
      </c>
      <c r="B2577" s="1" t="s">
        <v>926</v>
      </c>
      <c r="C2577" s="1" t="s">
        <v>2171</v>
      </c>
      <c r="E2577" s="1" t="s">
        <v>2172</v>
      </c>
      <c r="F2577" s="1" t="s">
        <v>5335</v>
      </c>
      <c r="G2577" s="3">
        <v>0</v>
      </c>
      <c r="H2577" s="20" t="s">
        <v>7402</v>
      </c>
      <c r="I2577" s="20" t="s">
        <v>6901</v>
      </c>
      <c r="J2577" s="20" t="s">
        <v>5199</v>
      </c>
      <c r="K2577" s="20" t="s">
        <v>10013</v>
      </c>
      <c r="L2577" s="3">
        <v>30</v>
      </c>
      <c r="M2577" s="3" t="s">
        <v>10287</v>
      </c>
      <c r="N2577" s="3" t="str">
        <f>HYPERLINK("http://ictvonline.org/taxonomyHistory.asp?taxnode_id=20162565","ICTVonline=20162565")</f>
        <v>ICTVonline=20162565</v>
      </c>
    </row>
    <row r="2578" spans="1:14" x14ac:dyDescent="0.15">
      <c r="A2578" s="3">
        <v>2577</v>
      </c>
      <c r="B2578" s="1" t="s">
        <v>926</v>
      </c>
      <c r="C2578" s="1" t="s">
        <v>2171</v>
      </c>
      <c r="E2578" s="1" t="s">
        <v>2172</v>
      </c>
      <c r="F2578" s="1" t="s">
        <v>1546</v>
      </c>
      <c r="G2578" s="3">
        <v>0</v>
      </c>
      <c r="J2578" s="20" t="s">
        <v>5199</v>
      </c>
      <c r="K2578" s="20" t="s">
        <v>10013</v>
      </c>
      <c r="L2578" s="3">
        <v>22</v>
      </c>
      <c r="M2578" s="3" t="s">
        <v>10297</v>
      </c>
      <c r="N2578" s="3" t="str">
        <f>HYPERLINK("http://ictvonline.org/taxonomyHistory.asp?taxnode_id=20162566","ICTVonline=20162566")</f>
        <v>ICTVonline=20162566</v>
      </c>
    </row>
    <row r="2579" spans="1:14" x14ac:dyDescent="0.15">
      <c r="A2579" s="3">
        <v>2578</v>
      </c>
      <c r="B2579" s="1" t="s">
        <v>926</v>
      </c>
      <c r="C2579" s="1" t="s">
        <v>2171</v>
      </c>
      <c r="E2579" s="1" t="s">
        <v>2172</v>
      </c>
      <c r="F2579" s="1" t="s">
        <v>1786</v>
      </c>
      <c r="G2579" s="3">
        <v>0</v>
      </c>
      <c r="J2579" s="20" t="s">
        <v>5199</v>
      </c>
      <c r="K2579" s="20" t="s">
        <v>10021</v>
      </c>
      <c r="L2579" s="3">
        <v>26</v>
      </c>
      <c r="M2579" s="3" t="s">
        <v>10296</v>
      </c>
      <c r="N2579" s="3" t="str">
        <f>HYPERLINK("http://ictvonline.org/taxonomyHistory.asp?taxnode_id=20162567","ICTVonline=20162567")</f>
        <v>ICTVonline=20162567</v>
      </c>
    </row>
    <row r="2580" spans="1:14" x14ac:dyDescent="0.15">
      <c r="A2580" s="3">
        <v>2579</v>
      </c>
      <c r="B2580" s="1" t="s">
        <v>926</v>
      </c>
      <c r="C2580" s="1" t="s">
        <v>2171</v>
      </c>
      <c r="E2580" s="1" t="s">
        <v>2172</v>
      </c>
      <c r="F2580" s="1" t="s">
        <v>2486</v>
      </c>
      <c r="G2580" s="3">
        <v>0</v>
      </c>
      <c r="J2580" s="20" t="s">
        <v>5199</v>
      </c>
      <c r="K2580" s="20" t="s">
        <v>10013</v>
      </c>
      <c r="L2580" s="3">
        <v>28</v>
      </c>
      <c r="M2580" s="3" t="s">
        <v>10288</v>
      </c>
      <c r="N2580" s="3" t="str">
        <f>HYPERLINK("http://ictvonline.org/taxonomyHistory.asp?taxnode_id=20162568","ICTVonline=20162568")</f>
        <v>ICTVonline=20162568</v>
      </c>
    </row>
    <row r="2581" spans="1:14" x14ac:dyDescent="0.15">
      <c r="A2581" s="3">
        <v>2580</v>
      </c>
      <c r="B2581" s="1" t="s">
        <v>926</v>
      </c>
      <c r="C2581" s="1" t="s">
        <v>2171</v>
      </c>
      <c r="E2581" s="1" t="s">
        <v>2172</v>
      </c>
      <c r="F2581" s="1" t="s">
        <v>2487</v>
      </c>
      <c r="G2581" s="3">
        <v>0</v>
      </c>
      <c r="J2581" s="20" t="s">
        <v>5199</v>
      </c>
      <c r="K2581" s="20" t="s">
        <v>10013</v>
      </c>
      <c r="L2581" s="3">
        <v>28</v>
      </c>
      <c r="M2581" s="3" t="s">
        <v>10288</v>
      </c>
      <c r="N2581" s="3" t="str">
        <f>HYPERLINK("http://ictvonline.org/taxonomyHistory.asp?taxnode_id=20162569","ICTVonline=20162569")</f>
        <v>ICTVonline=20162569</v>
      </c>
    </row>
    <row r="2582" spans="1:14" x14ac:dyDescent="0.15">
      <c r="A2582" s="3">
        <v>2581</v>
      </c>
      <c r="B2582" s="1" t="s">
        <v>926</v>
      </c>
      <c r="C2582" s="1" t="s">
        <v>2171</v>
      </c>
      <c r="E2582" s="1" t="s">
        <v>2172</v>
      </c>
      <c r="F2582" s="1" t="s">
        <v>1547</v>
      </c>
      <c r="G2582" s="3">
        <v>0</v>
      </c>
      <c r="J2582" s="20" t="s">
        <v>5199</v>
      </c>
      <c r="K2582" s="20" t="s">
        <v>10013</v>
      </c>
      <c r="L2582" s="3">
        <v>24</v>
      </c>
      <c r="M2582" s="3" t="s">
        <v>10291</v>
      </c>
      <c r="N2582" s="3" t="str">
        <f>HYPERLINK("http://ictvonline.org/taxonomyHistory.asp?taxnode_id=20162570","ICTVonline=20162570")</f>
        <v>ICTVonline=20162570</v>
      </c>
    </row>
    <row r="2583" spans="1:14" x14ac:dyDescent="0.15">
      <c r="A2583" s="3">
        <v>2582</v>
      </c>
      <c r="B2583" s="1" t="s">
        <v>926</v>
      </c>
      <c r="C2583" s="1" t="s">
        <v>2171</v>
      </c>
      <c r="E2583" s="1" t="s">
        <v>2172</v>
      </c>
      <c r="F2583" s="1" t="s">
        <v>1548</v>
      </c>
      <c r="G2583" s="3">
        <v>0</v>
      </c>
      <c r="J2583" s="20" t="s">
        <v>5199</v>
      </c>
      <c r="K2583" s="20" t="s">
        <v>10013</v>
      </c>
      <c r="L2583" s="3">
        <v>24</v>
      </c>
      <c r="M2583" s="3" t="s">
        <v>10291</v>
      </c>
      <c r="N2583" s="3" t="str">
        <f>HYPERLINK("http://ictvonline.org/taxonomyHistory.asp?taxnode_id=20162571","ICTVonline=20162571")</f>
        <v>ICTVonline=20162571</v>
      </c>
    </row>
    <row r="2584" spans="1:14" x14ac:dyDescent="0.15">
      <c r="A2584" s="3">
        <v>2583</v>
      </c>
      <c r="B2584" s="1" t="s">
        <v>926</v>
      </c>
      <c r="C2584" s="1" t="s">
        <v>2171</v>
      </c>
      <c r="E2584" s="1" t="s">
        <v>2172</v>
      </c>
      <c r="F2584" s="1" t="s">
        <v>1549</v>
      </c>
      <c r="G2584" s="3">
        <v>0</v>
      </c>
      <c r="J2584" s="20" t="s">
        <v>5199</v>
      </c>
      <c r="K2584" s="20" t="s">
        <v>10013</v>
      </c>
      <c r="L2584" s="3">
        <v>22</v>
      </c>
      <c r="M2584" s="3" t="s">
        <v>10289</v>
      </c>
      <c r="N2584" s="3" t="str">
        <f>HYPERLINK("http://ictvonline.org/taxonomyHistory.asp?taxnode_id=20162572","ICTVonline=20162572")</f>
        <v>ICTVonline=20162572</v>
      </c>
    </row>
    <row r="2585" spans="1:14" x14ac:dyDescent="0.15">
      <c r="A2585" s="3">
        <v>2584</v>
      </c>
      <c r="B2585" s="1" t="s">
        <v>926</v>
      </c>
      <c r="C2585" s="1" t="s">
        <v>2171</v>
      </c>
      <c r="E2585" s="1" t="s">
        <v>2172</v>
      </c>
      <c r="F2585" s="1" t="s">
        <v>1550</v>
      </c>
      <c r="G2585" s="3">
        <v>0</v>
      </c>
      <c r="J2585" s="20" t="s">
        <v>5199</v>
      </c>
      <c r="K2585" s="20" t="s">
        <v>10013</v>
      </c>
      <c r="L2585" s="3">
        <v>23</v>
      </c>
      <c r="M2585" s="3" t="s">
        <v>10229</v>
      </c>
      <c r="N2585" s="3" t="str">
        <f>HYPERLINK("http://ictvonline.org/taxonomyHistory.asp?taxnode_id=20162573","ICTVonline=20162573")</f>
        <v>ICTVonline=20162573</v>
      </c>
    </row>
    <row r="2586" spans="1:14" x14ac:dyDescent="0.15">
      <c r="A2586" s="3">
        <v>2585</v>
      </c>
      <c r="B2586" s="1" t="s">
        <v>926</v>
      </c>
      <c r="C2586" s="1" t="s">
        <v>2171</v>
      </c>
      <c r="E2586" s="1" t="s">
        <v>2172</v>
      </c>
      <c r="F2586" s="1" t="s">
        <v>443</v>
      </c>
      <c r="G2586" s="3">
        <v>0</v>
      </c>
      <c r="J2586" s="20" t="s">
        <v>5199</v>
      </c>
      <c r="K2586" s="20" t="s">
        <v>10013</v>
      </c>
      <c r="L2586" s="3">
        <v>22</v>
      </c>
      <c r="M2586" s="3" t="s">
        <v>10289</v>
      </c>
      <c r="N2586" s="3" t="str">
        <f>HYPERLINK("http://ictvonline.org/taxonomyHistory.asp?taxnode_id=20162574","ICTVonline=20162574")</f>
        <v>ICTVonline=20162574</v>
      </c>
    </row>
    <row r="2587" spans="1:14" x14ac:dyDescent="0.15">
      <c r="A2587" s="3">
        <v>2586</v>
      </c>
      <c r="B2587" s="1" t="s">
        <v>926</v>
      </c>
      <c r="C2587" s="1" t="s">
        <v>2171</v>
      </c>
      <c r="E2587" s="1" t="s">
        <v>2172</v>
      </c>
      <c r="F2587" s="1" t="s">
        <v>444</v>
      </c>
      <c r="G2587" s="3">
        <v>0</v>
      </c>
      <c r="J2587" s="20" t="s">
        <v>5199</v>
      </c>
      <c r="K2587" s="20" t="s">
        <v>10013</v>
      </c>
      <c r="L2587" s="3">
        <v>24</v>
      </c>
      <c r="M2587" s="3" t="s">
        <v>10294</v>
      </c>
      <c r="N2587" s="3" t="str">
        <f>HYPERLINK("http://ictvonline.org/taxonomyHistory.asp?taxnode_id=20162575","ICTVonline=20162575")</f>
        <v>ICTVonline=20162575</v>
      </c>
    </row>
    <row r="2588" spans="1:14" x14ac:dyDescent="0.15">
      <c r="A2588" s="3">
        <v>2587</v>
      </c>
      <c r="B2588" s="1" t="s">
        <v>926</v>
      </c>
      <c r="C2588" s="1" t="s">
        <v>2171</v>
      </c>
      <c r="E2588" s="1" t="s">
        <v>2172</v>
      </c>
      <c r="F2588" s="1" t="s">
        <v>445</v>
      </c>
      <c r="G2588" s="3">
        <v>0</v>
      </c>
      <c r="J2588" s="20" t="s">
        <v>5199</v>
      </c>
      <c r="K2588" s="20" t="s">
        <v>10013</v>
      </c>
      <c r="L2588" s="3">
        <v>22</v>
      </c>
      <c r="M2588" s="3" t="s">
        <v>10289</v>
      </c>
      <c r="N2588" s="3" t="str">
        <f>HYPERLINK("http://ictvonline.org/taxonomyHistory.asp?taxnode_id=20162576","ICTVonline=20162576")</f>
        <v>ICTVonline=20162576</v>
      </c>
    </row>
    <row r="2589" spans="1:14" x14ac:dyDescent="0.15">
      <c r="A2589" s="3">
        <v>2588</v>
      </c>
      <c r="B2589" s="1" t="s">
        <v>926</v>
      </c>
      <c r="C2589" s="1" t="s">
        <v>2171</v>
      </c>
      <c r="E2589" s="1" t="s">
        <v>2172</v>
      </c>
      <c r="F2589" s="1" t="s">
        <v>446</v>
      </c>
      <c r="G2589" s="3">
        <v>0</v>
      </c>
      <c r="J2589" s="20" t="s">
        <v>5199</v>
      </c>
      <c r="K2589" s="20" t="s">
        <v>10013</v>
      </c>
      <c r="L2589" s="3">
        <v>17</v>
      </c>
      <c r="M2589" s="3" t="s">
        <v>10208</v>
      </c>
      <c r="N2589" s="3" t="str">
        <f>HYPERLINK("http://ictvonline.org/taxonomyHistory.asp?taxnode_id=20162577","ICTVonline=20162577")</f>
        <v>ICTVonline=20162577</v>
      </c>
    </row>
    <row r="2590" spans="1:14" x14ac:dyDescent="0.15">
      <c r="A2590" s="3">
        <v>2589</v>
      </c>
      <c r="B2590" s="1" t="s">
        <v>926</v>
      </c>
      <c r="C2590" s="1" t="s">
        <v>2171</v>
      </c>
      <c r="E2590" s="1" t="s">
        <v>2172</v>
      </c>
      <c r="F2590" s="1" t="s">
        <v>447</v>
      </c>
      <c r="G2590" s="3">
        <v>0</v>
      </c>
      <c r="J2590" s="20" t="s">
        <v>5199</v>
      </c>
      <c r="K2590" s="20" t="s">
        <v>10013</v>
      </c>
      <c r="L2590" s="3">
        <v>22</v>
      </c>
      <c r="M2590" s="3" t="s">
        <v>10289</v>
      </c>
      <c r="N2590" s="3" t="str">
        <f>HYPERLINK("http://ictvonline.org/taxonomyHistory.asp?taxnode_id=20162578","ICTVonline=20162578")</f>
        <v>ICTVonline=20162578</v>
      </c>
    </row>
    <row r="2591" spans="1:14" x14ac:dyDescent="0.15">
      <c r="A2591" s="3">
        <v>2590</v>
      </c>
      <c r="B2591" s="1" t="s">
        <v>926</v>
      </c>
      <c r="C2591" s="1" t="s">
        <v>2171</v>
      </c>
      <c r="E2591" s="1" t="s">
        <v>2172</v>
      </c>
      <c r="F2591" s="1" t="s">
        <v>5336</v>
      </c>
      <c r="G2591" s="3">
        <v>0</v>
      </c>
      <c r="H2591" s="20" t="s">
        <v>7403</v>
      </c>
      <c r="I2591" s="20" t="s">
        <v>6902</v>
      </c>
      <c r="J2591" s="20" t="s">
        <v>5199</v>
      </c>
      <c r="K2591" s="20" t="s">
        <v>10013</v>
      </c>
      <c r="L2591" s="3">
        <v>30</v>
      </c>
      <c r="M2591" s="3" t="s">
        <v>10287</v>
      </c>
      <c r="N2591" s="3" t="str">
        <f>HYPERLINK("http://ictvonline.org/taxonomyHistory.asp?taxnode_id=20162579","ICTVonline=20162579")</f>
        <v>ICTVonline=20162579</v>
      </c>
    </row>
    <row r="2592" spans="1:14" x14ac:dyDescent="0.15">
      <c r="A2592" s="3">
        <v>2591</v>
      </c>
      <c r="B2592" s="1" t="s">
        <v>926</v>
      </c>
      <c r="C2592" s="1" t="s">
        <v>2171</v>
      </c>
      <c r="E2592" s="1" t="s">
        <v>2172</v>
      </c>
      <c r="F2592" s="1" t="s">
        <v>448</v>
      </c>
      <c r="G2592" s="3">
        <v>0</v>
      </c>
      <c r="J2592" s="20" t="s">
        <v>5199</v>
      </c>
      <c r="K2592" s="20" t="s">
        <v>10013</v>
      </c>
      <c r="L2592" s="3">
        <v>24</v>
      </c>
      <c r="M2592" s="3" t="s">
        <v>10291</v>
      </c>
      <c r="N2592" s="3" t="str">
        <f>HYPERLINK("http://ictvonline.org/taxonomyHistory.asp?taxnode_id=20162580","ICTVonline=20162580")</f>
        <v>ICTVonline=20162580</v>
      </c>
    </row>
    <row r="2593" spans="1:14" x14ac:dyDescent="0.15">
      <c r="A2593" s="3">
        <v>2592</v>
      </c>
      <c r="B2593" s="1" t="s">
        <v>926</v>
      </c>
      <c r="C2593" s="1" t="s">
        <v>2171</v>
      </c>
      <c r="E2593" s="1" t="s">
        <v>2172</v>
      </c>
      <c r="F2593" s="1" t="s">
        <v>301</v>
      </c>
      <c r="G2593" s="3">
        <v>0</v>
      </c>
      <c r="J2593" s="20" t="s">
        <v>5199</v>
      </c>
      <c r="K2593" s="20" t="s">
        <v>10013</v>
      </c>
      <c r="L2593" s="3">
        <v>24</v>
      </c>
      <c r="M2593" s="3" t="s">
        <v>10290</v>
      </c>
      <c r="N2593" s="3" t="str">
        <f>HYPERLINK("http://ictvonline.org/taxonomyHistory.asp?taxnode_id=20162581","ICTVonline=20162581")</f>
        <v>ICTVonline=20162581</v>
      </c>
    </row>
    <row r="2594" spans="1:14" x14ac:dyDescent="0.15">
      <c r="A2594" s="3">
        <v>2593</v>
      </c>
      <c r="B2594" s="1" t="s">
        <v>926</v>
      </c>
      <c r="C2594" s="1" t="s">
        <v>2171</v>
      </c>
      <c r="E2594" s="1" t="s">
        <v>2172</v>
      </c>
      <c r="F2594" s="1" t="s">
        <v>438</v>
      </c>
      <c r="G2594" s="3">
        <v>0</v>
      </c>
      <c r="J2594" s="20" t="s">
        <v>5199</v>
      </c>
      <c r="K2594" s="20" t="s">
        <v>10013</v>
      </c>
      <c r="L2594" s="3">
        <v>22</v>
      </c>
      <c r="M2594" s="3" t="s">
        <v>10289</v>
      </c>
      <c r="N2594" s="3" t="str">
        <f>HYPERLINK("http://ictvonline.org/taxonomyHistory.asp?taxnode_id=20162582","ICTVonline=20162582")</f>
        <v>ICTVonline=20162582</v>
      </c>
    </row>
    <row r="2595" spans="1:14" x14ac:dyDescent="0.15">
      <c r="A2595" s="3">
        <v>2594</v>
      </c>
      <c r="B2595" s="1" t="s">
        <v>926</v>
      </c>
      <c r="C2595" s="1" t="s">
        <v>2171</v>
      </c>
      <c r="E2595" s="1" t="s">
        <v>2172</v>
      </c>
      <c r="F2595" s="1" t="s">
        <v>304</v>
      </c>
      <c r="G2595" s="3">
        <v>0</v>
      </c>
      <c r="J2595" s="20" t="s">
        <v>5199</v>
      </c>
      <c r="K2595" s="20" t="s">
        <v>10013</v>
      </c>
      <c r="L2595" s="3">
        <v>24</v>
      </c>
      <c r="M2595" s="3" t="s">
        <v>10291</v>
      </c>
      <c r="N2595" s="3" t="str">
        <f>HYPERLINK("http://ictvonline.org/taxonomyHistory.asp?taxnode_id=20162583","ICTVonline=20162583")</f>
        <v>ICTVonline=20162583</v>
      </c>
    </row>
    <row r="2596" spans="1:14" x14ac:dyDescent="0.15">
      <c r="A2596" s="3">
        <v>2595</v>
      </c>
      <c r="B2596" s="1" t="s">
        <v>926</v>
      </c>
      <c r="C2596" s="1" t="s">
        <v>2171</v>
      </c>
      <c r="E2596" s="1" t="s">
        <v>2172</v>
      </c>
      <c r="F2596" s="1" t="s">
        <v>305</v>
      </c>
      <c r="G2596" s="3">
        <v>0</v>
      </c>
      <c r="J2596" s="20" t="s">
        <v>5199</v>
      </c>
      <c r="K2596" s="20" t="s">
        <v>10013</v>
      </c>
      <c r="L2596" s="3">
        <v>23</v>
      </c>
      <c r="M2596" s="3" t="s">
        <v>10229</v>
      </c>
      <c r="N2596" s="3" t="str">
        <f>HYPERLINK("http://ictvonline.org/taxonomyHistory.asp?taxnode_id=20162584","ICTVonline=20162584")</f>
        <v>ICTVonline=20162584</v>
      </c>
    </row>
    <row r="2597" spans="1:14" x14ac:dyDescent="0.15">
      <c r="A2597" s="3">
        <v>2596</v>
      </c>
      <c r="B2597" s="1" t="s">
        <v>926</v>
      </c>
      <c r="C2597" s="1" t="s">
        <v>2171</v>
      </c>
      <c r="E2597" s="1" t="s">
        <v>2172</v>
      </c>
      <c r="F2597" s="1" t="s">
        <v>306</v>
      </c>
      <c r="G2597" s="3">
        <v>0</v>
      </c>
      <c r="J2597" s="20" t="s">
        <v>5199</v>
      </c>
      <c r="K2597" s="20" t="s">
        <v>10013</v>
      </c>
      <c r="L2597" s="3">
        <v>24</v>
      </c>
      <c r="M2597" s="3" t="s">
        <v>10291</v>
      </c>
      <c r="N2597" s="3" t="str">
        <f>HYPERLINK("http://ictvonline.org/taxonomyHistory.asp?taxnode_id=20162585","ICTVonline=20162585")</f>
        <v>ICTVonline=20162585</v>
      </c>
    </row>
    <row r="2598" spans="1:14" x14ac:dyDescent="0.15">
      <c r="A2598" s="3">
        <v>2597</v>
      </c>
      <c r="B2598" s="1" t="s">
        <v>926</v>
      </c>
      <c r="C2598" s="1" t="s">
        <v>2171</v>
      </c>
      <c r="E2598" s="1" t="s">
        <v>2172</v>
      </c>
      <c r="F2598" s="1" t="s">
        <v>2488</v>
      </c>
      <c r="G2598" s="3">
        <v>0</v>
      </c>
      <c r="J2598" s="20" t="s">
        <v>5199</v>
      </c>
      <c r="K2598" s="20" t="s">
        <v>10013</v>
      </c>
      <c r="L2598" s="3">
        <v>28</v>
      </c>
      <c r="M2598" s="3" t="s">
        <v>10288</v>
      </c>
      <c r="N2598" s="3" t="str">
        <f>HYPERLINK("http://ictvonline.org/taxonomyHistory.asp?taxnode_id=20162586","ICTVonline=20162586")</f>
        <v>ICTVonline=20162586</v>
      </c>
    </row>
    <row r="2599" spans="1:14" x14ac:dyDescent="0.15">
      <c r="A2599" s="3">
        <v>2598</v>
      </c>
      <c r="B2599" s="1" t="s">
        <v>926</v>
      </c>
      <c r="C2599" s="1" t="s">
        <v>2171</v>
      </c>
      <c r="E2599" s="1" t="s">
        <v>2172</v>
      </c>
      <c r="F2599" s="1" t="s">
        <v>5337</v>
      </c>
      <c r="G2599" s="3">
        <v>0</v>
      </c>
      <c r="H2599" s="20" t="s">
        <v>7404</v>
      </c>
      <c r="I2599" s="20" t="s">
        <v>6903</v>
      </c>
      <c r="J2599" s="20" t="s">
        <v>5199</v>
      </c>
      <c r="K2599" s="20" t="s">
        <v>10013</v>
      </c>
      <c r="L2599" s="3">
        <v>30</v>
      </c>
      <c r="M2599" s="3" t="s">
        <v>10287</v>
      </c>
      <c r="N2599" s="3" t="str">
        <f>HYPERLINK("http://ictvonline.org/taxonomyHistory.asp?taxnode_id=20162587","ICTVonline=20162587")</f>
        <v>ICTVonline=20162587</v>
      </c>
    </row>
    <row r="2600" spans="1:14" x14ac:dyDescent="0.15">
      <c r="A2600" s="3">
        <v>2599</v>
      </c>
      <c r="B2600" s="1" t="s">
        <v>926</v>
      </c>
      <c r="C2600" s="1" t="s">
        <v>2171</v>
      </c>
      <c r="E2600" s="1" t="s">
        <v>2172</v>
      </c>
      <c r="F2600" s="1" t="s">
        <v>5338</v>
      </c>
      <c r="G2600" s="3">
        <v>0</v>
      </c>
      <c r="H2600" s="20" t="s">
        <v>7405</v>
      </c>
      <c r="I2600" s="20" t="s">
        <v>6904</v>
      </c>
      <c r="J2600" s="20" t="s">
        <v>5199</v>
      </c>
      <c r="K2600" s="20" t="s">
        <v>10013</v>
      </c>
      <c r="L2600" s="3">
        <v>30</v>
      </c>
      <c r="M2600" s="3" t="s">
        <v>10287</v>
      </c>
      <c r="N2600" s="3" t="str">
        <f>HYPERLINK("http://ictvonline.org/taxonomyHistory.asp?taxnode_id=20162588","ICTVonline=20162588")</f>
        <v>ICTVonline=20162588</v>
      </c>
    </row>
    <row r="2601" spans="1:14" x14ac:dyDescent="0.15">
      <c r="A2601" s="3">
        <v>2600</v>
      </c>
      <c r="B2601" s="1" t="s">
        <v>926</v>
      </c>
      <c r="C2601" s="1" t="s">
        <v>2171</v>
      </c>
      <c r="E2601" s="1" t="s">
        <v>2172</v>
      </c>
      <c r="F2601" s="1" t="s">
        <v>5339</v>
      </c>
      <c r="G2601" s="3">
        <v>0</v>
      </c>
      <c r="H2601" s="20" t="s">
        <v>7406</v>
      </c>
      <c r="I2601" s="20" t="s">
        <v>6905</v>
      </c>
      <c r="J2601" s="20" t="s">
        <v>5199</v>
      </c>
      <c r="K2601" s="20" t="s">
        <v>10013</v>
      </c>
      <c r="L2601" s="3">
        <v>30</v>
      </c>
      <c r="M2601" s="3" t="s">
        <v>10287</v>
      </c>
      <c r="N2601" s="3" t="str">
        <f>HYPERLINK("http://ictvonline.org/taxonomyHistory.asp?taxnode_id=20162589","ICTVonline=20162589")</f>
        <v>ICTVonline=20162589</v>
      </c>
    </row>
    <row r="2602" spans="1:14" x14ac:dyDescent="0.15">
      <c r="A2602" s="3">
        <v>2601</v>
      </c>
      <c r="B2602" s="1" t="s">
        <v>926</v>
      </c>
      <c r="C2602" s="1" t="s">
        <v>2171</v>
      </c>
      <c r="E2602" s="1" t="s">
        <v>2172</v>
      </c>
      <c r="F2602" s="1" t="s">
        <v>2489</v>
      </c>
      <c r="G2602" s="3">
        <v>0</v>
      </c>
      <c r="J2602" s="20" t="s">
        <v>5199</v>
      </c>
      <c r="K2602" s="20" t="s">
        <v>10013</v>
      </c>
      <c r="L2602" s="3">
        <v>28</v>
      </c>
      <c r="M2602" s="3" t="s">
        <v>10288</v>
      </c>
      <c r="N2602" s="3" t="str">
        <f>HYPERLINK("http://ictvonline.org/taxonomyHistory.asp?taxnode_id=20162590","ICTVonline=20162590")</f>
        <v>ICTVonline=20162590</v>
      </c>
    </row>
    <row r="2603" spans="1:14" x14ac:dyDescent="0.15">
      <c r="A2603" s="3">
        <v>2602</v>
      </c>
      <c r="B2603" s="1" t="s">
        <v>926</v>
      </c>
      <c r="C2603" s="1" t="s">
        <v>2171</v>
      </c>
      <c r="E2603" s="1" t="s">
        <v>2172</v>
      </c>
      <c r="F2603" s="1" t="s">
        <v>1752</v>
      </c>
      <c r="G2603" s="3">
        <v>0</v>
      </c>
      <c r="J2603" s="20" t="s">
        <v>5199</v>
      </c>
      <c r="K2603" s="20" t="s">
        <v>10016</v>
      </c>
      <c r="L2603" s="3">
        <v>16</v>
      </c>
      <c r="M2603" s="3" t="s">
        <v>10237</v>
      </c>
      <c r="N2603" s="3" t="str">
        <f>HYPERLINK("http://ictvonline.org/taxonomyHistory.asp?taxnode_id=20162591","ICTVonline=20162591")</f>
        <v>ICTVonline=20162591</v>
      </c>
    </row>
    <row r="2604" spans="1:14" x14ac:dyDescent="0.15">
      <c r="A2604" s="3">
        <v>2603</v>
      </c>
      <c r="B2604" s="1" t="s">
        <v>926</v>
      </c>
      <c r="C2604" s="1" t="s">
        <v>2171</v>
      </c>
      <c r="E2604" s="1" t="s">
        <v>2172</v>
      </c>
      <c r="F2604" s="1" t="s">
        <v>1753</v>
      </c>
      <c r="G2604" s="3">
        <v>0</v>
      </c>
      <c r="J2604" s="20" t="s">
        <v>5199</v>
      </c>
      <c r="K2604" s="20" t="s">
        <v>10216</v>
      </c>
      <c r="L2604" s="3">
        <v>24</v>
      </c>
      <c r="M2604" s="3" t="s">
        <v>10293</v>
      </c>
      <c r="N2604" s="3" t="str">
        <f>HYPERLINK("http://ictvonline.org/taxonomyHistory.asp?taxnode_id=20162592","ICTVonline=20162592")</f>
        <v>ICTVonline=20162592</v>
      </c>
    </row>
    <row r="2605" spans="1:14" x14ac:dyDescent="0.15">
      <c r="A2605" s="3">
        <v>2604</v>
      </c>
      <c r="B2605" s="1" t="s">
        <v>926</v>
      </c>
      <c r="C2605" s="1" t="s">
        <v>2171</v>
      </c>
      <c r="E2605" s="1" t="s">
        <v>2172</v>
      </c>
      <c r="F2605" s="1" t="s">
        <v>1202</v>
      </c>
      <c r="G2605" s="3">
        <v>0</v>
      </c>
      <c r="J2605" s="20" t="s">
        <v>5199</v>
      </c>
      <c r="K2605" s="20" t="s">
        <v>10013</v>
      </c>
      <c r="L2605" s="3">
        <v>24</v>
      </c>
      <c r="M2605" s="3" t="s">
        <v>10290</v>
      </c>
      <c r="N2605" s="3" t="str">
        <f>HYPERLINK("http://ictvonline.org/taxonomyHistory.asp?taxnode_id=20162593","ICTVonline=20162593")</f>
        <v>ICTVonline=20162593</v>
      </c>
    </row>
    <row r="2606" spans="1:14" x14ac:dyDescent="0.15">
      <c r="A2606" s="3">
        <v>2605</v>
      </c>
      <c r="B2606" s="1" t="s">
        <v>926</v>
      </c>
      <c r="C2606" s="1" t="s">
        <v>2171</v>
      </c>
      <c r="E2606" s="1" t="s">
        <v>2172</v>
      </c>
      <c r="F2606" s="1" t="s">
        <v>1203</v>
      </c>
      <c r="G2606" s="3">
        <v>0</v>
      </c>
      <c r="J2606" s="20" t="s">
        <v>5199</v>
      </c>
      <c r="K2606" s="20" t="s">
        <v>10016</v>
      </c>
      <c r="L2606" s="3">
        <v>16</v>
      </c>
      <c r="M2606" s="3" t="s">
        <v>10237</v>
      </c>
      <c r="N2606" s="3" t="str">
        <f>HYPERLINK("http://ictvonline.org/taxonomyHistory.asp?taxnode_id=20162594","ICTVonline=20162594")</f>
        <v>ICTVonline=20162594</v>
      </c>
    </row>
    <row r="2607" spans="1:14" x14ac:dyDescent="0.15">
      <c r="A2607" s="3">
        <v>2606</v>
      </c>
      <c r="B2607" s="1" t="s">
        <v>926</v>
      </c>
      <c r="C2607" s="1" t="s">
        <v>2171</v>
      </c>
      <c r="E2607" s="1" t="s">
        <v>2172</v>
      </c>
      <c r="F2607" s="1" t="s">
        <v>2490</v>
      </c>
      <c r="G2607" s="3">
        <v>0</v>
      </c>
      <c r="J2607" s="20" t="s">
        <v>5199</v>
      </c>
      <c r="K2607" s="20" t="s">
        <v>10013</v>
      </c>
      <c r="L2607" s="3">
        <v>28</v>
      </c>
      <c r="M2607" s="3" t="s">
        <v>10288</v>
      </c>
      <c r="N2607" s="3" t="str">
        <f>HYPERLINK("http://ictvonline.org/taxonomyHistory.asp?taxnode_id=20162595","ICTVonline=20162595")</f>
        <v>ICTVonline=20162595</v>
      </c>
    </row>
    <row r="2608" spans="1:14" x14ac:dyDescent="0.15">
      <c r="A2608" s="3">
        <v>2607</v>
      </c>
      <c r="B2608" s="1" t="s">
        <v>926</v>
      </c>
      <c r="C2608" s="1" t="s">
        <v>2171</v>
      </c>
      <c r="E2608" s="1" t="s">
        <v>2172</v>
      </c>
      <c r="F2608" s="1" t="s">
        <v>5340</v>
      </c>
      <c r="G2608" s="3">
        <v>0</v>
      </c>
      <c r="H2608" s="20" t="s">
        <v>7407</v>
      </c>
      <c r="I2608" s="20" t="s">
        <v>6906</v>
      </c>
      <c r="J2608" s="20" t="s">
        <v>5199</v>
      </c>
      <c r="K2608" s="20" t="s">
        <v>10013</v>
      </c>
      <c r="L2608" s="3">
        <v>30</v>
      </c>
      <c r="M2608" s="3" t="s">
        <v>10287</v>
      </c>
      <c r="N2608" s="3" t="str">
        <f>HYPERLINK("http://ictvonline.org/taxonomyHistory.asp?taxnode_id=20162596","ICTVonline=20162596")</f>
        <v>ICTVonline=20162596</v>
      </c>
    </row>
    <row r="2609" spans="1:14" x14ac:dyDescent="0.15">
      <c r="A2609" s="3">
        <v>2608</v>
      </c>
      <c r="B2609" s="1" t="s">
        <v>926</v>
      </c>
      <c r="C2609" s="1" t="s">
        <v>2171</v>
      </c>
      <c r="E2609" s="1" t="s">
        <v>2172</v>
      </c>
      <c r="F2609" s="1" t="s">
        <v>2491</v>
      </c>
      <c r="G2609" s="3">
        <v>0</v>
      </c>
      <c r="J2609" s="20" t="s">
        <v>5199</v>
      </c>
      <c r="K2609" s="20" t="s">
        <v>10013</v>
      </c>
      <c r="L2609" s="3">
        <v>28</v>
      </c>
      <c r="M2609" s="3" t="s">
        <v>10288</v>
      </c>
      <c r="N2609" s="3" t="str">
        <f>HYPERLINK("http://ictvonline.org/taxonomyHistory.asp?taxnode_id=20162597","ICTVonline=20162597")</f>
        <v>ICTVonline=20162597</v>
      </c>
    </row>
    <row r="2610" spans="1:14" x14ac:dyDescent="0.15">
      <c r="A2610" s="3">
        <v>2609</v>
      </c>
      <c r="B2610" s="1" t="s">
        <v>926</v>
      </c>
      <c r="C2610" s="1" t="s">
        <v>2171</v>
      </c>
      <c r="E2610" s="1" t="s">
        <v>2172</v>
      </c>
      <c r="F2610" s="1" t="s">
        <v>5341</v>
      </c>
      <c r="G2610" s="3">
        <v>0</v>
      </c>
      <c r="H2610" s="20" t="s">
        <v>7408</v>
      </c>
      <c r="I2610" s="20" t="s">
        <v>6907</v>
      </c>
      <c r="J2610" s="20" t="s">
        <v>5199</v>
      </c>
      <c r="K2610" s="20" t="s">
        <v>10013</v>
      </c>
      <c r="L2610" s="3">
        <v>30</v>
      </c>
      <c r="M2610" s="3" t="s">
        <v>10287</v>
      </c>
      <c r="N2610" s="3" t="str">
        <f>HYPERLINK("http://ictvonline.org/taxonomyHistory.asp?taxnode_id=20162598","ICTVonline=20162598")</f>
        <v>ICTVonline=20162598</v>
      </c>
    </row>
    <row r="2611" spans="1:14" x14ac:dyDescent="0.15">
      <c r="A2611" s="3">
        <v>2610</v>
      </c>
      <c r="B2611" s="1" t="s">
        <v>926</v>
      </c>
      <c r="C2611" s="1" t="s">
        <v>2171</v>
      </c>
      <c r="E2611" s="1" t="s">
        <v>2172</v>
      </c>
      <c r="F2611" s="1" t="s">
        <v>5342</v>
      </c>
      <c r="G2611" s="3">
        <v>0</v>
      </c>
      <c r="H2611" s="20" t="s">
        <v>7409</v>
      </c>
      <c r="I2611" s="20" t="s">
        <v>6908</v>
      </c>
      <c r="J2611" s="20" t="s">
        <v>5199</v>
      </c>
      <c r="K2611" s="20" t="s">
        <v>10013</v>
      </c>
      <c r="L2611" s="3">
        <v>30</v>
      </c>
      <c r="M2611" s="3" t="s">
        <v>10287</v>
      </c>
      <c r="N2611" s="3" t="str">
        <f>HYPERLINK("http://ictvonline.org/taxonomyHistory.asp?taxnode_id=20162599","ICTVonline=20162599")</f>
        <v>ICTVonline=20162599</v>
      </c>
    </row>
    <row r="2612" spans="1:14" x14ac:dyDescent="0.15">
      <c r="A2612" s="3">
        <v>2611</v>
      </c>
      <c r="B2612" s="1" t="s">
        <v>926</v>
      </c>
      <c r="C2612" s="1" t="s">
        <v>2171</v>
      </c>
      <c r="E2612" s="1" t="s">
        <v>2172</v>
      </c>
      <c r="F2612" s="1" t="s">
        <v>5343</v>
      </c>
      <c r="G2612" s="3">
        <v>0</v>
      </c>
      <c r="H2612" s="20" t="s">
        <v>7410</v>
      </c>
      <c r="I2612" s="20" t="s">
        <v>6909</v>
      </c>
      <c r="J2612" s="20" t="s">
        <v>5199</v>
      </c>
      <c r="K2612" s="20" t="s">
        <v>10013</v>
      </c>
      <c r="L2612" s="3">
        <v>30</v>
      </c>
      <c r="M2612" s="3" t="s">
        <v>10287</v>
      </c>
      <c r="N2612" s="3" t="str">
        <f>HYPERLINK("http://ictvonline.org/taxonomyHistory.asp?taxnode_id=20162600","ICTVonline=20162600")</f>
        <v>ICTVonline=20162600</v>
      </c>
    </row>
    <row r="2613" spans="1:14" x14ac:dyDescent="0.15">
      <c r="A2613" s="3">
        <v>2612</v>
      </c>
      <c r="B2613" s="1" t="s">
        <v>926</v>
      </c>
      <c r="C2613" s="1" t="s">
        <v>2171</v>
      </c>
      <c r="E2613" s="1" t="s">
        <v>2172</v>
      </c>
      <c r="F2613" s="1" t="s">
        <v>1204</v>
      </c>
      <c r="G2613" s="3">
        <v>0</v>
      </c>
      <c r="J2613" s="20" t="s">
        <v>5199</v>
      </c>
      <c r="K2613" s="20" t="s">
        <v>10013</v>
      </c>
      <c r="L2613" s="3">
        <v>24</v>
      </c>
      <c r="M2613" s="3" t="s">
        <v>10291</v>
      </c>
      <c r="N2613" s="3" t="str">
        <f>HYPERLINK("http://ictvonline.org/taxonomyHistory.asp?taxnode_id=20162601","ICTVonline=20162601")</f>
        <v>ICTVonline=20162601</v>
      </c>
    </row>
    <row r="2614" spans="1:14" x14ac:dyDescent="0.15">
      <c r="A2614" s="3">
        <v>2613</v>
      </c>
      <c r="B2614" s="1" t="s">
        <v>926</v>
      </c>
      <c r="C2614" s="1" t="s">
        <v>2171</v>
      </c>
      <c r="E2614" s="1" t="s">
        <v>2172</v>
      </c>
      <c r="F2614" s="1" t="s">
        <v>2492</v>
      </c>
      <c r="G2614" s="3">
        <v>0</v>
      </c>
      <c r="J2614" s="20" t="s">
        <v>5199</v>
      </c>
      <c r="K2614" s="20" t="s">
        <v>10013</v>
      </c>
      <c r="L2614" s="3">
        <v>28</v>
      </c>
      <c r="M2614" s="3" t="s">
        <v>10288</v>
      </c>
      <c r="N2614" s="3" t="str">
        <f>HYPERLINK("http://ictvonline.org/taxonomyHistory.asp?taxnode_id=20162602","ICTVonline=20162602")</f>
        <v>ICTVonline=20162602</v>
      </c>
    </row>
    <row r="2615" spans="1:14" x14ac:dyDescent="0.15">
      <c r="A2615" s="3">
        <v>2614</v>
      </c>
      <c r="B2615" s="1" t="s">
        <v>926</v>
      </c>
      <c r="C2615" s="1" t="s">
        <v>2171</v>
      </c>
      <c r="E2615" s="1" t="s">
        <v>2172</v>
      </c>
      <c r="F2615" s="1" t="s">
        <v>1205</v>
      </c>
      <c r="G2615" s="3">
        <v>0</v>
      </c>
      <c r="J2615" s="20" t="s">
        <v>5199</v>
      </c>
      <c r="K2615" s="20" t="s">
        <v>10013</v>
      </c>
      <c r="L2615" s="3">
        <v>24</v>
      </c>
      <c r="M2615" s="3" t="s">
        <v>10290</v>
      </c>
      <c r="N2615" s="3" t="str">
        <f>HYPERLINK("http://ictvonline.org/taxonomyHistory.asp?taxnode_id=20162603","ICTVonline=20162603")</f>
        <v>ICTVonline=20162603</v>
      </c>
    </row>
    <row r="2616" spans="1:14" x14ac:dyDescent="0.15">
      <c r="A2616" s="3">
        <v>2615</v>
      </c>
      <c r="B2616" s="1" t="s">
        <v>926</v>
      </c>
      <c r="C2616" s="1" t="s">
        <v>2171</v>
      </c>
      <c r="E2616" s="1" t="s">
        <v>2172</v>
      </c>
      <c r="F2616" s="1" t="s">
        <v>1223</v>
      </c>
      <c r="G2616" s="3">
        <v>0</v>
      </c>
      <c r="J2616" s="20" t="s">
        <v>5199</v>
      </c>
      <c r="K2616" s="20" t="s">
        <v>10013</v>
      </c>
      <c r="L2616" s="3">
        <v>24</v>
      </c>
      <c r="M2616" s="3" t="s">
        <v>10291</v>
      </c>
      <c r="N2616" s="3" t="str">
        <f>HYPERLINK("http://ictvonline.org/taxonomyHistory.asp?taxnode_id=20162604","ICTVonline=20162604")</f>
        <v>ICTVonline=20162604</v>
      </c>
    </row>
    <row r="2617" spans="1:14" x14ac:dyDescent="0.15">
      <c r="A2617" s="3">
        <v>2616</v>
      </c>
      <c r="B2617" s="1" t="s">
        <v>926</v>
      </c>
      <c r="C2617" s="1" t="s">
        <v>2171</v>
      </c>
      <c r="E2617" s="1" t="s">
        <v>2172</v>
      </c>
      <c r="F2617" s="1" t="s">
        <v>1224</v>
      </c>
      <c r="G2617" s="3">
        <v>0</v>
      </c>
      <c r="J2617" s="20" t="s">
        <v>5199</v>
      </c>
      <c r="K2617" s="20" t="s">
        <v>10013</v>
      </c>
      <c r="L2617" s="3">
        <v>24</v>
      </c>
      <c r="M2617" s="3" t="s">
        <v>10294</v>
      </c>
      <c r="N2617" s="3" t="str">
        <f>HYPERLINK("http://ictvonline.org/taxonomyHistory.asp?taxnode_id=20162605","ICTVonline=20162605")</f>
        <v>ICTVonline=20162605</v>
      </c>
    </row>
    <row r="2618" spans="1:14" x14ac:dyDescent="0.15">
      <c r="A2618" s="3">
        <v>2617</v>
      </c>
      <c r="B2618" s="1" t="s">
        <v>926</v>
      </c>
      <c r="C2618" s="1" t="s">
        <v>2171</v>
      </c>
      <c r="E2618" s="1" t="s">
        <v>2172</v>
      </c>
      <c r="F2618" s="1" t="s">
        <v>1225</v>
      </c>
      <c r="G2618" s="3">
        <v>0</v>
      </c>
      <c r="J2618" s="20" t="s">
        <v>5199</v>
      </c>
      <c r="K2618" s="20" t="s">
        <v>10013</v>
      </c>
      <c r="L2618" s="3">
        <v>23</v>
      </c>
      <c r="M2618" s="3" t="s">
        <v>10229</v>
      </c>
      <c r="N2618" s="3" t="str">
        <f>HYPERLINK("http://ictvonline.org/taxonomyHistory.asp?taxnode_id=20162606","ICTVonline=20162606")</f>
        <v>ICTVonline=20162606</v>
      </c>
    </row>
    <row r="2619" spans="1:14" x14ac:dyDescent="0.15">
      <c r="A2619" s="3">
        <v>2618</v>
      </c>
      <c r="B2619" s="1" t="s">
        <v>926</v>
      </c>
      <c r="C2619" s="1" t="s">
        <v>2171</v>
      </c>
      <c r="E2619" s="1" t="s">
        <v>2172</v>
      </c>
      <c r="F2619" s="1" t="s">
        <v>2493</v>
      </c>
      <c r="G2619" s="3">
        <v>0</v>
      </c>
      <c r="J2619" s="20" t="s">
        <v>5199</v>
      </c>
      <c r="K2619" s="20" t="s">
        <v>10013</v>
      </c>
      <c r="L2619" s="3">
        <v>28</v>
      </c>
      <c r="M2619" s="3" t="s">
        <v>10288</v>
      </c>
      <c r="N2619" s="3" t="str">
        <f>HYPERLINK("http://ictvonline.org/taxonomyHistory.asp?taxnode_id=20162607","ICTVonline=20162607")</f>
        <v>ICTVonline=20162607</v>
      </c>
    </row>
    <row r="2620" spans="1:14" x14ac:dyDescent="0.15">
      <c r="A2620" s="3">
        <v>2619</v>
      </c>
      <c r="B2620" s="1" t="s">
        <v>926</v>
      </c>
      <c r="C2620" s="1" t="s">
        <v>2171</v>
      </c>
      <c r="E2620" s="1" t="s">
        <v>2172</v>
      </c>
      <c r="F2620" s="1" t="s">
        <v>1780</v>
      </c>
      <c r="G2620" s="3">
        <v>0</v>
      </c>
      <c r="J2620" s="20" t="s">
        <v>5199</v>
      </c>
      <c r="K2620" s="20" t="s">
        <v>10013</v>
      </c>
      <c r="L2620" s="3">
        <v>22</v>
      </c>
      <c r="M2620" s="3" t="s">
        <v>10289</v>
      </c>
      <c r="N2620" s="3" t="str">
        <f>HYPERLINK("http://ictvonline.org/taxonomyHistory.asp?taxnode_id=20162608","ICTVonline=20162608")</f>
        <v>ICTVonline=20162608</v>
      </c>
    </row>
    <row r="2621" spans="1:14" x14ac:dyDescent="0.15">
      <c r="A2621" s="3">
        <v>2620</v>
      </c>
      <c r="B2621" s="1" t="s">
        <v>926</v>
      </c>
      <c r="C2621" s="1" t="s">
        <v>2171</v>
      </c>
      <c r="E2621" s="1" t="s">
        <v>2172</v>
      </c>
      <c r="F2621" s="1" t="s">
        <v>1781</v>
      </c>
      <c r="G2621" s="3">
        <v>0</v>
      </c>
      <c r="J2621" s="20" t="s">
        <v>5199</v>
      </c>
      <c r="K2621" s="20" t="s">
        <v>10013</v>
      </c>
      <c r="L2621" s="3">
        <v>22</v>
      </c>
      <c r="M2621" s="3" t="s">
        <v>10289</v>
      </c>
      <c r="N2621" s="3" t="str">
        <f>HYPERLINK("http://ictvonline.org/taxonomyHistory.asp?taxnode_id=20162609","ICTVonline=20162609")</f>
        <v>ICTVonline=20162609</v>
      </c>
    </row>
    <row r="2622" spans="1:14" x14ac:dyDescent="0.15">
      <c r="A2622" s="3">
        <v>2621</v>
      </c>
      <c r="B2622" s="1" t="s">
        <v>926</v>
      </c>
      <c r="C2622" s="1" t="s">
        <v>2171</v>
      </c>
      <c r="E2622" s="1" t="s">
        <v>2172</v>
      </c>
      <c r="F2622" s="1" t="s">
        <v>1782</v>
      </c>
      <c r="G2622" s="3">
        <v>0</v>
      </c>
      <c r="J2622" s="20" t="s">
        <v>5199</v>
      </c>
      <c r="K2622" s="20" t="s">
        <v>10013</v>
      </c>
      <c r="L2622" s="3">
        <v>22</v>
      </c>
      <c r="M2622" s="3" t="s">
        <v>10289</v>
      </c>
      <c r="N2622" s="3" t="str">
        <f>HYPERLINK("http://ictvonline.org/taxonomyHistory.asp?taxnode_id=20162610","ICTVonline=20162610")</f>
        <v>ICTVonline=20162610</v>
      </c>
    </row>
    <row r="2623" spans="1:14" x14ac:dyDescent="0.15">
      <c r="A2623" s="3">
        <v>2622</v>
      </c>
      <c r="B2623" s="1" t="s">
        <v>926</v>
      </c>
      <c r="C2623" s="1" t="s">
        <v>2171</v>
      </c>
      <c r="E2623" s="1" t="s">
        <v>2172</v>
      </c>
      <c r="F2623" s="1" t="s">
        <v>2494</v>
      </c>
      <c r="G2623" s="3">
        <v>0</v>
      </c>
      <c r="J2623" s="20" t="s">
        <v>5199</v>
      </c>
      <c r="K2623" s="20" t="s">
        <v>10013</v>
      </c>
      <c r="L2623" s="3">
        <v>28</v>
      </c>
      <c r="M2623" s="3" t="s">
        <v>10288</v>
      </c>
      <c r="N2623" s="3" t="str">
        <f>HYPERLINK("http://ictvonline.org/taxonomyHistory.asp?taxnode_id=20162611","ICTVonline=20162611")</f>
        <v>ICTVonline=20162611</v>
      </c>
    </row>
    <row r="2624" spans="1:14" x14ac:dyDescent="0.15">
      <c r="A2624" s="3">
        <v>2623</v>
      </c>
      <c r="B2624" s="1" t="s">
        <v>926</v>
      </c>
      <c r="C2624" s="1" t="s">
        <v>2171</v>
      </c>
      <c r="E2624" s="1" t="s">
        <v>2172</v>
      </c>
      <c r="F2624" s="1" t="s">
        <v>2495</v>
      </c>
      <c r="G2624" s="3">
        <v>0</v>
      </c>
      <c r="J2624" s="20" t="s">
        <v>5199</v>
      </c>
      <c r="K2624" s="20" t="s">
        <v>10013</v>
      </c>
      <c r="L2624" s="3">
        <v>28</v>
      </c>
      <c r="M2624" s="3" t="s">
        <v>10288</v>
      </c>
      <c r="N2624" s="3" t="str">
        <f>HYPERLINK("http://ictvonline.org/taxonomyHistory.asp?taxnode_id=20162612","ICTVonline=20162612")</f>
        <v>ICTVonline=20162612</v>
      </c>
    </row>
    <row r="2625" spans="1:14" x14ac:dyDescent="0.15">
      <c r="A2625" s="3">
        <v>2624</v>
      </c>
      <c r="B2625" s="1" t="s">
        <v>926</v>
      </c>
      <c r="C2625" s="1" t="s">
        <v>2171</v>
      </c>
      <c r="E2625" s="1" t="s">
        <v>2172</v>
      </c>
      <c r="F2625" s="1" t="s">
        <v>5344</v>
      </c>
      <c r="G2625" s="3">
        <v>0</v>
      </c>
      <c r="H2625" s="20" t="s">
        <v>7411</v>
      </c>
      <c r="I2625" s="20" t="s">
        <v>6910</v>
      </c>
      <c r="J2625" s="20" t="s">
        <v>5199</v>
      </c>
      <c r="K2625" s="20" t="s">
        <v>10013</v>
      </c>
      <c r="L2625" s="3">
        <v>30</v>
      </c>
      <c r="M2625" s="3" t="s">
        <v>10287</v>
      </c>
      <c r="N2625" s="3" t="str">
        <f>HYPERLINK("http://ictvonline.org/taxonomyHistory.asp?taxnode_id=20162613","ICTVonline=20162613")</f>
        <v>ICTVonline=20162613</v>
      </c>
    </row>
    <row r="2626" spans="1:14" x14ac:dyDescent="0.15">
      <c r="A2626" s="3">
        <v>2625</v>
      </c>
      <c r="B2626" s="1" t="s">
        <v>926</v>
      </c>
      <c r="C2626" s="1" t="s">
        <v>2171</v>
      </c>
      <c r="E2626" s="1" t="s">
        <v>2172</v>
      </c>
      <c r="F2626" s="1" t="s">
        <v>1783</v>
      </c>
      <c r="G2626" s="3">
        <v>0</v>
      </c>
      <c r="J2626" s="20" t="s">
        <v>5199</v>
      </c>
      <c r="K2626" s="20" t="s">
        <v>10013</v>
      </c>
      <c r="L2626" s="3">
        <v>24</v>
      </c>
      <c r="M2626" s="3" t="s">
        <v>10294</v>
      </c>
      <c r="N2626" s="3" t="str">
        <f>HYPERLINK("http://ictvonline.org/taxonomyHistory.asp?taxnode_id=20162614","ICTVonline=20162614")</f>
        <v>ICTVonline=20162614</v>
      </c>
    </row>
    <row r="2627" spans="1:14" x14ac:dyDescent="0.15">
      <c r="A2627" s="3">
        <v>2626</v>
      </c>
      <c r="B2627" s="1" t="s">
        <v>926</v>
      </c>
      <c r="C2627" s="1" t="s">
        <v>2171</v>
      </c>
      <c r="E2627" s="1" t="s">
        <v>2172</v>
      </c>
      <c r="F2627" s="1" t="s">
        <v>2496</v>
      </c>
      <c r="G2627" s="3">
        <v>0</v>
      </c>
      <c r="J2627" s="20" t="s">
        <v>5199</v>
      </c>
      <c r="K2627" s="20" t="s">
        <v>10013</v>
      </c>
      <c r="L2627" s="3">
        <v>28</v>
      </c>
      <c r="M2627" s="3" t="s">
        <v>10288</v>
      </c>
      <c r="N2627" s="3" t="str">
        <f>HYPERLINK("http://ictvonline.org/taxonomyHistory.asp?taxnode_id=20162615","ICTVonline=20162615")</f>
        <v>ICTVonline=20162615</v>
      </c>
    </row>
    <row r="2628" spans="1:14" x14ac:dyDescent="0.15">
      <c r="A2628" s="3">
        <v>2627</v>
      </c>
      <c r="B2628" s="1" t="s">
        <v>926</v>
      </c>
      <c r="C2628" s="1" t="s">
        <v>2171</v>
      </c>
      <c r="E2628" s="1" t="s">
        <v>2172</v>
      </c>
      <c r="F2628" s="1" t="s">
        <v>2497</v>
      </c>
      <c r="G2628" s="3">
        <v>0</v>
      </c>
      <c r="J2628" s="20" t="s">
        <v>5199</v>
      </c>
      <c r="K2628" s="20" t="s">
        <v>10013</v>
      </c>
      <c r="L2628" s="3">
        <v>28</v>
      </c>
      <c r="M2628" s="3" t="s">
        <v>10288</v>
      </c>
      <c r="N2628" s="3" t="str">
        <f>HYPERLINK("http://ictvonline.org/taxonomyHistory.asp?taxnode_id=20162616","ICTVonline=20162616")</f>
        <v>ICTVonline=20162616</v>
      </c>
    </row>
    <row r="2629" spans="1:14" x14ac:dyDescent="0.15">
      <c r="A2629" s="3">
        <v>2628</v>
      </c>
      <c r="B2629" s="1" t="s">
        <v>926</v>
      </c>
      <c r="C2629" s="1" t="s">
        <v>2171</v>
      </c>
      <c r="E2629" s="1" t="s">
        <v>2172</v>
      </c>
      <c r="F2629" s="1" t="s">
        <v>1784</v>
      </c>
      <c r="G2629" s="3">
        <v>0</v>
      </c>
      <c r="J2629" s="20" t="s">
        <v>5199</v>
      </c>
      <c r="K2629" s="20" t="s">
        <v>10013</v>
      </c>
      <c r="L2629" s="3">
        <v>24</v>
      </c>
      <c r="M2629" s="3" t="s">
        <v>10294</v>
      </c>
      <c r="N2629" s="3" t="str">
        <f>HYPERLINK("http://ictvonline.org/taxonomyHistory.asp?taxnode_id=20162617","ICTVonline=20162617")</f>
        <v>ICTVonline=20162617</v>
      </c>
    </row>
    <row r="2630" spans="1:14" x14ac:dyDescent="0.15">
      <c r="A2630" s="3">
        <v>2629</v>
      </c>
      <c r="B2630" s="1" t="s">
        <v>926</v>
      </c>
      <c r="C2630" s="1" t="s">
        <v>2171</v>
      </c>
      <c r="E2630" s="1" t="s">
        <v>2172</v>
      </c>
      <c r="F2630" s="1" t="s">
        <v>2498</v>
      </c>
      <c r="G2630" s="3">
        <v>0</v>
      </c>
      <c r="J2630" s="20" t="s">
        <v>5199</v>
      </c>
      <c r="K2630" s="20" t="s">
        <v>10013</v>
      </c>
      <c r="L2630" s="3">
        <v>28</v>
      </c>
      <c r="M2630" s="3" t="s">
        <v>10288</v>
      </c>
      <c r="N2630" s="3" t="str">
        <f>HYPERLINK("http://ictvonline.org/taxonomyHistory.asp?taxnode_id=20162618","ICTVonline=20162618")</f>
        <v>ICTVonline=20162618</v>
      </c>
    </row>
    <row r="2631" spans="1:14" x14ac:dyDescent="0.15">
      <c r="A2631" s="3">
        <v>2630</v>
      </c>
      <c r="B2631" s="1" t="s">
        <v>926</v>
      </c>
      <c r="C2631" s="1" t="s">
        <v>2171</v>
      </c>
      <c r="E2631" s="1" t="s">
        <v>2172</v>
      </c>
      <c r="F2631" s="1" t="s">
        <v>1776</v>
      </c>
      <c r="G2631" s="3">
        <v>0</v>
      </c>
      <c r="J2631" s="20" t="s">
        <v>5199</v>
      </c>
      <c r="K2631" s="20" t="s">
        <v>10013</v>
      </c>
      <c r="L2631" s="3">
        <v>22</v>
      </c>
      <c r="M2631" s="3" t="s">
        <v>10289</v>
      </c>
      <c r="N2631" s="3" t="str">
        <f>HYPERLINK("http://ictvonline.org/taxonomyHistory.asp?taxnode_id=20162619","ICTVonline=20162619")</f>
        <v>ICTVonline=20162619</v>
      </c>
    </row>
    <row r="2632" spans="1:14" x14ac:dyDescent="0.15">
      <c r="A2632" s="3">
        <v>2631</v>
      </c>
      <c r="B2632" s="1" t="s">
        <v>926</v>
      </c>
      <c r="C2632" s="1" t="s">
        <v>2171</v>
      </c>
      <c r="E2632" s="1" t="s">
        <v>2172</v>
      </c>
      <c r="F2632" s="1" t="s">
        <v>1777</v>
      </c>
      <c r="G2632" s="3">
        <v>0</v>
      </c>
      <c r="J2632" s="20" t="s">
        <v>5199</v>
      </c>
      <c r="K2632" s="20" t="s">
        <v>10013</v>
      </c>
      <c r="L2632" s="3">
        <v>24</v>
      </c>
      <c r="M2632" s="3" t="s">
        <v>10290</v>
      </c>
      <c r="N2632" s="3" t="str">
        <f>HYPERLINK("http://ictvonline.org/taxonomyHistory.asp?taxnode_id=20162620","ICTVonline=20162620")</f>
        <v>ICTVonline=20162620</v>
      </c>
    </row>
    <row r="2633" spans="1:14" x14ac:dyDescent="0.15">
      <c r="A2633" s="3">
        <v>2632</v>
      </c>
      <c r="B2633" s="1" t="s">
        <v>926</v>
      </c>
      <c r="C2633" s="1" t="s">
        <v>2171</v>
      </c>
      <c r="E2633" s="1" t="s">
        <v>2172</v>
      </c>
      <c r="F2633" s="1" t="s">
        <v>1778</v>
      </c>
      <c r="G2633" s="3">
        <v>0</v>
      </c>
      <c r="J2633" s="20" t="s">
        <v>5199</v>
      </c>
      <c r="K2633" s="20" t="s">
        <v>10013</v>
      </c>
      <c r="L2633" s="3">
        <v>22</v>
      </c>
      <c r="M2633" s="3" t="s">
        <v>10289</v>
      </c>
      <c r="N2633" s="3" t="str">
        <f>HYPERLINK("http://ictvonline.org/taxonomyHistory.asp?taxnode_id=20162621","ICTVonline=20162621")</f>
        <v>ICTVonline=20162621</v>
      </c>
    </row>
    <row r="2634" spans="1:14" x14ac:dyDescent="0.15">
      <c r="A2634" s="3">
        <v>2633</v>
      </c>
      <c r="B2634" s="1" t="s">
        <v>926</v>
      </c>
      <c r="C2634" s="1" t="s">
        <v>2171</v>
      </c>
      <c r="E2634" s="1" t="s">
        <v>2172</v>
      </c>
      <c r="F2634" s="1" t="s">
        <v>2499</v>
      </c>
      <c r="G2634" s="3">
        <v>0</v>
      </c>
      <c r="J2634" s="20" t="s">
        <v>5199</v>
      </c>
      <c r="K2634" s="20" t="s">
        <v>10013</v>
      </c>
      <c r="L2634" s="3">
        <v>28</v>
      </c>
      <c r="M2634" s="3" t="s">
        <v>10288</v>
      </c>
      <c r="N2634" s="3" t="str">
        <f>HYPERLINK("http://ictvonline.org/taxonomyHistory.asp?taxnode_id=20162622","ICTVonline=20162622")</f>
        <v>ICTVonline=20162622</v>
      </c>
    </row>
    <row r="2635" spans="1:14" x14ac:dyDescent="0.15">
      <c r="A2635" s="3">
        <v>2634</v>
      </c>
      <c r="B2635" s="1" t="s">
        <v>926</v>
      </c>
      <c r="C2635" s="1" t="s">
        <v>2171</v>
      </c>
      <c r="E2635" s="1" t="s">
        <v>2172</v>
      </c>
      <c r="F2635" s="1" t="s">
        <v>2500</v>
      </c>
      <c r="G2635" s="3">
        <v>0</v>
      </c>
      <c r="J2635" s="20" t="s">
        <v>5199</v>
      </c>
      <c r="K2635" s="20" t="s">
        <v>10013</v>
      </c>
      <c r="L2635" s="3">
        <v>28</v>
      </c>
      <c r="M2635" s="3" t="s">
        <v>10288</v>
      </c>
      <c r="N2635" s="3" t="str">
        <f>HYPERLINK("http://ictvonline.org/taxonomyHistory.asp?taxnode_id=20162623","ICTVonline=20162623")</f>
        <v>ICTVonline=20162623</v>
      </c>
    </row>
    <row r="2636" spans="1:14" x14ac:dyDescent="0.15">
      <c r="A2636" s="3">
        <v>2635</v>
      </c>
      <c r="B2636" s="1" t="s">
        <v>926</v>
      </c>
      <c r="C2636" s="1" t="s">
        <v>2171</v>
      </c>
      <c r="E2636" s="1" t="s">
        <v>2172</v>
      </c>
      <c r="F2636" s="1" t="s">
        <v>96</v>
      </c>
      <c r="G2636" s="3">
        <v>0</v>
      </c>
      <c r="J2636" s="20" t="s">
        <v>5199</v>
      </c>
      <c r="K2636" s="20" t="s">
        <v>10021</v>
      </c>
      <c r="L2636" s="3">
        <v>26</v>
      </c>
      <c r="M2636" s="3" t="s">
        <v>10296</v>
      </c>
      <c r="N2636" s="3" t="str">
        <f>HYPERLINK("http://ictvonline.org/taxonomyHistory.asp?taxnode_id=20162624","ICTVonline=20162624")</f>
        <v>ICTVonline=20162624</v>
      </c>
    </row>
    <row r="2637" spans="1:14" x14ac:dyDescent="0.15">
      <c r="A2637" s="3">
        <v>2636</v>
      </c>
      <c r="B2637" s="1" t="s">
        <v>926</v>
      </c>
      <c r="C2637" s="1" t="s">
        <v>2171</v>
      </c>
      <c r="E2637" s="1" t="s">
        <v>2172</v>
      </c>
      <c r="F2637" s="1" t="s">
        <v>5345</v>
      </c>
      <c r="G2637" s="3">
        <v>0</v>
      </c>
      <c r="H2637" s="20" t="s">
        <v>7412</v>
      </c>
      <c r="I2637" s="20" t="s">
        <v>6911</v>
      </c>
      <c r="J2637" s="20" t="s">
        <v>5199</v>
      </c>
      <c r="K2637" s="20" t="s">
        <v>10013</v>
      </c>
      <c r="L2637" s="3">
        <v>30</v>
      </c>
      <c r="M2637" s="3" t="s">
        <v>10287</v>
      </c>
      <c r="N2637" s="3" t="str">
        <f>HYPERLINK("http://ictvonline.org/taxonomyHistory.asp?taxnode_id=20162625","ICTVonline=20162625")</f>
        <v>ICTVonline=20162625</v>
      </c>
    </row>
    <row r="2638" spans="1:14" x14ac:dyDescent="0.15">
      <c r="A2638" s="3">
        <v>2637</v>
      </c>
      <c r="B2638" s="1" t="s">
        <v>926</v>
      </c>
      <c r="C2638" s="1" t="s">
        <v>2171</v>
      </c>
      <c r="E2638" s="1" t="s">
        <v>2172</v>
      </c>
      <c r="F2638" s="1" t="s">
        <v>1779</v>
      </c>
      <c r="G2638" s="3">
        <v>0</v>
      </c>
      <c r="J2638" s="20" t="s">
        <v>5199</v>
      </c>
      <c r="K2638" s="20" t="s">
        <v>10013</v>
      </c>
      <c r="L2638" s="3">
        <v>24</v>
      </c>
      <c r="M2638" s="3" t="s">
        <v>10291</v>
      </c>
      <c r="N2638" s="3" t="str">
        <f>HYPERLINK("http://ictvonline.org/taxonomyHistory.asp?taxnode_id=20162626","ICTVonline=20162626")</f>
        <v>ICTVonline=20162626</v>
      </c>
    </row>
    <row r="2639" spans="1:14" x14ac:dyDescent="0.15">
      <c r="A2639" s="3">
        <v>2638</v>
      </c>
      <c r="B2639" s="1" t="s">
        <v>926</v>
      </c>
      <c r="C2639" s="1" t="s">
        <v>2171</v>
      </c>
      <c r="E2639" s="1" t="s">
        <v>2172</v>
      </c>
      <c r="F2639" s="1" t="s">
        <v>340</v>
      </c>
      <c r="G2639" s="3">
        <v>0</v>
      </c>
      <c r="J2639" s="20" t="s">
        <v>5199</v>
      </c>
      <c r="K2639" s="20" t="s">
        <v>10013</v>
      </c>
      <c r="L2639" s="3">
        <v>24</v>
      </c>
      <c r="M2639" s="3" t="s">
        <v>10291</v>
      </c>
      <c r="N2639" s="3" t="str">
        <f>HYPERLINK("http://ictvonline.org/taxonomyHistory.asp?taxnode_id=20162627","ICTVonline=20162627")</f>
        <v>ICTVonline=20162627</v>
      </c>
    </row>
    <row r="2640" spans="1:14" x14ac:dyDescent="0.15">
      <c r="A2640" s="3">
        <v>2639</v>
      </c>
      <c r="B2640" s="1" t="s">
        <v>926</v>
      </c>
      <c r="C2640" s="1" t="s">
        <v>2171</v>
      </c>
      <c r="E2640" s="1" t="s">
        <v>2172</v>
      </c>
      <c r="F2640" s="1" t="s">
        <v>341</v>
      </c>
      <c r="G2640" s="3">
        <v>0</v>
      </c>
      <c r="J2640" s="20" t="s">
        <v>5199</v>
      </c>
      <c r="K2640" s="20" t="s">
        <v>10013</v>
      </c>
      <c r="L2640" s="3">
        <v>22</v>
      </c>
      <c r="M2640" s="3" t="s">
        <v>10289</v>
      </c>
      <c r="N2640" s="3" t="str">
        <f>HYPERLINK("http://ictvonline.org/taxonomyHistory.asp?taxnode_id=20162628","ICTVonline=20162628")</f>
        <v>ICTVonline=20162628</v>
      </c>
    </row>
    <row r="2641" spans="1:14" x14ac:dyDescent="0.15">
      <c r="A2641" s="3">
        <v>2640</v>
      </c>
      <c r="B2641" s="1" t="s">
        <v>926</v>
      </c>
      <c r="C2641" s="1" t="s">
        <v>2171</v>
      </c>
      <c r="E2641" s="1" t="s">
        <v>2172</v>
      </c>
      <c r="F2641" s="1" t="s">
        <v>342</v>
      </c>
      <c r="G2641" s="3">
        <v>0</v>
      </c>
      <c r="J2641" s="20" t="s">
        <v>5199</v>
      </c>
      <c r="K2641" s="20" t="s">
        <v>10016</v>
      </c>
      <c r="L2641" s="3">
        <v>16</v>
      </c>
      <c r="M2641" s="3" t="s">
        <v>10237</v>
      </c>
      <c r="N2641" s="3" t="str">
        <f>HYPERLINK("http://ictvonline.org/taxonomyHistory.asp?taxnode_id=20162629","ICTVonline=20162629")</f>
        <v>ICTVonline=20162629</v>
      </c>
    </row>
    <row r="2642" spans="1:14" x14ac:dyDescent="0.15">
      <c r="A2642" s="3">
        <v>2641</v>
      </c>
      <c r="B2642" s="1" t="s">
        <v>926</v>
      </c>
      <c r="C2642" s="1" t="s">
        <v>2171</v>
      </c>
      <c r="E2642" s="1" t="s">
        <v>2172</v>
      </c>
      <c r="F2642" s="1" t="s">
        <v>2501</v>
      </c>
      <c r="G2642" s="3">
        <v>0</v>
      </c>
      <c r="J2642" s="20" t="s">
        <v>5199</v>
      </c>
      <c r="K2642" s="20" t="s">
        <v>10013</v>
      </c>
      <c r="L2642" s="3">
        <v>28</v>
      </c>
      <c r="M2642" s="3" t="s">
        <v>10288</v>
      </c>
      <c r="N2642" s="3" t="str">
        <f>HYPERLINK("http://ictvonline.org/taxonomyHistory.asp?taxnode_id=20162630","ICTVonline=20162630")</f>
        <v>ICTVonline=20162630</v>
      </c>
    </row>
    <row r="2643" spans="1:14" x14ac:dyDescent="0.15">
      <c r="A2643" s="3">
        <v>2642</v>
      </c>
      <c r="B2643" s="1" t="s">
        <v>926</v>
      </c>
      <c r="C2643" s="1" t="s">
        <v>2171</v>
      </c>
      <c r="E2643" s="1" t="s">
        <v>2172</v>
      </c>
      <c r="F2643" s="1" t="s">
        <v>2502</v>
      </c>
      <c r="G2643" s="3">
        <v>0</v>
      </c>
      <c r="J2643" s="20" t="s">
        <v>5199</v>
      </c>
      <c r="K2643" s="20" t="s">
        <v>10013</v>
      </c>
      <c r="L2643" s="3">
        <v>28</v>
      </c>
      <c r="M2643" s="3" t="s">
        <v>10288</v>
      </c>
      <c r="N2643" s="3" t="str">
        <f>HYPERLINK("http://ictvonline.org/taxonomyHistory.asp?taxnode_id=20162631","ICTVonline=20162631")</f>
        <v>ICTVonline=20162631</v>
      </c>
    </row>
    <row r="2644" spans="1:14" x14ac:dyDescent="0.15">
      <c r="A2644" s="3">
        <v>2643</v>
      </c>
      <c r="B2644" s="1" t="s">
        <v>926</v>
      </c>
      <c r="C2644" s="1" t="s">
        <v>2171</v>
      </c>
      <c r="E2644" s="1" t="s">
        <v>2172</v>
      </c>
      <c r="F2644" s="1" t="s">
        <v>343</v>
      </c>
      <c r="G2644" s="3">
        <v>0</v>
      </c>
      <c r="J2644" s="20" t="s">
        <v>5199</v>
      </c>
      <c r="K2644" s="20" t="s">
        <v>10013</v>
      </c>
      <c r="L2644" s="3">
        <v>24</v>
      </c>
      <c r="M2644" s="3" t="s">
        <v>10291</v>
      </c>
      <c r="N2644" s="3" t="str">
        <f>HYPERLINK("http://ictvonline.org/taxonomyHistory.asp?taxnode_id=20162632","ICTVonline=20162632")</f>
        <v>ICTVonline=20162632</v>
      </c>
    </row>
    <row r="2645" spans="1:14" x14ac:dyDescent="0.15">
      <c r="A2645" s="3">
        <v>2644</v>
      </c>
      <c r="B2645" s="1" t="s">
        <v>926</v>
      </c>
      <c r="C2645" s="1" t="s">
        <v>2171</v>
      </c>
      <c r="E2645" s="1" t="s">
        <v>2172</v>
      </c>
      <c r="F2645" s="1" t="s">
        <v>344</v>
      </c>
      <c r="G2645" s="3">
        <v>0</v>
      </c>
      <c r="J2645" s="20" t="s">
        <v>5199</v>
      </c>
      <c r="K2645" s="20" t="s">
        <v>10013</v>
      </c>
      <c r="L2645" s="3">
        <v>24</v>
      </c>
      <c r="M2645" s="3" t="s">
        <v>10290</v>
      </c>
      <c r="N2645" s="3" t="str">
        <f>HYPERLINK("http://ictvonline.org/taxonomyHistory.asp?taxnode_id=20162633","ICTVonline=20162633")</f>
        <v>ICTVonline=20162633</v>
      </c>
    </row>
    <row r="2646" spans="1:14" x14ac:dyDescent="0.15">
      <c r="A2646" s="3">
        <v>2645</v>
      </c>
      <c r="B2646" s="1" t="s">
        <v>926</v>
      </c>
      <c r="C2646" s="1" t="s">
        <v>2171</v>
      </c>
      <c r="E2646" s="1" t="s">
        <v>2172</v>
      </c>
      <c r="F2646" s="1" t="s">
        <v>2503</v>
      </c>
      <c r="G2646" s="3">
        <v>0</v>
      </c>
      <c r="J2646" s="20" t="s">
        <v>5199</v>
      </c>
      <c r="K2646" s="20" t="s">
        <v>10013</v>
      </c>
      <c r="L2646" s="3">
        <v>28</v>
      </c>
      <c r="M2646" s="3" t="s">
        <v>10288</v>
      </c>
      <c r="N2646" s="3" t="str">
        <f>HYPERLINK("http://ictvonline.org/taxonomyHistory.asp?taxnode_id=20162634","ICTVonline=20162634")</f>
        <v>ICTVonline=20162634</v>
      </c>
    </row>
    <row r="2647" spans="1:14" x14ac:dyDescent="0.15">
      <c r="A2647" s="3">
        <v>2646</v>
      </c>
      <c r="B2647" s="1" t="s">
        <v>926</v>
      </c>
      <c r="C2647" s="1" t="s">
        <v>2171</v>
      </c>
      <c r="E2647" s="1" t="s">
        <v>2172</v>
      </c>
      <c r="F2647" s="1" t="s">
        <v>345</v>
      </c>
      <c r="G2647" s="3">
        <v>0</v>
      </c>
      <c r="J2647" s="20" t="s">
        <v>5199</v>
      </c>
      <c r="K2647" s="20" t="s">
        <v>10013</v>
      </c>
      <c r="L2647" s="3">
        <v>22</v>
      </c>
      <c r="M2647" s="3" t="s">
        <v>10298</v>
      </c>
      <c r="N2647" s="3" t="str">
        <f>HYPERLINK("http://ictvonline.org/taxonomyHistory.asp?taxnode_id=20162635","ICTVonline=20162635")</f>
        <v>ICTVonline=20162635</v>
      </c>
    </row>
    <row r="2648" spans="1:14" x14ac:dyDescent="0.15">
      <c r="A2648" s="3">
        <v>2647</v>
      </c>
      <c r="B2648" s="1" t="s">
        <v>926</v>
      </c>
      <c r="C2648" s="1" t="s">
        <v>2171</v>
      </c>
      <c r="E2648" s="1" t="s">
        <v>2172</v>
      </c>
      <c r="F2648" s="1" t="s">
        <v>346</v>
      </c>
      <c r="G2648" s="3">
        <v>0</v>
      </c>
      <c r="J2648" s="20" t="s">
        <v>5199</v>
      </c>
      <c r="K2648" s="20" t="s">
        <v>10021</v>
      </c>
      <c r="L2648" s="3">
        <v>23</v>
      </c>
      <c r="M2648" s="3" t="s">
        <v>10229</v>
      </c>
      <c r="N2648" s="3" t="str">
        <f>HYPERLINK("http://ictvonline.org/taxonomyHistory.asp?taxnode_id=20162636","ICTVonline=20162636")</f>
        <v>ICTVonline=20162636</v>
      </c>
    </row>
    <row r="2649" spans="1:14" x14ac:dyDescent="0.15">
      <c r="A2649" s="3">
        <v>2648</v>
      </c>
      <c r="B2649" s="1" t="s">
        <v>926</v>
      </c>
      <c r="C2649" s="1" t="s">
        <v>2171</v>
      </c>
      <c r="E2649" s="1" t="s">
        <v>2172</v>
      </c>
      <c r="F2649" s="1" t="s">
        <v>347</v>
      </c>
      <c r="G2649" s="3">
        <v>0</v>
      </c>
      <c r="J2649" s="20" t="s">
        <v>5199</v>
      </c>
      <c r="K2649" s="20" t="s">
        <v>10013</v>
      </c>
      <c r="L2649" s="3">
        <v>17</v>
      </c>
      <c r="M2649" s="3" t="s">
        <v>10208</v>
      </c>
      <c r="N2649" s="3" t="str">
        <f>HYPERLINK("http://ictvonline.org/taxonomyHistory.asp?taxnode_id=20162637","ICTVonline=20162637")</f>
        <v>ICTVonline=20162637</v>
      </c>
    </row>
    <row r="2650" spans="1:14" x14ac:dyDescent="0.15">
      <c r="A2650" s="3">
        <v>2649</v>
      </c>
      <c r="B2650" s="1" t="s">
        <v>926</v>
      </c>
      <c r="C2650" s="1" t="s">
        <v>2171</v>
      </c>
      <c r="E2650" s="1" t="s">
        <v>2172</v>
      </c>
      <c r="F2650" s="1" t="s">
        <v>2504</v>
      </c>
      <c r="G2650" s="3">
        <v>0</v>
      </c>
      <c r="J2650" s="20" t="s">
        <v>5199</v>
      </c>
      <c r="K2650" s="20" t="s">
        <v>10013</v>
      </c>
      <c r="L2650" s="3">
        <v>28</v>
      </c>
      <c r="M2650" s="3" t="s">
        <v>10288</v>
      </c>
      <c r="N2650" s="3" t="str">
        <f>HYPERLINK("http://ictvonline.org/taxonomyHistory.asp?taxnode_id=20162638","ICTVonline=20162638")</f>
        <v>ICTVonline=20162638</v>
      </c>
    </row>
    <row r="2651" spans="1:14" x14ac:dyDescent="0.15">
      <c r="A2651" s="3">
        <v>2650</v>
      </c>
      <c r="B2651" s="1" t="s">
        <v>926</v>
      </c>
      <c r="C2651" s="1" t="s">
        <v>2171</v>
      </c>
      <c r="E2651" s="1" t="s">
        <v>2172</v>
      </c>
      <c r="F2651" s="1" t="s">
        <v>348</v>
      </c>
      <c r="G2651" s="3">
        <v>0</v>
      </c>
      <c r="J2651" s="20" t="s">
        <v>5199</v>
      </c>
      <c r="K2651" s="20" t="s">
        <v>10013</v>
      </c>
      <c r="L2651" s="3">
        <v>24</v>
      </c>
      <c r="M2651" s="3" t="s">
        <v>10291</v>
      </c>
      <c r="N2651" s="3" t="str">
        <f>HYPERLINK("http://ictvonline.org/taxonomyHistory.asp?taxnode_id=20162639","ICTVonline=20162639")</f>
        <v>ICTVonline=20162639</v>
      </c>
    </row>
    <row r="2652" spans="1:14" x14ac:dyDescent="0.15">
      <c r="A2652" s="3">
        <v>2651</v>
      </c>
      <c r="B2652" s="1" t="s">
        <v>926</v>
      </c>
      <c r="C2652" s="1" t="s">
        <v>2171</v>
      </c>
      <c r="E2652" s="1" t="s">
        <v>2172</v>
      </c>
      <c r="F2652" s="1" t="s">
        <v>349</v>
      </c>
      <c r="G2652" s="3">
        <v>0</v>
      </c>
      <c r="J2652" s="20" t="s">
        <v>5199</v>
      </c>
      <c r="K2652" s="20" t="s">
        <v>10021</v>
      </c>
      <c r="L2652" s="3">
        <v>23</v>
      </c>
      <c r="M2652" s="3" t="s">
        <v>10229</v>
      </c>
      <c r="N2652" s="3" t="str">
        <f>HYPERLINK("http://ictvonline.org/taxonomyHistory.asp?taxnode_id=20162640","ICTVonline=20162640")</f>
        <v>ICTVonline=20162640</v>
      </c>
    </row>
    <row r="2653" spans="1:14" x14ac:dyDescent="0.15">
      <c r="A2653" s="3">
        <v>2652</v>
      </c>
      <c r="B2653" s="1" t="s">
        <v>926</v>
      </c>
      <c r="C2653" s="1" t="s">
        <v>2171</v>
      </c>
      <c r="E2653" s="1" t="s">
        <v>2172</v>
      </c>
      <c r="F2653" s="1" t="s">
        <v>350</v>
      </c>
      <c r="G2653" s="3">
        <v>0</v>
      </c>
      <c r="J2653" s="20" t="s">
        <v>5199</v>
      </c>
      <c r="K2653" s="20" t="s">
        <v>10021</v>
      </c>
      <c r="L2653" s="3">
        <v>23</v>
      </c>
      <c r="M2653" s="3" t="s">
        <v>10229</v>
      </c>
      <c r="N2653" s="3" t="str">
        <f>HYPERLINK("http://ictvonline.org/taxonomyHistory.asp?taxnode_id=20162641","ICTVonline=20162641")</f>
        <v>ICTVonline=20162641</v>
      </c>
    </row>
    <row r="2654" spans="1:14" x14ac:dyDescent="0.15">
      <c r="A2654" s="3">
        <v>2653</v>
      </c>
      <c r="B2654" s="1" t="s">
        <v>926</v>
      </c>
      <c r="C2654" s="1" t="s">
        <v>2171</v>
      </c>
      <c r="E2654" s="1" t="s">
        <v>2172</v>
      </c>
      <c r="F2654" s="1" t="s">
        <v>1493</v>
      </c>
      <c r="G2654" s="3">
        <v>0</v>
      </c>
      <c r="J2654" s="20" t="s">
        <v>5199</v>
      </c>
      <c r="K2654" s="20" t="s">
        <v>10013</v>
      </c>
      <c r="L2654" s="3">
        <v>22</v>
      </c>
      <c r="M2654" s="3" t="s">
        <v>10289</v>
      </c>
      <c r="N2654" s="3" t="str">
        <f>HYPERLINK("http://ictvonline.org/taxonomyHistory.asp?taxnode_id=20162642","ICTVonline=20162642")</f>
        <v>ICTVonline=20162642</v>
      </c>
    </row>
    <row r="2655" spans="1:14" x14ac:dyDescent="0.15">
      <c r="A2655" s="3">
        <v>2654</v>
      </c>
      <c r="B2655" s="1" t="s">
        <v>926</v>
      </c>
      <c r="C2655" s="1" t="s">
        <v>2171</v>
      </c>
      <c r="E2655" s="1" t="s">
        <v>2172</v>
      </c>
      <c r="F2655" s="1" t="s">
        <v>461</v>
      </c>
      <c r="G2655" s="3">
        <v>0</v>
      </c>
      <c r="J2655" s="20" t="s">
        <v>5199</v>
      </c>
      <c r="K2655" s="20" t="s">
        <v>10013</v>
      </c>
      <c r="L2655" s="3">
        <v>24</v>
      </c>
      <c r="M2655" s="3" t="s">
        <v>10291</v>
      </c>
      <c r="N2655" s="3" t="str">
        <f>HYPERLINK("http://ictvonline.org/taxonomyHistory.asp?taxnode_id=20162643","ICTVonline=20162643")</f>
        <v>ICTVonline=20162643</v>
      </c>
    </row>
    <row r="2656" spans="1:14" x14ac:dyDescent="0.15">
      <c r="A2656" s="3">
        <v>2655</v>
      </c>
      <c r="B2656" s="1" t="s">
        <v>926</v>
      </c>
      <c r="C2656" s="1" t="s">
        <v>2171</v>
      </c>
      <c r="E2656" s="1" t="s">
        <v>2172</v>
      </c>
      <c r="F2656" s="1" t="s">
        <v>462</v>
      </c>
      <c r="G2656" s="3">
        <v>0</v>
      </c>
      <c r="J2656" s="20" t="s">
        <v>5199</v>
      </c>
      <c r="K2656" s="20" t="s">
        <v>10013</v>
      </c>
      <c r="L2656" s="3">
        <v>17</v>
      </c>
      <c r="M2656" s="3" t="s">
        <v>10208</v>
      </c>
      <c r="N2656" s="3" t="str">
        <f>HYPERLINK("http://ictvonline.org/taxonomyHistory.asp?taxnode_id=20162644","ICTVonline=20162644")</f>
        <v>ICTVonline=20162644</v>
      </c>
    </row>
    <row r="2657" spans="1:14" x14ac:dyDescent="0.15">
      <c r="A2657" s="3">
        <v>2656</v>
      </c>
      <c r="B2657" s="1" t="s">
        <v>926</v>
      </c>
      <c r="C2657" s="1" t="s">
        <v>2171</v>
      </c>
      <c r="E2657" s="1" t="s">
        <v>2172</v>
      </c>
      <c r="F2657" s="1" t="s">
        <v>2505</v>
      </c>
      <c r="G2657" s="3">
        <v>0</v>
      </c>
      <c r="J2657" s="20" t="s">
        <v>5199</v>
      </c>
      <c r="K2657" s="20" t="s">
        <v>10013</v>
      </c>
      <c r="L2657" s="3">
        <v>28</v>
      </c>
      <c r="M2657" s="3" t="s">
        <v>10288</v>
      </c>
      <c r="N2657" s="3" t="str">
        <f>HYPERLINK("http://ictvonline.org/taxonomyHistory.asp?taxnode_id=20162645","ICTVonline=20162645")</f>
        <v>ICTVonline=20162645</v>
      </c>
    </row>
    <row r="2658" spans="1:14" x14ac:dyDescent="0.15">
      <c r="A2658" s="3">
        <v>2657</v>
      </c>
      <c r="B2658" s="1" t="s">
        <v>926</v>
      </c>
      <c r="C2658" s="1" t="s">
        <v>2171</v>
      </c>
      <c r="E2658" s="1" t="s">
        <v>2172</v>
      </c>
      <c r="F2658" s="1" t="s">
        <v>1518</v>
      </c>
      <c r="G2658" s="3">
        <v>0</v>
      </c>
      <c r="J2658" s="20" t="s">
        <v>5199</v>
      </c>
      <c r="K2658" s="20" t="s">
        <v>10013</v>
      </c>
      <c r="L2658" s="3">
        <v>24</v>
      </c>
      <c r="M2658" s="3" t="s">
        <v>10291</v>
      </c>
      <c r="N2658" s="3" t="str">
        <f>HYPERLINK("http://ictvonline.org/taxonomyHistory.asp?taxnode_id=20162646","ICTVonline=20162646")</f>
        <v>ICTVonline=20162646</v>
      </c>
    </row>
    <row r="2659" spans="1:14" x14ac:dyDescent="0.15">
      <c r="A2659" s="3">
        <v>2658</v>
      </c>
      <c r="B2659" s="1" t="s">
        <v>926</v>
      </c>
      <c r="C2659" s="1" t="s">
        <v>2171</v>
      </c>
      <c r="E2659" s="1" t="s">
        <v>2172</v>
      </c>
      <c r="F2659" s="1" t="s">
        <v>5346</v>
      </c>
      <c r="G2659" s="3">
        <v>0</v>
      </c>
      <c r="H2659" s="20" t="s">
        <v>7413</v>
      </c>
      <c r="I2659" s="20" t="s">
        <v>6912</v>
      </c>
      <c r="J2659" s="20" t="s">
        <v>5199</v>
      </c>
      <c r="K2659" s="20" t="s">
        <v>10013</v>
      </c>
      <c r="L2659" s="3">
        <v>30</v>
      </c>
      <c r="M2659" s="3" t="s">
        <v>10287</v>
      </c>
      <c r="N2659" s="3" t="str">
        <f>HYPERLINK("http://ictvonline.org/taxonomyHistory.asp?taxnode_id=20162647","ICTVonline=20162647")</f>
        <v>ICTVonline=20162647</v>
      </c>
    </row>
    <row r="2660" spans="1:14" x14ac:dyDescent="0.15">
      <c r="A2660" s="3">
        <v>2659</v>
      </c>
      <c r="B2660" s="1" t="s">
        <v>926</v>
      </c>
      <c r="C2660" s="1" t="s">
        <v>2171</v>
      </c>
      <c r="E2660" s="1" t="s">
        <v>2172</v>
      </c>
      <c r="F2660" s="1" t="s">
        <v>1519</v>
      </c>
      <c r="G2660" s="3">
        <v>0</v>
      </c>
      <c r="J2660" s="20" t="s">
        <v>5199</v>
      </c>
      <c r="K2660" s="20" t="s">
        <v>10013</v>
      </c>
      <c r="L2660" s="3">
        <v>24</v>
      </c>
      <c r="M2660" s="3" t="s">
        <v>10290</v>
      </c>
      <c r="N2660" s="3" t="str">
        <f>HYPERLINK("http://ictvonline.org/taxonomyHistory.asp?taxnode_id=20162648","ICTVonline=20162648")</f>
        <v>ICTVonline=20162648</v>
      </c>
    </row>
    <row r="2661" spans="1:14" x14ac:dyDescent="0.15">
      <c r="A2661" s="3">
        <v>2660</v>
      </c>
      <c r="B2661" s="1" t="s">
        <v>926</v>
      </c>
      <c r="C2661" s="1" t="s">
        <v>2171</v>
      </c>
      <c r="E2661" s="1" t="s">
        <v>2172</v>
      </c>
      <c r="F2661" s="1" t="s">
        <v>1520</v>
      </c>
      <c r="G2661" s="3">
        <v>0</v>
      </c>
      <c r="J2661" s="20" t="s">
        <v>5199</v>
      </c>
      <c r="K2661" s="20" t="s">
        <v>10013</v>
      </c>
      <c r="L2661" s="3">
        <v>22</v>
      </c>
      <c r="M2661" s="3" t="s">
        <v>10289</v>
      </c>
      <c r="N2661" s="3" t="str">
        <f>HYPERLINK("http://ictvonline.org/taxonomyHistory.asp?taxnode_id=20162649","ICTVonline=20162649")</f>
        <v>ICTVonline=20162649</v>
      </c>
    </row>
    <row r="2662" spans="1:14" x14ac:dyDescent="0.15">
      <c r="A2662" s="3">
        <v>2661</v>
      </c>
      <c r="B2662" s="1" t="s">
        <v>926</v>
      </c>
      <c r="C2662" s="1" t="s">
        <v>2171</v>
      </c>
      <c r="E2662" s="1" t="s">
        <v>2172</v>
      </c>
      <c r="F2662" s="1" t="s">
        <v>1521</v>
      </c>
      <c r="G2662" s="3">
        <v>0</v>
      </c>
      <c r="J2662" s="20" t="s">
        <v>5199</v>
      </c>
      <c r="K2662" s="20" t="s">
        <v>10292</v>
      </c>
      <c r="L2662" s="3">
        <v>24</v>
      </c>
      <c r="M2662" s="3" t="s">
        <v>10293</v>
      </c>
      <c r="N2662" s="3" t="str">
        <f>HYPERLINK("http://ictvonline.org/taxonomyHistory.asp?taxnode_id=20162650","ICTVonline=20162650")</f>
        <v>ICTVonline=20162650</v>
      </c>
    </row>
    <row r="2663" spans="1:14" x14ac:dyDescent="0.15">
      <c r="A2663" s="3">
        <v>2662</v>
      </c>
      <c r="B2663" s="1" t="s">
        <v>926</v>
      </c>
      <c r="C2663" s="1" t="s">
        <v>2171</v>
      </c>
      <c r="E2663" s="1" t="s">
        <v>2172</v>
      </c>
      <c r="F2663" s="1" t="s">
        <v>5347</v>
      </c>
      <c r="G2663" s="3">
        <v>0</v>
      </c>
      <c r="H2663" s="20" t="s">
        <v>7414</v>
      </c>
      <c r="I2663" s="20" t="s">
        <v>6913</v>
      </c>
      <c r="J2663" s="20" t="s">
        <v>5199</v>
      </c>
      <c r="K2663" s="20" t="s">
        <v>10013</v>
      </c>
      <c r="L2663" s="3">
        <v>30</v>
      </c>
      <c r="M2663" s="3" t="s">
        <v>10287</v>
      </c>
      <c r="N2663" s="3" t="str">
        <f>HYPERLINK("http://ictvonline.org/taxonomyHistory.asp?taxnode_id=20162651","ICTVonline=20162651")</f>
        <v>ICTVonline=20162651</v>
      </c>
    </row>
    <row r="2664" spans="1:14" x14ac:dyDescent="0.15">
      <c r="A2664" s="3">
        <v>2663</v>
      </c>
      <c r="B2664" s="1" t="s">
        <v>926</v>
      </c>
      <c r="C2664" s="1" t="s">
        <v>2171</v>
      </c>
      <c r="E2664" s="1" t="s">
        <v>2172</v>
      </c>
      <c r="F2664" s="1" t="s">
        <v>5348</v>
      </c>
      <c r="G2664" s="3">
        <v>0</v>
      </c>
      <c r="H2664" s="20" t="s">
        <v>7415</v>
      </c>
      <c r="I2664" s="20" t="s">
        <v>6914</v>
      </c>
      <c r="J2664" s="20" t="s">
        <v>5199</v>
      </c>
      <c r="K2664" s="20" t="s">
        <v>10013</v>
      </c>
      <c r="L2664" s="3">
        <v>30</v>
      </c>
      <c r="M2664" s="3" t="s">
        <v>10287</v>
      </c>
      <c r="N2664" s="3" t="str">
        <f>HYPERLINK("http://ictvonline.org/taxonomyHistory.asp?taxnode_id=20162652","ICTVonline=20162652")</f>
        <v>ICTVonline=20162652</v>
      </c>
    </row>
    <row r="2665" spans="1:14" x14ac:dyDescent="0.15">
      <c r="A2665" s="3">
        <v>2664</v>
      </c>
      <c r="B2665" s="1" t="s">
        <v>926</v>
      </c>
      <c r="C2665" s="1" t="s">
        <v>2171</v>
      </c>
      <c r="E2665" s="1" t="s">
        <v>2172</v>
      </c>
      <c r="F2665" s="1" t="s">
        <v>5349</v>
      </c>
      <c r="G2665" s="3">
        <v>0</v>
      </c>
      <c r="H2665" s="20" t="s">
        <v>7416</v>
      </c>
      <c r="I2665" s="20" t="s">
        <v>6915</v>
      </c>
      <c r="J2665" s="20" t="s">
        <v>5199</v>
      </c>
      <c r="K2665" s="20" t="s">
        <v>10013</v>
      </c>
      <c r="L2665" s="3">
        <v>30</v>
      </c>
      <c r="M2665" s="3" t="s">
        <v>10287</v>
      </c>
      <c r="N2665" s="3" t="str">
        <f>HYPERLINK("http://ictvonline.org/taxonomyHistory.asp?taxnode_id=20162653","ICTVonline=20162653")</f>
        <v>ICTVonline=20162653</v>
      </c>
    </row>
    <row r="2666" spans="1:14" x14ac:dyDescent="0.15">
      <c r="A2666" s="3">
        <v>2665</v>
      </c>
      <c r="B2666" s="1" t="s">
        <v>926</v>
      </c>
      <c r="C2666" s="1" t="s">
        <v>2171</v>
      </c>
      <c r="E2666" s="1" t="s">
        <v>2172</v>
      </c>
      <c r="F2666" s="1" t="s">
        <v>1522</v>
      </c>
      <c r="G2666" s="3">
        <v>0</v>
      </c>
      <c r="J2666" s="20" t="s">
        <v>5199</v>
      </c>
      <c r="K2666" s="20" t="s">
        <v>10013</v>
      </c>
      <c r="L2666" s="3">
        <v>24</v>
      </c>
      <c r="M2666" s="3" t="s">
        <v>10291</v>
      </c>
      <c r="N2666" s="3" t="str">
        <f>HYPERLINK("http://ictvonline.org/taxonomyHistory.asp?taxnode_id=20162654","ICTVonline=20162654")</f>
        <v>ICTVonline=20162654</v>
      </c>
    </row>
    <row r="2667" spans="1:14" x14ac:dyDescent="0.15">
      <c r="A2667" s="3">
        <v>2666</v>
      </c>
      <c r="B2667" s="1" t="s">
        <v>926</v>
      </c>
      <c r="C2667" s="1" t="s">
        <v>2171</v>
      </c>
      <c r="E2667" s="1" t="s">
        <v>2172</v>
      </c>
      <c r="F2667" s="1" t="s">
        <v>1523</v>
      </c>
      <c r="G2667" s="3">
        <v>0</v>
      </c>
      <c r="J2667" s="20" t="s">
        <v>5199</v>
      </c>
      <c r="K2667" s="20" t="s">
        <v>10013</v>
      </c>
      <c r="L2667" s="3">
        <v>24</v>
      </c>
      <c r="M2667" s="3" t="s">
        <v>10291</v>
      </c>
      <c r="N2667" s="3" t="str">
        <f>HYPERLINK("http://ictvonline.org/taxonomyHistory.asp?taxnode_id=20162655","ICTVonline=20162655")</f>
        <v>ICTVonline=20162655</v>
      </c>
    </row>
    <row r="2668" spans="1:14" x14ac:dyDescent="0.15">
      <c r="A2668" s="3">
        <v>2667</v>
      </c>
      <c r="B2668" s="1" t="s">
        <v>926</v>
      </c>
      <c r="C2668" s="1" t="s">
        <v>2171</v>
      </c>
      <c r="E2668" s="1" t="s">
        <v>2172</v>
      </c>
      <c r="F2668" s="1" t="s">
        <v>2506</v>
      </c>
      <c r="G2668" s="3">
        <v>0</v>
      </c>
      <c r="J2668" s="20" t="s">
        <v>5199</v>
      </c>
      <c r="K2668" s="20" t="s">
        <v>10013</v>
      </c>
      <c r="L2668" s="3">
        <v>28</v>
      </c>
      <c r="M2668" s="3" t="s">
        <v>10288</v>
      </c>
      <c r="N2668" s="3" t="str">
        <f>HYPERLINK("http://ictvonline.org/taxonomyHistory.asp?taxnode_id=20162656","ICTVonline=20162656")</f>
        <v>ICTVonline=20162656</v>
      </c>
    </row>
    <row r="2669" spans="1:14" x14ac:dyDescent="0.15">
      <c r="A2669" s="3">
        <v>2668</v>
      </c>
      <c r="B2669" s="1" t="s">
        <v>926</v>
      </c>
      <c r="C2669" s="1" t="s">
        <v>2171</v>
      </c>
      <c r="E2669" s="1" t="s">
        <v>2172</v>
      </c>
      <c r="F2669" s="1" t="s">
        <v>1907</v>
      </c>
      <c r="G2669" s="3">
        <v>0</v>
      </c>
      <c r="J2669" s="20" t="s">
        <v>5199</v>
      </c>
      <c r="K2669" s="20" t="s">
        <v>10013</v>
      </c>
      <c r="L2669" s="3">
        <v>24</v>
      </c>
      <c r="M2669" s="3" t="s">
        <v>10294</v>
      </c>
      <c r="N2669" s="3" t="str">
        <f>HYPERLINK("http://ictvonline.org/taxonomyHistory.asp?taxnode_id=20162657","ICTVonline=20162657")</f>
        <v>ICTVonline=20162657</v>
      </c>
    </row>
    <row r="2670" spans="1:14" x14ac:dyDescent="0.15">
      <c r="A2670" s="3">
        <v>2669</v>
      </c>
      <c r="B2670" s="1" t="s">
        <v>926</v>
      </c>
      <c r="C2670" s="1" t="s">
        <v>2171</v>
      </c>
      <c r="E2670" s="1" t="s">
        <v>2172</v>
      </c>
      <c r="F2670" s="1" t="s">
        <v>1908</v>
      </c>
      <c r="G2670" s="3">
        <v>0</v>
      </c>
      <c r="J2670" s="20" t="s">
        <v>5199</v>
      </c>
      <c r="K2670" s="20" t="s">
        <v>10013</v>
      </c>
      <c r="L2670" s="3">
        <v>22</v>
      </c>
      <c r="M2670" s="3" t="s">
        <v>10289</v>
      </c>
      <c r="N2670" s="3" t="str">
        <f>HYPERLINK("http://ictvonline.org/taxonomyHistory.asp?taxnode_id=20162658","ICTVonline=20162658")</f>
        <v>ICTVonline=20162658</v>
      </c>
    </row>
    <row r="2671" spans="1:14" x14ac:dyDescent="0.15">
      <c r="A2671" s="3">
        <v>2670</v>
      </c>
      <c r="B2671" s="1" t="s">
        <v>926</v>
      </c>
      <c r="C2671" s="1" t="s">
        <v>2171</v>
      </c>
      <c r="E2671" s="1" t="s">
        <v>2172</v>
      </c>
      <c r="F2671" s="1" t="s">
        <v>2507</v>
      </c>
      <c r="G2671" s="3">
        <v>0</v>
      </c>
      <c r="J2671" s="20" t="s">
        <v>5199</v>
      </c>
      <c r="K2671" s="20" t="s">
        <v>10013</v>
      </c>
      <c r="L2671" s="3">
        <v>28</v>
      </c>
      <c r="M2671" s="3" t="s">
        <v>10288</v>
      </c>
      <c r="N2671" s="3" t="str">
        <f>HYPERLINK("http://ictvonline.org/taxonomyHistory.asp?taxnode_id=20162659","ICTVonline=20162659")</f>
        <v>ICTVonline=20162659</v>
      </c>
    </row>
    <row r="2672" spans="1:14" x14ac:dyDescent="0.15">
      <c r="A2672" s="3">
        <v>2671</v>
      </c>
      <c r="B2672" s="1" t="s">
        <v>926</v>
      </c>
      <c r="C2672" s="1" t="s">
        <v>2171</v>
      </c>
      <c r="E2672" s="1" t="s">
        <v>2172</v>
      </c>
      <c r="F2672" s="1" t="s">
        <v>2508</v>
      </c>
      <c r="G2672" s="3">
        <v>0</v>
      </c>
      <c r="J2672" s="20" t="s">
        <v>5199</v>
      </c>
      <c r="K2672" s="20" t="s">
        <v>10013</v>
      </c>
      <c r="L2672" s="3">
        <v>28</v>
      </c>
      <c r="M2672" s="3" t="s">
        <v>10288</v>
      </c>
      <c r="N2672" s="3" t="str">
        <f>HYPERLINK("http://ictvonline.org/taxonomyHistory.asp?taxnode_id=20162660","ICTVonline=20162660")</f>
        <v>ICTVonline=20162660</v>
      </c>
    </row>
    <row r="2673" spans="1:14" x14ac:dyDescent="0.15">
      <c r="A2673" s="3">
        <v>2672</v>
      </c>
      <c r="B2673" s="1" t="s">
        <v>926</v>
      </c>
      <c r="C2673" s="1" t="s">
        <v>2171</v>
      </c>
      <c r="E2673" s="1" t="s">
        <v>2172</v>
      </c>
      <c r="F2673" s="1" t="s">
        <v>2509</v>
      </c>
      <c r="G2673" s="3">
        <v>0</v>
      </c>
      <c r="J2673" s="20" t="s">
        <v>5199</v>
      </c>
      <c r="K2673" s="20" t="s">
        <v>10013</v>
      </c>
      <c r="L2673" s="3">
        <v>28</v>
      </c>
      <c r="M2673" s="3" t="s">
        <v>10288</v>
      </c>
      <c r="N2673" s="3" t="str">
        <f>HYPERLINK("http://ictvonline.org/taxonomyHistory.asp?taxnode_id=20162661","ICTVonline=20162661")</f>
        <v>ICTVonline=20162661</v>
      </c>
    </row>
    <row r="2674" spans="1:14" x14ac:dyDescent="0.15">
      <c r="A2674" s="3">
        <v>2673</v>
      </c>
      <c r="B2674" s="1" t="s">
        <v>926</v>
      </c>
      <c r="C2674" s="1" t="s">
        <v>2171</v>
      </c>
      <c r="E2674" s="1" t="s">
        <v>2172</v>
      </c>
      <c r="F2674" s="1" t="s">
        <v>5350</v>
      </c>
      <c r="G2674" s="3">
        <v>0</v>
      </c>
      <c r="H2674" s="20" t="s">
        <v>7417</v>
      </c>
      <c r="I2674" s="20" t="s">
        <v>6916</v>
      </c>
      <c r="J2674" s="20" t="s">
        <v>5199</v>
      </c>
      <c r="K2674" s="20" t="s">
        <v>10013</v>
      </c>
      <c r="L2674" s="3">
        <v>30</v>
      </c>
      <c r="M2674" s="3" t="s">
        <v>10287</v>
      </c>
      <c r="N2674" s="3" t="str">
        <f>HYPERLINK("http://ictvonline.org/taxonomyHistory.asp?taxnode_id=20162662","ICTVonline=20162662")</f>
        <v>ICTVonline=20162662</v>
      </c>
    </row>
    <row r="2675" spans="1:14" x14ac:dyDescent="0.15">
      <c r="A2675" s="3">
        <v>2674</v>
      </c>
      <c r="B2675" s="1" t="s">
        <v>926</v>
      </c>
      <c r="C2675" s="1" t="s">
        <v>2171</v>
      </c>
      <c r="E2675" s="1" t="s">
        <v>2172</v>
      </c>
      <c r="F2675" s="1" t="s">
        <v>2510</v>
      </c>
      <c r="G2675" s="3">
        <v>0</v>
      </c>
      <c r="J2675" s="20" t="s">
        <v>5199</v>
      </c>
      <c r="K2675" s="20" t="s">
        <v>10013</v>
      </c>
      <c r="L2675" s="3">
        <v>28</v>
      </c>
      <c r="M2675" s="3" t="s">
        <v>10288</v>
      </c>
      <c r="N2675" s="3" t="str">
        <f>HYPERLINK("http://ictvonline.org/taxonomyHistory.asp?taxnode_id=20162663","ICTVonline=20162663")</f>
        <v>ICTVonline=20162663</v>
      </c>
    </row>
    <row r="2676" spans="1:14" x14ac:dyDescent="0.15">
      <c r="A2676" s="3">
        <v>2675</v>
      </c>
      <c r="B2676" s="1" t="s">
        <v>926</v>
      </c>
      <c r="C2676" s="1" t="s">
        <v>2171</v>
      </c>
      <c r="E2676" s="1" t="s">
        <v>2172</v>
      </c>
      <c r="F2676" s="1" t="s">
        <v>2511</v>
      </c>
      <c r="G2676" s="3">
        <v>0</v>
      </c>
      <c r="J2676" s="20" t="s">
        <v>5199</v>
      </c>
      <c r="K2676" s="20" t="s">
        <v>10013</v>
      </c>
      <c r="L2676" s="3">
        <v>28</v>
      </c>
      <c r="M2676" s="3" t="s">
        <v>10288</v>
      </c>
      <c r="N2676" s="3" t="str">
        <f>HYPERLINK("http://ictvonline.org/taxonomyHistory.asp?taxnode_id=20162664","ICTVonline=20162664")</f>
        <v>ICTVonline=20162664</v>
      </c>
    </row>
    <row r="2677" spans="1:14" x14ac:dyDescent="0.15">
      <c r="A2677" s="3">
        <v>2676</v>
      </c>
      <c r="B2677" s="1" t="s">
        <v>926</v>
      </c>
      <c r="C2677" s="1" t="s">
        <v>2171</v>
      </c>
      <c r="E2677" s="1" t="s">
        <v>2172</v>
      </c>
      <c r="F2677" s="1" t="s">
        <v>5351</v>
      </c>
      <c r="G2677" s="3">
        <v>0</v>
      </c>
      <c r="H2677" s="20" t="s">
        <v>7418</v>
      </c>
      <c r="I2677" s="20" t="s">
        <v>6917</v>
      </c>
      <c r="J2677" s="20" t="s">
        <v>5199</v>
      </c>
      <c r="K2677" s="20" t="s">
        <v>10013</v>
      </c>
      <c r="L2677" s="3">
        <v>30</v>
      </c>
      <c r="M2677" s="3" t="s">
        <v>10287</v>
      </c>
      <c r="N2677" s="3" t="str">
        <f>HYPERLINK("http://ictvonline.org/taxonomyHistory.asp?taxnode_id=20162665","ICTVonline=20162665")</f>
        <v>ICTVonline=20162665</v>
      </c>
    </row>
    <row r="2678" spans="1:14" x14ac:dyDescent="0.15">
      <c r="A2678" s="3">
        <v>2677</v>
      </c>
      <c r="B2678" s="1" t="s">
        <v>926</v>
      </c>
      <c r="C2678" s="1" t="s">
        <v>2171</v>
      </c>
      <c r="E2678" s="1" t="s">
        <v>2172</v>
      </c>
      <c r="F2678" s="1" t="s">
        <v>830</v>
      </c>
      <c r="G2678" s="3">
        <v>0</v>
      </c>
      <c r="J2678" s="20" t="s">
        <v>5199</v>
      </c>
      <c r="K2678" s="20" t="s">
        <v>10013</v>
      </c>
      <c r="L2678" s="3">
        <v>24</v>
      </c>
      <c r="M2678" s="3" t="s">
        <v>10290</v>
      </c>
      <c r="N2678" s="3" t="str">
        <f>HYPERLINK("http://ictvonline.org/taxonomyHistory.asp?taxnode_id=20162666","ICTVonline=20162666")</f>
        <v>ICTVonline=20162666</v>
      </c>
    </row>
    <row r="2679" spans="1:14" x14ac:dyDescent="0.15">
      <c r="A2679" s="3">
        <v>2678</v>
      </c>
      <c r="B2679" s="1" t="s">
        <v>926</v>
      </c>
      <c r="C2679" s="1" t="s">
        <v>2171</v>
      </c>
      <c r="E2679" s="1" t="s">
        <v>2172</v>
      </c>
      <c r="F2679" s="1" t="s">
        <v>5352</v>
      </c>
      <c r="G2679" s="3">
        <v>0</v>
      </c>
      <c r="H2679" s="20" t="s">
        <v>7419</v>
      </c>
      <c r="I2679" s="20" t="s">
        <v>6918</v>
      </c>
      <c r="J2679" s="20" t="s">
        <v>5199</v>
      </c>
      <c r="K2679" s="20" t="s">
        <v>10013</v>
      </c>
      <c r="L2679" s="3">
        <v>30</v>
      </c>
      <c r="M2679" s="3" t="s">
        <v>10287</v>
      </c>
      <c r="N2679" s="3" t="str">
        <f>HYPERLINK("http://ictvonline.org/taxonomyHistory.asp?taxnode_id=20162667","ICTVonline=20162667")</f>
        <v>ICTVonline=20162667</v>
      </c>
    </row>
    <row r="2680" spans="1:14" x14ac:dyDescent="0.15">
      <c r="A2680" s="3">
        <v>2679</v>
      </c>
      <c r="B2680" s="1" t="s">
        <v>926</v>
      </c>
      <c r="C2680" s="1" t="s">
        <v>2171</v>
      </c>
      <c r="E2680" s="1" t="s">
        <v>2172</v>
      </c>
      <c r="F2680" s="1" t="s">
        <v>5353</v>
      </c>
      <c r="G2680" s="3">
        <v>0</v>
      </c>
      <c r="H2680" s="20" t="s">
        <v>7420</v>
      </c>
      <c r="I2680" s="20" t="s">
        <v>6919</v>
      </c>
      <c r="J2680" s="20" t="s">
        <v>5199</v>
      </c>
      <c r="K2680" s="20" t="s">
        <v>10013</v>
      </c>
      <c r="L2680" s="3">
        <v>30</v>
      </c>
      <c r="M2680" s="3" t="s">
        <v>10287</v>
      </c>
      <c r="N2680" s="3" t="str">
        <f>HYPERLINK("http://ictvonline.org/taxonomyHistory.asp?taxnode_id=20162668","ICTVonline=20162668")</f>
        <v>ICTVonline=20162668</v>
      </c>
    </row>
    <row r="2681" spans="1:14" x14ac:dyDescent="0.15">
      <c r="A2681" s="3">
        <v>2680</v>
      </c>
      <c r="B2681" s="1" t="s">
        <v>926</v>
      </c>
      <c r="C2681" s="1" t="s">
        <v>2171</v>
      </c>
      <c r="E2681" s="1" t="s">
        <v>2172</v>
      </c>
      <c r="F2681" s="1" t="s">
        <v>2512</v>
      </c>
      <c r="G2681" s="3">
        <v>0</v>
      </c>
      <c r="J2681" s="20" t="s">
        <v>5199</v>
      </c>
      <c r="K2681" s="20" t="s">
        <v>10013</v>
      </c>
      <c r="L2681" s="3">
        <v>28</v>
      </c>
      <c r="M2681" s="3" t="s">
        <v>10288</v>
      </c>
      <c r="N2681" s="3" t="str">
        <f>HYPERLINK("http://ictvonline.org/taxonomyHistory.asp?taxnode_id=20162669","ICTVonline=20162669")</f>
        <v>ICTVonline=20162669</v>
      </c>
    </row>
    <row r="2682" spans="1:14" x14ac:dyDescent="0.15">
      <c r="A2682" s="3">
        <v>2681</v>
      </c>
      <c r="B2682" s="1" t="s">
        <v>926</v>
      </c>
      <c r="C2682" s="1" t="s">
        <v>2171</v>
      </c>
      <c r="E2682" s="1" t="s">
        <v>2172</v>
      </c>
      <c r="F2682" s="1" t="s">
        <v>5354</v>
      </c>
      <c r="G2682" s="3">
        <v>0</v>
      </c>
      <c r="H2682" s="20" t="s">
        <v>7421</v>
      </c>
      <c r="I2682" s="20" t="s">
        <v>6920</v>
      </c>
      <c r="J2682" s="20" t="s">
        <v>5199</v>
      </c>
      <c r="K2682" s="20" t="s">
        <v>10013</v>
      </c>
      <c r="L2682" s="3">
        <v>30</v>
      </c>
      <c r="M2682" s="3" t="s">
        <v>10287</v>
      </c>
      <c r="N2682" s="3" t="str">
        <f>HYPERLINK("http://ictvonline.org/taxonomyHistory.asp?taxnode_id=20162670","ICTVonline=20162670")</f>
        <v>ICTVonline=20162670</v>
      </c>
    </row>
    <row r="2683" spans="1:14" x14ac:dyDescent="0.15">
      <c r="A2683" s="3">
        <v>2682</v>
      </c>
      <c r="B2683" s="1" t="s">
        <v>926</v>
      </c>
      <c r="C2683" s="1" t="s">
        <v>2171</v>
      </c>
      <c r="E2683" s="1" t="s">
        <v>2172</v>
      </c>
      <c r="F2683" s="1" t="s">
        <v>2513</v>
      </c>
      <c r="G2683" s="3">
        <v>0</v>
      </c>
      <c r="J2683" s="20" t="s">
        <v>5199</v>
      </c>
      <c r="K2683" s="20" t="s">
        <v>10013</v>
      </c>
      <c r="L2683" s="3">
        <v>28</v>
      </c>
      <c r="M2683" s="3" t="s">
        <v>10288</v>
      </c>
      <c r="N2683" s="3" t="str">
        <f>HYPERLINK("http://ictvonline.org/taxonomyHistory.asp?taxnode_id=20162671","ICTVonline=20162671")</f>
        <v>ICTVonline=20162671</v>
      </c>
    </row>
    <row r="2684" spans="1:14" x14ac:dyDescent="0.15">
      <c r="A2684" s="3">
        <v>2683</v>
      </c>
      <c r="B2684" s="1" t="s">
        <v>926</v>
      </c>
      <c r="C2684" s="1" t="s">
        <v>2171</v>
      </c>
      <c r="E2684" s="1" t="s">
        <v>2172</v>
      </c>
      <c r="F2684" s="1" t="s">
        <v>831</v>
      </c>
      <c r="G2684" s="3">
        <v>0</v>
      </c>
      <c r="J2684" s="20" t="s">
        <v>5199</v>
      </c>
      <c r="K2684" s="20" t="s">
        <v>10013</v>
      </c>
      <c r="L2684" s="3">
        <v>22</v>
      </c>
      <c r="M2684" s="3" t="s">
        <v>10289</v>
      </c>
      <c r="N2684" s="3" t="str">
        <f>HYPERLINK("http://ictvonline.org/taxonomyHistory.asp?taxnode_id=20162672","ICTVonline=20162672")</f>
        <v>ICTVonline=20162672</v>
      </c>
    </row>
    <row r="2685" spans="1:14" x14ac:dyDescent="0.15">
      <c r="A2685" s="3">
        <v>2684</v>
      </c>
      <c r="B2685" s="1" t="s">
        <v>926</v>
      </c>
      <c r="C2685" s="1" t="s">
        <v>2171</v>
      </c>
      <c r="E2685" s="1" t="s">
        <v>2172</v>
      </c>
      <c r="F2685" s="1" t="s">
        <v>832</v>
      </c>
      <c r="G2685" s="3">
        <v>0</v>
      </c>
      <c r="J2685" s="20" t="s">
        <v>5199</v>
      </c>
      <c r="K2685" s="20" t="s">
        <v>10013</v>
      </c>
      <c r="L2685" s="3">
        <v>22</v>
      </c>
      <c r="M2685" s="3" t="s">
        <v>10289</v>
      </c>
      <c r="N2685" s="3" t="str">
        <f>HYPERLINK("http://ictvonline.org/taxonomyHistory.asp?taxnode_id=20162673","ICTVonline=20162673")</f>
        <v>ICTVonline=20162673</v>
      </c>
    </row>
    <row r="2686" spans="1:14" x14ac:dyDescent="0.15">
      <c r="A2686" s="3">
        <v>2685</v>
      </c>
      <c r="B2686" s="1" t="s">
        <v>926</v>
      </c>
      <c r="C2686" s="1" t="s">
        <v>2171</v>
      </c>
      <c r="E2686" s="1" t="s">
        <v>2172</v>
      </c>
      <c r="F2686" s="1" t="s">
        <v>5355</v>
      </c>
      <c r="G2686" s="3">
        <v>0</v>
      </c>
      <c r="H2686" s="20" t="s">
        <v>7422</v>
      </c>
      <c r="I2686" s="20" t="s">
        <v>6921</v>
      </c>
      <c r="J2686" s="20" t="s">
        <v>5199</v>
      </c>
      <c r="K2686" s="20" t="s">
        <v>10013</v>
      </c>
      <c r="L2686" s="3">
        <v>30</v>
      </c>
      <c r="M2686" s="3" t="s">
        <v>10287</v>
      </c>
      <c r="N2686" s="3" t="str">
        <f>HYPERLINK("http://ictvonline.org/taxonomyHistory.asp?taxnode_id=20162674","ICTVonline=20162674")</f>
        <v>ICTVonline=20162674</v>
      </c>
    </row>
    <row r="2687" spans="1:14" x14ac:dyDescent="0.15">
      <c r="A2687" s="3">
        <v>2686</v>
      </c>
      <c r="B2687" s="1" t="s">
        <v>926</v>
      </c>
      <c r="C2687" s="1" t="s">
        <v>2171</v>
      </c>
      <c r="E2687" s="1" t="s">
        <v>2172</v>
      </c>
      <c r="F2687" s="1" t="s">
        <v>833</v>
      </c>
      <c r="G2687" s="3">
        <v>0</v>
      </c>
      <c r="J2687" s="20" t="s">
        <v>5199</v>
      </c>
      <c r="K2687" s="20" t="s">
        <v>10016</v>
      </c>
      <c r="L2687" s="3">
        <v>16</v>
      </c>
      <c r="M2687" s="3" t="s">
        <v>10237</v>
      </c>
      <c r="N2687" s="3" t="str">
        <f>HYPERLINK("http://ictvonline.org/taxonomyHistory.asp?taxnode_id=20162675","ICTVonline=20162675")</f>
        <v>ICTVonline=20162675</v>
      </c>
    </row>
    <row r="2688" spans="1:14" x14ac:dyDescent="0.15">
      <c r="A2688" s="3">
        <v>2687</v>
      </c>
      <c r="B2688" s="1" t="s">
        <v>926</v>
      </c>
      <c r="C2688" s="1" t="s">
        <v>2171</v>
      </c>
      <c r="E2688" s="1" t="s">
        <v>2172</v>
      </c>
      <c r="F2688" s="1" t="s">
        <v>2514</v>
      </c>
      <c r="G2688" s="3">
        <v>0</v>
      </c>
      <c r="J2688" s="20" t="s">
        <v>5199</v>
      </c>
      <c r="K2688" s="20" t="s">
        <v>10013</v>
      </c>
      <c r="L2688" s="3">
        <v>28</v>
      </c>
      <c r="M2688" s="3" t="s">
        <v>10288</v>
      </c>
      <c r="N2688" s="3" t="str">
        <f>HYPERLINK("http://ictvonline.org/taxonomyHistory.asp?taxnode_id=20162676","ICTVonline=20162676")</f>
        <v>ICTVonline=20162676</v>
      </c>
    </row>
    <row r="2689" spans="1:14" x14ac:dyDescent="0.15">
      <c r="A2689" s="3">
        <v>2688</v>
      </c>
      <c r="B2689" s="1" t="s">
        <v>926</v>
      </c>
      <c r="C2689" s="1" t="s">
        <v>2171</v>
      </c>
      <c r="E2689" s="1" t="s">
        <v>2172</v>
      </c>
      <c r="F2689" s="1" t="s">
        <v>834</v>
      </c>
      <c r="G2689" s="3">
        <v>0</v>
      </c>
      <c r="J2689" s="20" t="s">
        <v>5199</v>
      </c>
      <c r="K2689" s="20" t="s">
        <v>10013</v>
      </c>
      <c r="L2689" s="3">
        <v>22</v>
      </c>
      <c r="M2689" s="3" t="s">
        <v>10289</v>
      </c>
      <c r="N2689" s="3" t="str">
        <f>HYPERLINK("http://ictvonline.org/taxonomyHistory.asp?taxnode_id=20162677","ICTVonline=20162677")</f>
        <v>ICTVonline=20162677</v>
      </c>
    </row>
    <row r="2690" spans="1:14" x14ac:dyDescent="0.15">
      <c r="A2690" s="3">
        <v>2689</v>
      </c>
      <c r="B2690" s="1" t="s">
        <v>926</v>
      </c>
      <c r="C2690" s="1" t="s">
        <v>2171</v>
      </c>
      <c r="E2690" s="1" t="s">
        <v>2172</v>
      </c>
      <c r="F2690" s="1" t="s">
        <v>835</v>
      </c>
      <c r="G2690" s="3">
        <v>0</v>
      </c>
      <c r="J2690" s="20" t="s">
        <v>5199</v>
      </c>
      <c r="K2690" s="20" t="s">
        <v>10013</v>
      </c>
      <c r="L2690" s="3">
        <v>24</v>
      </c>
      <c r="M2690" s="3" t="s">
        <v>10294</v>
      </c>
      <c r="N2690" s="3" t="str">
        <f>HYPERLINK("http://ictvonline.org/taxonomyHistory.asp?taxnode_id=20162678","ICTVonline=20162678")</f>
        <v>ICTVonline=20162678</v>
      </c>
    </row>
    <row r="2691" spans="1:14" x14ac:dyDescent="0.15">
      <c r="A2691" s="3">
        <v>2690</v>
      </c>
      <c r="B2691" s="1" t="s">
        <v>926</v>
      </c>
      <c r="C2691" s="1" t="s">
        <v>2171</v>
      </c>
      <c r="E2691" s="1" t="s">
        <v>2172</v>
      </c>
      <c r="F2691" s="1" t="s">
        <v>836</v>
      </c>
      <c r="G2691" s="3">
        <v>0</v>
      </c>
      <c r="J2691" s="20" t="s">
        <v>5199</v>
      </c>
      <c r="K2691" s="20" t="s">
        <v>10013</v>
      </c>
      <c r="L2691" s="3">
        <v>24</v>
      </c>
      <c r="M2691" s="3" t="s">
        <v>10290</v>
      </c>
      <c r="N2691" s="3" t="str">
        <f>HYPERLINK("http://ictvonline.org/taxonomyHistory.asp?taxnode_id=20162679","ICTVonline=20162679")</f>
        <v>ICTVonline=20162679</v>
      </c>
    </row>
    <row r="2692" spans="1:14" x14ac:dyDescent="0.15">
      <c r="A2692" s="3">
        <v>2691</v>
      </c>
      <c r="B2692" s="1" t="s">
        <v>926</v>
      </c>
      <c r="C2692" s="1" t="s">
        <v>2171</v>
      </c>
      <c r="E2692" s="1" t="s">
        <v>2172</v>
      </c>
      <c r="F2692" s="1" t="s">
        <v>2515</v>
      </c>
      <c r="G2692" s="3">
        <v>0</v>
      </c>
      <c r="J2692" s="20" t="s">
        <v>5199</v>
      </c>
      <c r="K2692" s="20" t="s">
        <v>10013</v>
      </c>
      <c r="L2692" s="3">
        <v>28</v>
      </c>
      <c r="M2692" s="3" t="s">
        <v>10288</v>
      </c>
      <c r="N2692" s="3" t="str">
        <f>HYPERLINK("http://ictvonline.org/taxonomyHistory.asp?taxnode_id=20162680","ICTVonline=20162680")</f>
        <v>ICTVonline=20162680</v>
      </c>
    </row>
    <row r="2693" spans="1:14" x14ac:dyDescent="0.15">
      <c r="A2693" s="3">
        <v>2692</v>
      </c>
      <c r="B2693" s="1" t="s">
        <v>926</v>
      </c>
      <c r="C2693" s="1" t="s">
        <v>2171</v>
      </c>
      <c r="E2693" s="1" t="s">
        <v>2172</v>
      </c>
      <c r="F2693" s="1" t="s">
        <v>2516</v>
      </c>
      <c r="G2693" s="3">
        <v>0</v>
      </c>
      <c r="J2693" s="20" t="s">
        <v>5199</v>
      </c>
      <c r="K2693" s="20" t="s">
        <v>10013</v>
      </c>
      <c r="L2693" s="3">
        <v>28</v>
      </c>
      <c r="M2693" s="3" t="s">
        <v>10288</v>
      </c>
      <c r="N2693" s="3" t="str">
        <f>HYPERLINK("http://ictvonline.org/taxonomyHistory.asp?taxnode_id=20162681","ICTVonline=20162681")</f>
        <v>ICTVonline=20162681</v>
      </c>
    </row>
    <row r="2694" spans="1:14" x14ac:dyDescent="0.15">
      <c r="A2694" s="3">
        <v>2693</v>
      </c>
      <c r="B2694" s="1" t="s">
        <v>926</v>
      </c>
      <c r="C2694" s="1" t="s">
        <v>2171</v>
      </c>
      <c r="E2694" s="1" t="s">
        <v>2172</v>
      </c>
      <c r="F2694" s="1" t="s">
        <v>2517</v>
      </c>
      <c r="G2694" s="3">
        <v>0</v>
      </c>
      <c r="J2694" s="20" t="s">
        <v>5199</v>
      </c>
      <c r="K2694" s="20" t="s">
        <v>10013</v>
      </c>
      <c r="L2694" s="3">
        <v>28</v>
      </c>
      <c r="M2694" s="3" t="s">
        <v>10288</v>
      </c>
      <c r="N2694" s="3" t="str">
        <f>HYPERLINK("http://ictvonline.org/taxonomyHistory.asp?taxnode_id=20162682","ICTVonline=20162682")</f>
        <v>ICTVonline=20162682</v>
      </c>
    </row>
    <row r="2695" spans="1:14" x14ac:dyDescent="0.15">
      <c r="A2695" s="3">
        <v>2694</v>
      </c>
      <c r="B2695" s="1" t="s">
        <v>926</v>
      </c>
      <c r="C2695" s="1" t="s">
        <v>2171</v>
      </c>
      <c r="E2695" s="1" t="s">
        <v>2172</v>
      </c>
      <c r="F2695" s="1" t="s">
        <v>2518</v>
      </c>
      <c r="G2695" s="3">
        <v>0</v>
      </c>
      <c r="J2695" s="20" t="s">
        <v>5199</v>
      </c>
      <c r="K2695" s="20" t="s">
        <v>10013</v>
      </c>
      <c r="L2695" s="3">
        <v>28</v>
      </c>
      <c r="M2695" s="3" t="s">
        <v>10288</v>
      </c>
      <c r="N2695" s="3" t="str">
        <f>HYPERLINK("http://ictvonline.org/taxonomyHistory.asp?taxnode_id=20162683","ICTVonline=20162683")</f>
        <v>ICTVonline=20162683</v>
      </c>
    </row>
    <row r="2696" spans="1:14" x14ac:dyDescent="0.15">
      <c r="A2696" s="3">
        <v>2695</v>
      </c>
      <c r="B2696" s="1" t="s">
        <v>926</v>
      </c>
      <c r="C2696" s="1" t="s">
        <v>2171</v>
      </c>
      <c r="E2696" s="1" t="s">
        <v>2172</v>
      </c>
      <c r="F2696" s="1" t="s">
        <v>2519</v>
      </c>
      <c r="G2696" s="3">
        <v>0</v>
      </c>
      <c r="J2696" s="20" t="s">
        <v>5199</v>
      </c>
      <c r="K2696" s="20" t="s">
        <v>10013</v>
      </c>
      <c r="L2696" s="3">
        <v>28</v>
      </c>
      <c r="M2696" s="3" t="s">
        <v>10288</v>
      </c>
      <c r="N2696" s="3" t="str">
        <f>HYPERLINK("http://ictvonline.org/taxonomyHistory.asp?taxnode_id=20162684","ICTVonline=20162684")</f>
        <v>ICTVonline=20162684</v>
      </c>
    </row>
    <row r="2697" spans="1:14" x14ac:dyDescent="0.15">
      <c r="A2697" s="3">
        <v>2696</v>
      </c>
      <c r="B2697" s="1" t="s">
        <v>926</v>
      </c>
      <c r="C2697" s="1" t="s">
        <v>2171</v>
      </c>
      <c r="E2697" s="1" t="s">
        <v>2172</v>
      </c>
      <c r="F2697" s="1" t="s">
        <v>837</v>
      </c>
      <c r="G2697" s="3">
        <v>0</v>
      </c>
      <c r="J2697" s="20" t="s">
        <v>5199</v>
      </c>
      <c r="K2697" s="20" t="s">
        <v>10013</v>
      </c>
      <c r="L2697" s="3">
        <v>22</v>
      </c>
      <c r="M2697" s="3" t="s">
        <v>10289</v>
      </c>
      <c r="N2697" s="3" t="str">
        <f>HYPERLINK("http://ictvonline.org/taxonomyHistory.asp?taxnode_id=20162685","ICTVonline=20162685")</f>
        <v>ICTVonline=20162685</v>
      </c>
    </row>
    <row r="2698" spans="1:14" x14ac:dyDescent="0.15">
      <c r="A2698" s="3">
        <v>2697</v>
      </c>
      <c r="B2698" s="1" t="s">
        <v>926</v>
      </c>
      <c r="C2698" s="1" t="s">
        <v>2171</v>
      </c>
      <c r="E2698" s="1" t="s">
        <v>2172</v>
      </c>
      <c r="F2698" s="1" t="s">
        <v>2520</v>
      </c>
      <c r="G2698" s="3">
        <v>0</v>
      </c>
      <c r="J2698" s="20" t="s">
        <v>5199</v>
      </c>
      <c r="K2698" s="20" t="s">
        <v>10013</v>
      </c>
      <c r="L2698" s="3">
        <v>28</v>
      </c>
      <c r="M2698" s="3" t="s">
        <v>10288</v>
      </c>
      <c r="N2698" s="3" t="str">
        <f>HYPERLINK("http://ictvonline.org/taxonomyHistory.asp?taxnode_id=20162686","ICTVonline=20162686")</f>
        <v>ICTVonline=20162686</v>
      </c>
    </row>
    <row r="2699" spans="1:14" x14ac:dyDescent="0.15">
      <c r="A2699" s="3">
        <v>2698</v>
      </c>
      <c r="B2699" s="1" t="s">
        <v>926</v>
      </c>
      <c r="C2699" s="1" t="s">
        <v>2171</v>
      </c>
      <c r="E2699" s="1" t="s">
        <v>2172</v>
      </c>
      <c r="F2699" s="1" t="s">
        <v>5356</v>
      </c>
      <c r="G2699" s="3">
        <v>0</v>
      </c>
      <c r="H2699" s="20" t="s">
        <v>7423</v>
      </c>
      <c r="I2699" s="20" t="s">
        <v>6922</v>
      </c>
      <c r="J2699" s="20" t="s">
        <v>5199</v>
      </c>
      <c r="K2699" s="20" t="s">
        <v>10013</v>
      </c>
      <c r="L2699" s="3">
        <v>30</v>
      </c>
      <c r="M2699" s="3" t="s">
        <v>10287</v>
      </c>
      <c r="N2699" s="3" t="str">
        <f>HYPERLINK("http://ictvonline.org/taxonomyHistory.asp?taxnode_id=20162687","ICTVonline=20162687")</f>
        <v>ICTVonline=20162687</v>
      </c>
    </row>
    <row r="2700" spans="1:14" x14ac:dyDescent="0.15">
      <c r="A2700" s="3">
        <v>2699</v>
      </c>
      <c r="B2700" s="1" t="s">
        <v>926</v>
      </c>
      <c r="C2700" s="1" t="s">
        <v>2171</v>
      </c>
      <c r="E2700" s="1" t="s">
        <v>2172</v>
      </c>
      <c r="F2700" s="1" t="s">
        <v>2521</v>
      </c>
      <c r="G2700" s="3">
        <v>0</v>
      </c>
      <c r="J2700" s="20" t="s">
        <v>5199</v>
      </c>
      <c r="K2700" s="20" t="s">
        <v>10013</v>
      </c>
      <c r="L2700" s="3">
        <v>28</v>
      </c>
      <c r="M2700" s="3" t="s">
        <v>10288</v>
      </c>
      <c r="N2700" s="3" t="str">
        <f>HYPERLINK("http://ictvonline.org/taxonomyHistory.asp?taxnode_id=20162688","ICTVonline=20162688")</f>
        <v>ICTVonline=20162688</v>
      </c>
    </row>
    <row r="2701" spans="1:14" x14ac:dyDescent="0.15">
      <c r="A2701" s="3">
        <v>2700</v>
      </c>
      <c r="B2701" s="1" t="s">
        <v>926</v>
      </c>
      <c r="C2701" s="1" t="s">
        <v>2171</v>
      </c>
      <c r="E2701" s="1" t="s">
        <v>2172</v>
      </c>
      <c r="F2701" s="1" t="s">
        <v>838</v>
      </c>
      <c r="G2701" s="3">
        <v>0</v>
      </c>
      <c r="J2701" s="20" t="s">
        <v>5199</v>
      </c>
      <c r="K2701" s="20" t="s">
        <v>10013</v>
      </c>
      <c r="L2701" s="3">
        <v>24</v>
      </c>
      <c r="M2701" s="3" t="s">
        <v>10290</v>
      </c>
      <c r="N2701" s="3" t="str">
        <f>HYPERLINK("http://ictvonline.org/taxonomyHistory.asp?taxnode_id=20162689","ICTVonline=20162689")</f>
        <v>ICTVonline=20162689</v>
      </c>
    </row>
    <row r="2702" spans="1:14" x14ac:dyDescent="0.15">
      <c r="A2702" s="3">
        <v>2701</v>
      </c>
      <c r="B2702" s="1" t="s">
        <v>926</v>
      </c>
      <c r="C2702" s="1" t="s">
        <v>2171</v>
      </c>
      <c r="E2702" s="1" t="s">
        <v>2172</v>
      </c>
      <c r="F2702" s="1" t="s">
        <v>839</v>
      </c>
      <c r="G2702" s="3">
        <v>0</v>
      </c>
      <c r="J2702" s="20" t="s">
        <v>5199</v>
      </c>
      <c r="K2702" s="20" t="s">
        <v>10013</v>
      </c>
      <c r="L2702" s="3">
        <v>22</v>
      </c>
      <c r="M2702" s="3" t="s">
        <v>10289</v>
      </c>
      <c r="N2702" s="3" t="str">
        <f>HYPERLINK("http://ictvonline.org/taxonomyHistory.asp?taxnode_id=20162690","ICTVonline=20162690")</f>
        <v>ICTVonline=20162690</v>
      </c>
    </row>
    <row r="2703" spans="1:14" x14ac:dyDescent="0.15">
      <c r="A2703" s="3">
        <v>2702</v>
      </c>
      <c r="B2703" s="1" t="s">
        <v>926</v>
      </c>
      <c r="C2703" s="1" t="s">
        <v>2171</v>
      </c>
      <c r="E2703" s="1" t="s">
        <v>2172</v>
      </c>
      <c r="F2703" s="1" t="s">
        <v>1916</v>
      </c>
      <c r="G2703" s="3">
        <v>0</v>
      </c>
      <c r="J2703" s="20" t="s">
        <v>5199</v>
      </c>
      <c r="K2703" s="20" t="s">
        <v>10013</v>
      </c>
      <c r="L2703" s="3">
        <v>24</v>
      </c>
      <c r="M2703" s="3" t="s">
        <v>10291</v>
      </c>
      <c r="N2703" s="3" t="str">
        <f>HYPERLINK("http://ictvonline.org/taxonomyHistory.asp?taxnode_id=20162691","ICTVonline=20162691")</f>
        <v>ICTVonline=20162691</v>
      </c>
    </row>
    <row r="2704" spans="1:14" x14ac:dyDescent="0.15">
      <c r="A2704" s="3">
        <v>2703</v>
      </c>
      <c r="B2704" s="1" t="s">
        <v>926</v>
      </c>
      <c r="C2704" s="1" t="s">
        <v>2171</v>
      </c>
      <c r="E2704" s="1" t="s">
        <v>2172</v>
      </c>
      <c r="F2704" s="1" t="s">
        <v>2522</v>
      </c>
      <c r="G2704" s="3">
        <v>0</v>
      </c>
      <c r="J2704" s="20" t="s">
        <v>5199</v>
      </c>
      <c r="K2704" s="20" t="s">
        <v>10013</v>
      </c>
      <c r="L2704" s="3">
        <v>28</v>
      </c>
      <c r="M2704" s="3" t="s">
        <v>10288</v>
      </c>
      <c r="N2704" s="3" t="str">
        <f>HYPERLINK("http://ictvonline.org/taxonomyHistory.asp?taxnode_id=20162692","ICTVonline=20162692")</f>
        <v>ICTVonline=20162692</v>
      </c>
    </row>
    <row r="2705" spans="1:14" x14ac:dyDescent="0.15">
      <c r="A2705" s="3">
        <v>2704</v>
      </c>
      <c r="B2705" s="1" t="s">
        <v>926</v>
      </c>
      <c r="C2705" s="1" t="s">
        <v>2171</v>
      </c>
      <c r="E2705" s="1" t="s">
        <v>2172</v>
      </c>
      <c r="F2705" s="1" t="s">
        <v>2523</v>
      </c>
      <c r="G2705" s="3">
        <v>0</v>
      </c>
      <c r="J2705" s="20" t="s">
        <v>5199</v>
      </c>
      <c r="K2705" s="20" t="s">
        <v>10013</v>
      </c>
      <c r="L2705" s="3">
        <v>28</v>
      </c>
      <c r="M2705" s="3" t="s">
        <v>10288</v>
      </c>
      <c r="N2705" s="3" t="str">
        <f>HYPERLINK("http://ictvonline.org/taxonomyHistory.asp?taxnode_id=20162693","ICTVonline=20162693")</f>
        <v>ICTVonline=20162693</v>
      </c>
    </row>
    <row r="2706" spans="1:14" x14ac:dyDescent="0.15">
      <c r="A2706" s="3">
        <v>2705</v>
      </c>
      <c r="B2706" s="1" t="s">
        <v>926</v>
      </c>
      <c r="C2706" s="1" t="s">
        <v>2171</v>
      </c>
      <c r="E2706" s="1" t="s">
        <v>2172</v>
      </c>
      <c r="F2706" s="1" t="s">
        <v>1917</v>
      </c>
      <c r="G2706" s="3">
        <v>0</v>
      </c>
      <c r="J2706" s="20" t="s">
        <v>5199</v>
      </c>
      <c r="K2706" s="20" t="s">
        <v>10013</v>
      </c>
      <c r="L2706" s="3">
        <v>24</v>
      </c>
      <c r="M2706" s="3" t="s">
        <v>10291</v>
      </c>
      <c r="N2706" s="3" t="str">
        <f>HYPERLINK("http://ictvonline.org/taxonomyHistory.asp?taxnode_id=20162694","ICTVonline=20162694")</f>
        <v>ICTVonline=20162694</v>
      </c>
    </row>
    <row r="2707" spans="1:14" x14ac:dyDescent="0.15">
      <c r="A2707" s="3">
        <v>2706</v>
      </c>
      <c r="B2707" s="1" t="s">
        <v>926</v>
      </c>
      <c r="C2707" s="1" t="s">
        <v>2171</v>
      </c>
      <c r="E2707" s="1" t="s">
        <v>2172</v>
      </c>
      <c r="F2707" s="1" t="s">
        <v>1918</v>
      </c>
      <c r="G2707" s="3">
        <v>0</v>
      </c>
      <c r="J2707" s="20" t="s">
        <v>5199</v>
      </c>
      <c r="K2707" s="20" t="s">
        <v>10013</v>
      </c>
      <c r="L2707" s="3">
        <v>22</v>
      </c>
      <c r="M2707" s="3" t="s">
        <v>10289</v>
      </c>
      <c r="N2707" s="3" t="str">
        <f>HYPERLINK("http://ictvonline.org/taxonomyHistory.asp?taxnode_id=20162695","ICTVonline=20162695")</f>
        <v>ICTVonline=20162695</v>
      </c>
    </row>
    <row r="2708" spans="1:14" x14ac:dyDescent="0.15">
      <c r="A2708" s="3">
        <v>2707</v>
      </c>
      <c r="B2708" s="1" t="s">
        <v>926</v>
      </c>
      <c r="C2708" s="1" t="s">
        <v>2171</v>
      </c>
      <c r="E2708" s="1" t="s">
        <v>2172</v>
      </c>
      <c r="F2708" s="1" t="s">
        <v>5357</v>
      </c>
      <c r="G2708" s="3">
        <v>0</v>
      </c>
      <c r="H2708" s="20" t="s">
        <v>7424</v>
      </c>
      <c r="I2708" s="20" t="s">
        <v>6923</v>
      </c>
      <c r="J2708" s="20" t="s">
        <v>5199</v>
      </c>
      <c r="K2708" s="20" t="s">
        <v>10013</v>
      </c>
      <c r="L2708" s="3">
        <v>30</v>
      </c>
      <c r="M2708" s="3" t="s">
        <v>10287</v>
      </c>
      <c r="N2708" s="3" t="str">
        <f>HYPERLINK("http://ictvonline.org/taxonomyHistory.asp?taxnode_id=20162696","ICTVonline=20162696")</f>
        <v>ICTVonline=20162696</v>
      </c>
    </row>
    <row r="2709" spans="1:14" x14ac:dyDescent="0.15">
      <c r="A2709" s="3">
        <v>2708</v>
      </c>
      <c r="B2709" s="1" t="s">
        <v>926</v>
      </c>
      <c r="C2709" s="1" t="s">
        <v>2171</v>
      </c>
      <c r="E2709" s="1" t="s">
        <v>2172</v>
      </c>
      <c r="F2709" s="1" t="s">
        <v>1919</v>
      </c>
      <c r="G2709" s="3">
        <v>0</v>
      </c>
      <c r="J2709" s="20" t="s">
        <v>5199</v>
      </c>
      <c r="K2709" s="20" t="s">
        <v>10013</v>
      </c>
      <c r="L2709" s="3">
        <v>24</v>
      </c>
      <c r="M2709" s="3" t="s">
        <v>10294</v>
      </c>
      <c r="N2709" s="3" t="str">
        <f>HYPERLINK("http://ictvonline.org/taxonomyHistory.asp?taxnode_id=20162697","ICTVonline=20162697")</f>
        <v>ICTVonline=20162697</v>
      </c>
    </row>
    <row r="2710" spans="1:14" x14ac:dyDescent="0.15">
      <c r="A2710" s="3">
        <v>2709</v>
      </c>
      <c r="B2710" s="1" t="s">
        <v>926</v>
      </c>
      <c r="C2710" s="1" t="s">
        <v>2171</v>
      </c>
      <c r="E2710" s="1" t="s">
        <v>2172</v>
      </c>
      <c r="F2710" s="1" t="s">
        <v>1920</v>
      </c>
      <c r="G2710" s="3">
        <v>0</v>
      </c>
      <c r="J2710" s="20" t="s">
        <v>5199</v>
      </c>
      <c r="K2710" s="20" t="s">
        <v>10013</v>
      </c>
      <c r="L2710" s="3">
        <v>24</v>
      </c>
      <c r="M2710" s="3" t="s">
        <v>10294</v>
      </c>
      <c r="N2710" s="3" t="str">
        <f>HYPERLINK("http://ictvonline.org/taxonomyHistory.asp?taxnode_id=20162698","ICTVonline=20162698")</f>
        <v>ICTVonline=20162698</v>
      </c>
    </row>
    <row r="2711" spans="1:14" x14ac:dyDescent="0.15">
      <c r="A2711" s="3">
        <v>2710</v>
      </c>
      <c r="B2711" s="1" t="s">
        <v>926</v>
      </c>
      <c r="C2711" s="1" t="s">
        <v>2171</v>
      </c>
      <c r="E2711" s="1" t="s">
        <v>2172</v>
      </c>
      <c r="F2711" s="1" t="s">
        <v>526</v>
      </c>
      <c r="G2711" s="3">
        <v>0</v>
      </c>
      <c r="J2711" s="20" t="s">
        <v>5199</v>
      </c>
      <c r="K2711" s="20" t="s">
        <v>10013</v>
      </c>
      <c r="L2711" s="3">
        <v>17</v>
      </c>
      <c r="M2711" s="3" t="s">
        <v>10208</v>
      </c>
      <c r="N2711" s="3" t="str">
        <f>HYPERLINK("http://ictvonline.org/taxonomyHistory.asp?taxnode_id=20162699","ICTVonline=20162699")</f>
        <v>ICTVonline=20162699</v>
      </c>
    </row>
    <row r="2712" spans="1:14" x14ac:dyDescent="0.15">
      <c r="A2712" s="3">
        <v>2711</v>
      </c>
      <c r="B2712" s="1" t="s">
        <v>926</v>
      </c>
      <c r="C2712" s="1" t="s">
        <v>2171</v>
      </c>
      <c r="E2712" s="1" t="s">
        <v>2172</v>
      </c>
      <c r="F2712" s="1" t="s">
        <v>527</v>
      </c>
      <c r="G2712" s="3">
        <v>0</v>
      </c>
      <c r="J2712" s="20" t="s">
        <v>5199</v>
      </c>
      <c r="K2712" s="20" t="s">
        <v>10013</v>
      </c>
      <c r="L2712" s="3">
        <v>24</v>
      </c>
      <c r="M2712" s="3" t="s">
        <v>10291</v>
      </c>
      <c r="N2712" s="3" t="str">
        <f>HYPERLINK("http://ictvonline.org/taxonomyHistory.asp?taxnode_id=20162700","ICTVonline=20162700")</f>
        <v>ICTVonline=20162700</v>
      </c>
    </row>
    <row r="2713" spans="1:14" x14ac:dyDescent="0.15">
      <c r="A2713" s="3">
        <v>2712</v>
      </c>
      <c r="B2713" s="1" t="s">
        <v>926</v>
      </c>
      <c r="C2713" s="1" t="s">
        <v>2171</v>
      </c>
      <c r="E2713" s="1" t="s">
        <v>2172</v>
      </c>
      <c r="F2713" s="1" t="s">
        <v>5358</v>
      </c>
      <c r="G2713" s="3">
        <v>0</v>
      </c>
      <c r="H2713" s="20" t="s">
        <v>7425</v>
      </c>
      <c r="I2713" s="20" t="s">
        <v>6924</v>
      </c>
      <c r="J2713" s="20" t="s">
        <v>5199</v>
      </c>
      <c r="K2713" s="20" t="s">
        <v>10013</v>
      </c>
      <c r="L2713" s="3">
        <v>30</v>
      </c>
      <c r="M2713" s="3" t="s">
        <v>10287</v>
      </c>
      <c r="N2713" s="3" t="str">
        <f>HYPERLINK("http://ictvonline.org/taxonomyHistory.asp?taxnode_id=20162701","ICTVonline=20162701")</f>
        <v>ICTVonline=20162701</v>
      </c>
    </row>
    <row r="2714" spans="1:14" x14ac:dyDescent="0.15">
      <c r="A2714" s="3">
        <v>2713</v>
      </c>
      <c r="B2714" s="1" t="s">
        <v>926</v>
      </c>
      <c r="C2714" s="1" t="s">
        <v>2171</v>
      </c>
      <c r="E2714" s="1" t="s">
        <v>2172</v>
      </c>
      <c r="F2714" s="1" t="s">
        <v>2524</v>
      </c>
      <c r="G2714" s="3">
        <v>0</v>
      </c>
      <c r="J2714" s="20" t="s">
        <v>5199</v>
      </c>
      <c r="K2714" s="20" t="s">
        <v>10013</v>
      </c>
      <c r="L2714" s="3">
        <v>28</v>
      </c>
      <c r="M2714" s="3" t="s">
        <v>10288</v>
      </c>
      <c r="N2714" s="3" t="str">
        <f>HYPERLINK("http://ictvonline.org/taxonomyHistory.asp?taxnode_id=20162702","ICTVonline=20162702")</f>
        <v>ICTVonline=20162702</v>
      </c>
    </row>
    <row r="2715" spans="1:14" x14ac:dyDescent="0.15">
      <c r="A2715" s="3">
        <v>2714</v>
      </c>
      <c r="B2715" s="1" t="s">
        <v>926</v>
      </c>
      <c r="C2715" s="1" t="s">
        <v>2171</v>
      </c>
      <c r="E2715" s="1" t="s">
        <v>2172</v>
      </c>
      <c r="F2715" s="1" t="s">
        <v>528</v>
      </c>
      <c r="G2715" s="3">
        <v>0</v>
      </c>
      <c r="J2715" s="20" t="s">
        <v>5199</v>
      </c>
      <c r="K2715" s="20" t="s">
        <v>10013</v>
      </c>
      <c r="L2715" s="3">
        <v>24</v>
      </c>
      <c r="M2715" s="3" t="s">
        <v>10291</v>
      </c>
      <c r="N2715" s="3" t="str">
        <f>HYPERLINK("http://ictvonline.org/taxonomyHistory.asp?taxnode_id=20162703","ICTVonline=20162703")</f>
        <v>ICTVonline=20162703</v>
      </c>
    </row>
    <row r="2716" spans="1:14" x14ac:dyDescent="0.15">
      <c r="A2716" s="3">
        <v>2715</v>
      </c>
      <c r="B2716" s="1" t="s">
        <v>926</v>
      </c>
      <c r="C2716" s="1" t="s">
        <v>2171</v>
      </c>
      <c r="E2716" s="1" t="s">
        <v>2172</v>
      </c>
      <c r="F2716" s="1" t="s">
        <v>5359</v>
      </c>
      <c r="G2716" s="3">
        <v>0</v>
      </c>
      <c r="H2716" s="20" t="s">
        <v>7426</v>
      </c>
      <c r="I2716" s="20" t="s">
        <v>6925</v>
      </c>
      <c r="J2716" s="20" t="s">
        <v>5199</v>
      </c>
      <c r="K2716" s="20" t="s">
        <v>10013</v>
      </c>
      <c r="L2716" s="3">
        <v>30</v>
      </c>
      <c r="M2716" s="3" t="s">
        <v>10287</v>
      </c>
      <c r="N2716" s="3" t="str">
        <f>HYPERLINK("http://ictvonline.org/taxonomyHistory.asp?taxnode_id=20162704","ICTVonline=20162704")</f>
        <v>ICTVonline=20162704</v>
      </c>
    </row>
    <row r="2717" spans="1:14" x14ac:dyDescent="0.15">
      <c r="A2717" s="3">
        <v>2716</v>
      </c>
      <c r="B2717" s="1" t="s">
        <v>926</v>
      </c>
      <c r="C2717" s="1" t="s">
        <v>2171</v>
      </c>
      <c r="E2717" s="1" t="s">
        <v>2172</v>
      </c>
      <c r="F2717" s="1" t="s">
        <v>529</v>
      </c>
      <c r="G2717" s="3">
        <v>0</v>
      </c>
      <c r="J2717" s="20" t="s">
        <v>5199</v>
      </c>
      <c r="K2717" s="20" t="s">
        <v>10021</v>
      </c>
      <c r="L2717" s="3">
        <v>23</v>
      </c>
      <c r="M2717" s="3" t="s">
        <v>10229</v>
      </c>
      <c r="N2717" s="3" t="str">
        <f>HYPERLINK("http://ictvonline.org/taxonomyHistory.asp?taxnode_id=20162705","ICTVonline=20162705")</f>
        <v>ICTVonline=20162705</v>
      </c>
    </row>
    <row r="2718" spans="1:14" x14ac:dyDescent="0.15">
      <c r="A2718" s="3">
        <v>2717</v>
      </c>
      <c r="B2718" s="1" t="s">
        <v>926</v>
      </c>
      <c r="C2718" s="1" t="s">
        <v>2171</v>
      </c>
      <c r="E2718" s="1" t="s">
        <v>2172</v>
      </c>
      <c r="F2718" s="1" t="s">
        <v>530</v>
      </c>
      <c r="G2718" s="3">
        <v>0</v>
      </c>
      <c r="J2718" s="20" t="s">
        <v>5199</v>
      </c>
      <c r="K2718" s="20" t="s">
        <v>10013</v>
      </c>
      <c r="L2718" s="3">
        <v>23</v>
      </c>
      <c r="M2718" s="3" t="s">
        <v>10229</v>
      </c>
      <c r="N2718" s="3" t="str">
        <f>HYPERLINK("http://ictvonline.org/taxonomyHistory.asp?taxnode_id=20162706","ICTVonline=20162706")</f>
        <v>ICTVonline=20162706</v>
      </c>
    </row>
    <row r="2719" spans="1:14" x14ac:dyDescent="0.15">
      <c r="A2719" s="3">
        <v>2718</v>
      </c>
      <c r="B2719" s="1" t="s">
        <v>926</v>
      </c>
      <c r="C2719" s="1" t="s">
        <v>2171</v>
      </c>
      <c r="E2719" s="1" t="s">
        <v>2172</v>
      </c>
      <c r="F2719" s="1" t="s">
        <v>531</v>
      </c>
      <c r="G2719" s="3">
        <v>0</v>
      </c>
      <c r="J2719" s="20" t="s">
        <v>5199</v>
      </c>
      <c r="K2719" s="20" t="s">
        <v>10016</v>
      </c>
      <c r="L2719" s="3">
        <v>16</v>
      </c>
      <c r="M2719" s="3" t="s">
        <v>10237</v>
      </c>
      <c r="N2719" s="3" t="str">
        <f>HYPERLINK("http://ictvonline.org/taxonomyHistory.asp?taxnode_id=20162707","ICTVonline=20162707")</f>
        <v>ICTVonline=20162707</v>
      </c>
    </row>
    <row r="2720" spans="1:14" x14ac:dyDescent="0.15">
      <c r="A2720" s="3">
        <v>2719</v>
      </c>
      <c r="B2720" s="1" t="s">
        <v>926</v>
      </c>
      <c r="C2720" s="1" t="s">
        <v>2171</v>
      </c>
      <c r="E2720" s="1" t="s">
        <v>2172</v>
      </c>
      <c r="F2720" s="1" t="s">
        <v>532</v>
      </c>
      <c r="G2720" s="3">
        <v>0</v>
      </c>
      <c r="J2720" s="20" t="s">
        <v>5199</v>
      </c>
      <c r="K2720" s="20" t="s">
        <v>10013</v>
      </c>
      <c r="L2720" s="3">
        <v>22</v>
      </c>
      <c r="M2720" s="3" t="s">
        <v>10289</v>
      </c>
      <c r="N2720" s="3" t="str">
        <f>HYPERLINK("http://ictvonline.org/taxonomyHistory.asp?taxnode_id=20162708","ICTVonline=20162708")</f>
        <v>ICTVonline=20162708</v>
      </c>
    </row>
    <row r="2721" spans="1:14" x14ac:dyDescent="0.15">
      <c r="A2721" s="3">
        <v>2720</v>
      </c>
      <c r="B2721" s="1" t="s">
        <v>926</v>
      </c>
      <c r="C2721" s="1" t="s">
        <v>2171</v>
      </c>
      <c r="E2721" s="1" t="s">
        <v>2172</v>
      </c>
      <c r="F2721" s="1" t="s">
        <v>533</v>
      </c>
      <c r="G2721" s="3">
        <v>0</v>
      </c>
      <c r="J2721" s="20" t="s">
        <v>5199</v>
      </c>
      <c r="K2721" s="20" t="s">
        <v>10013</v>
      </c>
      <c r="L2721" s="3">
        <v>22</v>
      </c>
      <c r="M2721" s="3" t="s">
        <v>10289</v>
      </c>
      <c r="N2721" s="3" t="str">
        <f>HYPERLINK("http://ictvonline.org/taxonomyHistory.asp?taxnode_id=20162709","ICTVonline=20162709")</f>
        <v>ICTVonline=20162709</v>
      </c>
    </row>
    <row r="2722" spans="1:14" x14ac:dyDescent="0.15">
      <c r="A2722" s="3">
        <v>2721</v>
      </c>
      <c r="B2722" s="1" t="s">
        <v>926</v>
      </c>
      <c r="C2722" s="1" t="s">
        <v>2171</v>
      </c>
      <c r="E2722" s="1" t="s">
        <v>2172</v>
      </c>
      <c r="F2722" s="1" t="s">
        <v>534</v>
      </c>
      <c r="G2722" s="3">
        <v>0</v>
      </c>
      <c r="J2722" s="20" t="s">
        <v>5199</v>
      </c>
      <c r="K2722" s="20" t="s">
        <v>10013</v>
      </c>
      <c r="L2722" s="3">
        <v>22</v>
      </c>
      <c r="M2722" s="3" t="s">
        <v>10289</v>
      </c>
      <c r="N2722" s="3" t="str">
        <f>HYPERLINK("http://ictvonline.org/taxonomyHistory.asp?taxnode_id=20162710","ICTVonline=20162710")</f>
        <v>ICTVonline=20162710</v>
      </c>
    </row>
    <row r="2723" spans="1:14" x14ac:dyDescent="0.15">
      <c r="A2723" s="3">
        <v>2722</v>
      </c>
      <c r="B2723" s="1" t="s">
        <v>926</v>
      </c>
      <c r="C2723" s="1" t="s">
        <v>2171</v>
      </c>
      <c r="E2723" s="1" t="s">
        <v>2172</v>
      </c>
      <c r="F2723" s="1" t="s">
        <v>535</v>
      </c>
      <c r="G2723" s="3">
        <v>0</v>
      </c>
      <c r="J2723" s="20" t="s">
        <v>5199</v>
      </c>
      <c r="K2723" s="20" t="s">
        <v>10013</v>
      </c>
      <c r="L2723" s="3">
        <v>22</v>
      </c>
      <c r="M2723" s="3" t="s">
        <v>10289</v>
      </c>
      <c r="N2723" s="3" t="str">
        <f>HYPERLINK("http://ictvonline.org/taxonomyHistory.asp?taxnode_id=20162711","ICTVonline=20162711")</f>
        <v>ICTVonline=20162711</v>
      </c>
    </row>
    <row r="2724" spans="1:14" x14ac:dyDescent="0.15">
      <c r="A2724" s="3">
        <v>2723</v>
      </c>
      <c r="B2724" s="1" t="s">
        <v>926</v>
      </c>
      <c r="C2724" s="1" t="s">
        <v>2171</v>
      </c>
      <c r="E2724" s="1" t="s">
        <v>2172</v>
      </c>
      <c r="F2724" s="1" t="s">
        <v>5360</v>
      </c>
      <c r="G2724" s="3">
        <v>0</v>
      </c>
      <c r="H2724" s="20" t="s">
        <v>7427</v>
      </c>
      <c r="I2724" s="20" t="s">
        <v>6926</v>
      </c>
      <c r="J2724" s="20" t="s">
        <v>5199</v>
      </c>
      <c r="K2724" s="20" t="s">
        <v>10013</v>
      </c>
      <c r="L2724" s="3">
        <v>30</v>
      </c>
      <c r="M2724" s="3" t="s">
        <v>10287</v>
      </c>
      <c r="N2724" s="3" t="str">
        <f>HYPERLINK("http://ictvonline.org/taxonomyHistory.asp?taxnode_id=20162712","ICTVonline=20162712")</f>
        <v>ICTVonline=20162712</v>
      </c>
    </row>
    <row r="2725" spans="1:14" x14ac:dyDescent="0.15">
      <c r="A2725" s="3">
        <v>2724</v>
      </c>
      <c r="B2725" s="1" t="s">
        <v>926</v>
      </c>
      <c r="C2725" s="1" t="s">
        <v>2171</v>
      </c>
      <c r="E2725" s="1" t="s">
        <v>2172</v>
      </c>
      <c r="F2725" s="1" t="s">
        <v>536</v>
      </c>
      <c r="G2725" s="3">
        <v>0</v>
      </c>
      <c r="J2725" s="20" t="s">
        <v>5199</v>
      </c>
      <c r="K2725" s="20" t="s">
        <v>10013</v>
      </c>
      <c r="L2725" s="3">
        <v>24</v>
      </c>
      <c r="M2725" s="3" t="s">
        <v>10291</v>
      </c>
      <c r="N2725" s="3" t="str">
        <f>HYPERLINK("http://ictvonline.org/taxonomyHistory.asp?taxnode_id=20162713","ICTVonline=20162713")</f>
        <v>ICTVonline=20162713</v>
      </c>
    </row>
    <row r="2726" spans="1:14" x14ac:dyDescent="0.15">
      <c r="A2726" s="3">
        <v>2725</v>
      </c>
      <c r="B2726" s="1" t="s">
        <v>926</v>
      </c>
      <c r="C2726" s="1" t="s">
        <v>2171</v>
      </c>
      <c r="E2726" s="1" t="s">
        <v>2172</v>
      </c>
      <c r="F2726" s="1" t="s">
        <v>537</v>
      </c>
      <c r="G2726" s="3">
        <v>0</v>
      </c>
      <c r="J2726" s="20" t="s">
        <v>5199</v>
      </c>
      <c r="K2726" s="20" t="s">
        <v>10013</v>
      </c>
      <c r="L2726" s="3">
        <v>24</v>
      </c>
      <c r="M2726" s="3" t="s">
        <v>10291</v>
      </c>
      <c r="N2726" s="3" t="str">
        <f>HYPERLINK("http://ictvonline.org/taxonomyHistory.asp?taxnode_id=20162714","ICTVonline=20162714")</f>
        <v>ICTVonline=20162714</v>
      </c>
    </row>
    <row r="2727" spans="1:14" x14ac:dyDescent="0.15">
      <c r="A2727" s="3">
        <v>2726</v>
      </c>
      <c r="B2727" s="1" t="s">
        <v>926</v>
      </c>
      <c r="C2727" s="1" t="s">
        <v>2171</v>
      </c>
      <c r="E2727" s="1" t="s">
        <v>2172</v>
      </c>
      <c r="F2727" s="1" t="s">
        <v>538</v>
      </c>
      <c r="G2727" s="3">
        <v>0</v>
      </c>
      <c r="J2727" s="20" t="s">
        <v>5199</v>
      </c>
      <c r="K2727" s="20" t="s">
        <v>10013</v>
      </c>
      <c r="L2727" s="3">
        <v>23</v>
      </c>
      <c r="M2727" s="3" t="s">
        <v>10229</v>
      </c>
      <c r="N2727" s="3" t="str">
        <f>HYPERLINK("http://ictvonline.org/taxonomyHistory.asp?taxnode_id=20162715","ICTVonline=20162715")</f>
        <v>ICTVonline=20162715</v>
      </c>
    </row>
    <row r="2728" spans="1:14" x14ac:dyDescent="0.15">
      <c r="A2728" s="3">
        <v>2727</v>
      </c>
      <c r="B2728" s="1" t="s">
        <v>926</v>
      </c>
      <c r="C2728" s="1" t="s">
        <v>2171</v>
      </c>
      <c r="E2728" s="1" t="s">
        <v>2172</v>
      </c>
      <c r="F2728" s="1" t="s">
        <v>5361</v>
      </c>
      <c r="G2728" s="3">
        <v>0</v>
      </c>
      <c r="H2728" s="20" t="s">
        <v>7428</v>
      </c>
      <c r="I2728" s="20" t="s">
        <v>6927</v>
      </c>
      <c r="J2728" s="20" t="s">
        <v>5199</v>
      </c>
      <c r="K2728" s="20" t="s">
        <v>10013</v>
      </c>
      <c r="L2728" s="3">
        <v>30</v>
      </c>
      <c r="M2728" s="3" t="s">
        <v>10287</v>
      </c>
      <c r="N2728" s="3" t="str">
        <f>HYPERLINK("http://ictvonline.org/taxonomyHistory.asp?taxnode_id=20162716","ICTVonline=20162716")</f>
        <v>ICTVonline=20162716</v>
      </c>
    </row>
    <row r="2729" spans="1:14" x14ac:dyDescent="0.15">
      <c r="A2729" s="3">
        <v>2728</v>
      </c>
      <c r="B2729" s="1" t="s">
        <v>926</v>
      </c>
      <c r="C2729" s="1" t="s">
        <v>2171</v>
      </c>
      <c r="E2729" s="1" t="s">
        <v>2172</v>
      </c>
      <c r="F2729" s="1" t="s">
        <v>2525</v>
      </c>
      <c r="G2729" s="3">
        <v>0</v>
      </c>
      <c r="J2729" s="20" t="s">
        <v>5199</v>
      </c>
      <c r="K2729" s="20" t="s">
        <v>10013</v>
      </c>
      <c r="L2729" s="3">
        <v>28</v>
      </c>
      <c r="M2729" s="3" t="s">
        <v>10288</v>
      </c>
      <c r="N2729" s="3" t="str">
        <f>HYPERLINK("http://ictvonline.org/taxonomyHistory.asp?taxnode_id=20162717","ICTVonline=20162717")</f>
        <v>ICTVonline=20162717</v>
      </c>
    </row>
    <row r="2730" spans="1:14" x14ac:dyDescent="0.15">
      <c r="A2730" s="3">
        <v>2729</v>
      </c>
      <c r="B2730" s="1" t="s">
        <v>926</v>
      </c>
      <c r="C2730" s="1" t="s">
        <v>2171</v>
      </c>
      <c r="E2730" s="1" t="s">
        <v>2172</v>
      </c>
      <c r="F2730" s="1" t="s">
        <v>5362</v>
      </c>
      <c r="G2730" s="3">
        <v>0</v>
      </c>
      <c r="H2730" s="20" t="s">
        <v>7429</v>
      </c>
      <c r="I2730" s="20" t="s">
        <v>6928</v>
      </c>
      <c r="J2730" s="20" t="s">
        <v>5199</v>
      </c>
      <c r="K2730" s="20" t="s">
        <v>10013</v>
      </c>
      <c r="L2730" s="3">
        <v>30</v>
      </c>
      <c r="M2730" s="3" t="s">
        <v>10287</v>
      </c>
      <c r="N2730" s="3" t="str">
        <f>HYPERLINK("http://ictvonline.org/taxonomyHistory.asp?taxnode_id=20162718","ICTVonline=20162718")</f>
        <v>ICTVonline=20162718</v>
      </c>
    </row>
    <row r="2731" spans="1:14" x14ac:dyDescent="0.15">
      <c r="A2731" s="3">
        <v>2730</v>
      </c>
      <c r="B2731" s="1" t="s">
        <v>926</v>
      </c>
      <c r="C2731" s="1" t="s">
        <v>2171</v>
      </c>
      <c r="E2731" s="1" t="s">
        <v>2172</v>
      </c>
      <c r="F2731" s="1" t="s">
        <v>5363</v>
      </c>
      <c r="G2731" s="3">
        <v>0</v>
      </c>
      <c r="H2731" s="20" t="s">
        <v>7430</v>
      </c>
      <c r="I2731" s="20" t="s">
        <v>6929</v>
      </c>
      <c r="J2731" s="20" t="s">
        <v>5199</v>
      </c>
      <c r="K2731" s="20" t="s">
        <v>10013</v>
      </c>
      <c r="L2731" s="3">
        <v>30</v>
      </c>
      <c r="M2731" s="3" t="s">
        <v>10287</v>
      </c>
      <c r="N2731" s="3" t="str">
        <f>HYPERLINK("http://ictvonline.org/taxonomyHistory.asp?taxnode_id=20162719","ICTVonline=20162719")</f>
        <v>ICTVonline=20162719</v>
      </c>
    </row>
    <row r="2732" spans="1:14" x14ac:dyDescent="0.15">
      <c r="A2732" s="3">
        <v>2731</v>
      </c>
      <c r="B2732" s="1" t="s">
        <v>926</v>
      </c>
      <c r="C2732" s="1" t="s">
        <v>2171</v>
      </c>
      <c r="E2732" s="1" t="s">
        <v>2172</v>
      </c>
      <c r="F2732" s="1" t="s">
        <v>2526</v>
      </c>
      <c r="G2732" s="3">
        <v>0</v>
      </c>
      <c r="J2732" s="20" t="s">
        <v>5199</v>
      </c>
      <c r="K2732" s="20" t="s">
        <v>10013</v>
      </c>
      <c r="L2732" s="3">
        <v>28</v>
      </c>
      <c r="M2732" s="3" t="s">
        <v>10288</v>
      </c>
      <c r="N2732" s="3" t="str">
        <f>HYPERLINK("http://ictvonline.org/taxonomyHistory.asp?taxnode_id=20162720","ICTVonline=20162720")</f>
        <v>ICTVonline=20162720</v>
      </c>
    </row>
    <row r="2733" spans="1:14" x14ac:dyDescent="0.15">
      <c r="A2733" s="3">
        <v>2732</v>
      </c>
      <c r="B2733" s="1" t="s">
        <v>926</v>
      </c>
      <c r="C2733" s="1" t="s">
        <v>2171</v>
      </c>
      <c r="E2733" s="1" t="s">
        <v>2172</v>
      </c>
      <c r="F2733" s="1" t="s">
        <v>2527</v>
      </c>
      <c r="G2733" s="3">
        <v>0</v>
      </c>
      <c r="J2733" s="20" t="s">
        <v>5199</v>
      </c>
      <c r="K2733" s="20" t="s">
        <v>10013</v>
      </c>
      <c r="L2733" s="3">
        <v>28</v>
      </c>
      <c r="M2733" s="3" t="s">
        <v>10288</v>
      </c>
      <c r="N2733" s="3" t="str">
        <f>HYPERLINK("http://ictvonline.org/taxonomyHistory.asp?taxnode_id=20162721","ICTVonline=20162721")</f>
        <v>ICTVonline=20162721</v>
      </c>
    </row>
    <row r="2734" spans="1:14" x14ac:dyDescent="0.15">
      <c r="A2734" s="3">
        <v>2733</v>
      </c>
      <c r="B2734" s="1" t="s">
        <v>926</v>
      </c>
      <c r="C2734" s="1" t="s">
        <v>2171</v>
      </c>
      <c r="E2734" s="1" t="s">
        <v>2172</v>
      </c>
      <c r="F2734" s="1" t="s">
        <v>539</v>
      </c>
      <c r="G2734" s="3">
        <v>0</v>
      </c>
      <c r="J2734" s="20" t="s">
        <v>5199</v>
      </c>
      <c r="K2734" s="20" t="s">
        <v>10216</v>
      </c>
      <c r="L2734" s="3">
        <v>28</v>
      </c>
      <c r="M2734" s="3" t="s">
        <v>10288</v>
      </c>
      <c r="N2734" s="3" t="str">
        <f>HYPERLINK("http://ictvonline.org/taxonomyHistory.asp?taxnode_id=20162722","ICTVonline=20162722")</f>
        <v>ICTVonline=20162722</v>
      </c>
    </row>
    <row r="2735" spans="1:14" x14ac:dyDescent="0.15">
      <c r="A2735" s="3">
        <v>2734</v>
      </c>
      <c r="B2735" s="1" t="s">
        <v>926</v>
      </c>
      <c r="C2735" s="1" t="s">
        <v>2171</v>
      </c>
      <c r="E2735" s="1" t="s">
        <v>2172</v>
      </c>
      <c r="F2735" s="1" t="s">
        <v>2528</v>
      </c>
      <c r="G2735" s="3">
        <v>0</v>
      </c>
      <c r="J2735" s="20" t="s">
        <v>5199</v>
      </c>
      <c r="K2735" s="20" t="s">
        <v>10013</v>
      </c>
      <c r="L2735" s="3">
        <v>28</v>
      </c>
      <c r="M2735" s="3" t="s">
        <v>10288</v>
      </c>
      <c r="N2735" s="3" t="str">
        <f>HYPERLINK("http://ictvonline.org/taxonomyHistory.asp?taxnode_id=20162723","ICTVonline=20162723")</f>
        <v>ICTVonline=20162723</v>
      </c>
    </row>
    <row r="2736" spans="1:14" x14ac:dyDescent="0.15">
      <c r="A2736" s="3">
        <v>2735</v>
      </c>
      <c r="B2736" s="1" t="s">
        <v>926</v>
      </c>
      <c r="C2736" s="1" t="s">
        <v>2171</v>
      </c>
      <c r="E2736" s="1" t="s">
        <v>2172</v>
      </c>
      <c r="F2736" s="1" t="s">
        <v>540</v>
      </c>
      <c r="G2736" s="3">
        <v>0</v>
      </c>
      <c r="J2736" s="20" t="s">
        <v>5199</v>
      </c>
      <c r="K2736" s="20" t="s">
        <v>10013</v>
      </c>
      <c r="L2736" s="3">
        <v>22</v>
      </c>
      <c r="M2736" s="3" t="s">
        <v>10289</v>
      </c>
      <c r="N2736" s="3" t="str">
        <f>HYPERLINK("http://ictvonline.org/taxonomyHistory.asp?taxnode_id=20162724","ICTVonline=20162724")</f>
        <v>ICTVonline=20162724</v>
      </c>
    </row>
    <row r="2737" spans="1:14" x14ac:dyDescent="0.15">
      <c r="A2737" s="3">
        <v>2736</v>
      </c>
      <c r="B2737" s="1" t="s">
        <v>926</v>
      </c>
      <c r="C2737" s="1" t="s">
        <v>2171</v>
      </c>
      <c r="E2737" s="1" t="s">
        <v>2172</v>
      </c>
      <c r="F2737" s="1" t="s">
        <v>5364</v>
      </c>
      <c r="G2737" s="3">
        <v>0</v>
      </c>
      <c r="H2737" s="20" t="s">
        <v>7431</v>
      </c>
      <c r="I2737" s="20" t="s">
        <v>6930</v>
      </c>
      <c r="J2737" s="20" t="s">
        <v>5199</v>
      </c>
      <c r="K2737" s="20" t="s">
        <v>10013</v>
      </c>
      <c r="L2737" s="3">
        <v>30</v>
      </c>
      <c r="M2737" s="3" t="s">
        <v>10287</v>
      </c>
      <c r="N2737" s="3" t="str">
        <f>HYPERLINK("http://ictvonline.org/taxonomyHistory.asp?taxnode_id=20162725","ICTVonline=20162725")</f>
        <v>ICTVonline=20162725</v>
      </c>
    </row>
    <row r="2738" spans="1:14" x14ac:dyDescent="0.15">
      <c r="A2738" s="3">
        <v>2737</v>
      </c>
      <c r="B2738" s="1" t="s">
        <v>926</v>
      </c>
      <c r="C2738" s="1" t="s">
        <v>2171</v>
      </c>
      <c r="E2738" s="1" t="s">
        <v>2172</v>
      </c>
      <c r="F2738" s="1" t="s">
        <v>1664</v>
      </c>
      <c r="G2738" s="3">
        <v>0</v>
      </c>
      <c r="J2738" s="20" t="s">
        <v>5199</v>
      </c>
      <c r="K2738" s="20" t="s">
        <v>10013</v>
      </c>
      <c r="L2738" s="3">
        <v>24</v>
      </c>
      <c r="M2738" s="3" t="s">
        <v>10294</v>
      </c>
      <c r="N2738" s="3" t="str">
        <f>HYPERLINK("http://ictvonline.org/taxonomyHistory.asp?taxnode_id=20162726","ICTVonline=20162726")</f>
        <v>ICTVonline=20162726</v>
      </c>
    </row>
    <row r="2739" spans="1:14" x14ac:dyDescent="0.15">
      <c r="A2739" s="3">
        <v>2738</v>
      </c>
      <c r="B2739" s="1" t="s">
        <v>926</v>
      </c>
      <c r="C2739" s="1" t="s">
        <v>2171</v>
      </c>
      <c r="E2739" s="1" t="s">
        <v>2172</v>
      </c>
      <c r="F2739" s="1" t="s">
        <v>1665</v>
      </c>
      <c r="G2739" s="3">
        <v>0</v>
      </c>
      <c r="J2739" s="20" t="s">
        <v>5199</v>
      </c>
      <c r="K2739" s="20" t="s">
        <v>10013</v>
      </c>
      <c r="L2739" s="3">
        <v>22</v>
      </c>
      <c r="M2739" s="3" t="s">
        <v>10289</v>
      </c>
      <c r="N2739" s="3" t="str">
        <f>HYPERLINK("http://ictvonline.org/taxonomyHistory.asp?taxnode_id=20162727","ICTVonline=20162727")</f>
        <v>ICTVonline=20162727</v>
      </c>
    </row>
    <row r="2740" spans="1:14" x14ac:dyDescent="0.15">
      <c r="A2740" s="3">
        <v>2739</v>
      </c>
      <c r="B2740" s="1" t="s">
        <v>926</v>
      </c>
      <c r="C2740" s="1" t="s">
        <v>2171</v>
      </c>
      <c r="E2740" s="1" t="s">
        <v>2172</v>
      </c>
      <c r="F2740" s="1" t="s">
        <v>2529</v>
      </c>
      <c r="G2740" s="3">
        <v>0</v>
      </c>
      <c r="J2740" s="20" t="s">
        <v>5199</v>
      </c>
      <c r="K2740" s="20" t="s">
        <v>10013</v>
      </c>
      <c r="L2740" s="3">
        <v>28</v>
      </c>
      <c r="M2740" s="3" t="s">
        <v>10288</v>
      </c>
      <c r="N2740" s="3" t="str">
        <f>HYPERLINK("http://ictvonline.org/taxonomyHistory.asp?taxnode_id=20162728","ICTVonline=20162728")</f>
        <v>ICTVonline=20162728</v>
      </c>
    </row>
    <row r="2741" spans="1:14" x14ac:dyDescent="0.15">
      <c r="A2741" s="3">
        <v>2740</v>
      </c>
      <c r="B2741" s="1" t="s">
        <v>926</v>
      </c>
      <c r="C2741" s="1" t="s">
        <v>2171</v>
      </c>
      <c r="E2741" s="1" t="s">
        <v>2172</v>
      </c>
      <c r="F2741" s="1" t="s">
        <v>2530</v>
      </c>
      <c r="G2741" s="3">
        <v>0</v>
      </c>
      <c r="J2741" s="20" t="s">
        <v>5199</v>
      </c>
      <c r="K2741" s="20" t="s">
        <v>10013</v>
      </c>
      <c r="L2741" s="3">
        <v>28</v>
      </c>
      <c r="M2741" s="3" t="s">
        <v>10288</v>
      </c>
      <c r="N2741" s="3" t="str">
        <f>HYPERLINK("http://ictvonline.org/taxonomyHistory.asp?taxnode_id=20162729","ICTVonline=20162729")</f>
        <v>ICTVonline=20162729</v>
      </c>
    </row>
    <row r="2742" spans="1:14" x14ac:dyDescent="0.15">
      <c r="A2742" s="3">
        <v>2741</v>
      </c>
      <c r="B2742" s="1" t="s">
        <v>926</v>
      </c>
      <c r="C2742" s="1" t="s">
        <v>2171</v>
      </c>
      <c r="E2742" s="1" t="s">
        <v>2172</v>
      </c>
      <c r="F2742" s="1" t="s">
        <v>1666</v>
      </c>
      <c r="G2742" s="3">
        <v>0</v>
      </c>
      <c r="J2742" s="20" t="s">
        <v>5199</v>
      </c>
      <c r="K2742" s="20" t="s">
        <v>10013</v>
      </c>
      <c r="L2742" s="3">
        <v>22</v>
      </c>
      <c r="M2742" s="3" t="s">
        <v>10289</v>
      </c>
      <c r="N2742" s="3" t="str">
        <f>HYPERLINK("http://ictvonline.org/taxonomyHistory.asp?taxnode_id=20162730","ICTVonline=20162730")</f>
        <v>ICTVonline=20162730</v>
      </c>
    </row>
    <row r="2743" spans="1:14" x14ac:dyDescent="0.15">
      <c r="A2743" s="3">
        <v>2742</v>
      </c>
      <c r="B2743" s="1" t="s">
        <v>926</v>
      </c>
      <c r="C2743" s="1" t="s">
        <v>2171</v>
      </c>
      <c r="E2743" s="1" t="s">
        <v>2172</v>
      </c>
      <c r="F2743" s="1" t="s">
        <v>1667</v>
      </c>
      <c r="G2743" s="3">
        <v>0</v>
      </c>
      <c r="J2743" s="20" t="s">
        <v>5199</v>
      </c>
      <c r="K2743" s="20" t="s">
        <v>10013</v>
      </c>
      <c r="L2743" s="3">
        <v>23</v>
      </c>
      <c r="M2743" s="3" t="s">
        <v>10229</v>
      </c>
      <c r="N2743" s="3" t="str">
        <f>HYPERLINK("http://ictvonline.org/taxonomyHistory.asp?taxnode_id=20162731","ICTVonline=20162731")</f>
        <v>ICTVonline=20162731</v>
      </c>
    </row>
    <row r="2744" spans="1:14" x14ac:dyDescent="0.15">
      <c r="A2744" s="3">
        <v>2743</v>
      </c>
      <c r="B2744" s="1" t="s">
        <v>926</v>
      </c>
      <c r="C2744" s="1" t="s">
        <v>2171</v>
      </c>
      <c r="E2744" s="1" t="s">
        <v>2172</v>
      </c>
      <c r="F2744" s="1" t="s">
        <v>2531</v>
      </c>
      <c r="G2744" s="3">
        <v>0</v>
      </c>
      <c r="J2744" s="20" t="s">
        <v>5199</v>
      </c>
      <c r="K2744" s="20" t="s">
        <v>10013</v>
      </c>
      <c r="L2744" s="3">
        <v>28</v>
      </c>
      <c r="M2744" s="3" t="s">
        <v>10288</v>
      </c>
      <c r="N2744" s="3" t="str">
        <f>HYPERLINK("http://ictvonline.org/taxonomyHistory.asp?taxnode_id=20162732","ICTVonline=20162732")</f>
        <v>ICTVonline=20162732</v>
      </c>
    </row>
    <row r="2745" spans="1:14" x14ac:dyDescent="0.15">
      <c r="A2745" s="3">
        <v>2744</v>
      </c>
      <c r="B2745" s="1" t="s">
        <v>926</v>
      </c>
      <c r="C2745" s="1" t="s">
        <v>2171</v>
      </c>
      <c r="E2745" s="1" t="s">
        <v>2172</v>
      </c>
      <c r="F2745" s="1" t="s">
        <v>2532</v>
      </c>
      <c r="G2745" s="3">
        <v>0</v>
      </c>
      <c r="J2745" s="20" t="s">
        <v>5199</v>
      </c>
      <c r="K2745" s="20" t="s">
        <v>10013</v>
      </c>
      <c r="L2745" s="3">
        <v>28</v>
      </c>
      <c r="M2745" s="3" t="s">
        <v>10288</v>
      </c>
      <c r="N2745" s="3" t="str">
        <f>HYPERLINK("http://ictvonline.org/taxonomyHistory.asp?taxnode_id=20162733","ICTVonline=20162733")</f>
        <v>ICTVonline=20162733</v>
      </c>
    </row>
    <row r="2746" spans="1:14" x14ac:dyDescent="0.15">
      <c r="A2746" s="3">
        <v>2745</v>
      </c>
      <c r="B2746" s="1" t="s">
        <v>926</v>
      </c>
      <c r="C2746" s="1" t="s">
        <v>2171</v>
      </c>
      <c r="E2746" s="1" t="s">
        <v>2172</v>
      </c>
      <c r="F2746" s="1" t="s">
        <v>2533</v>
      </c>
      <c r="G2746" s="3">
        <v>0</v>
      </c>
      <c r="J2746" s="20" t="s">
        <v>5199</v>
      </c>
      <c r="K2746" s="20" t="s">
        <v>10013</v>
      </c>
      <c r="L2746" s="3">
        <v>28</v>
      </c>
      <c r="M2746" s="3" t="s">
        <v>10288</v>
      </c>
      <c r="N2746" s="3" t="str">
        <f>HYPERLINK("http://ictvonline.org/taxonomyHistory.asp?taxnode_id=20162734","ICTVonline=20162734")</f>
        <v>ICTVonline=20162734</v>
      </c>
    </row>
    <row r="2747" spans="1:14" x14ac:dyDescent="0.15">
      <c r="A2747" s="3">
        <v>2746</v>
      </c>
      <c r="B2747" s="1" t="s">
        <v>926</v>
      </c>
      <c r="C2747" s="1" t="s">
        <v>2171</v>
      </c>
      <c r="E2747" s="1" t="s">
        <v>2172</v>
      </c>
      <c r="F2747" s="1" t="s">
        <v>5365</v>
      </c>
      <c r="G2747" s="3">
        <v>0</v>
      </c>
      <c r="H2747" s="20" t="s">
        <v>7432</v>
      </c>
      <c r="I2747" s="20" t="s">
        <v>6931</v>
      </c>
      <c r="J2747" s="20" t="s">
        <v>5199</v>
      </c>
      <c r="K2747" s="20" t="s">
        <v>10013</v>
      </c>
      <c r="L2747" s="3">
        <v>30</v>
      </c>
      <c r="M2747" s="3" t="s">
        <v>10287</v>
      </c>
      <c r="N2747" s="3" t="str">
        <f>HYPERLINK("http://ictvonline.org/taxonomyHistory.asp?taxnode_id=20162735","ICTVonline=20162735")</f>
        <v>ICTVonline=20162735</v>
      </c>
    </row>
    <row r="2748" spans="1:14" x14ac:dyDescent="0.15">
      <c r="A2748" s="3">
        <v>2747</v>
      </c>
      <c r="B2748" s="1" t="s">
        <v>926</v>
      </c>
      <c r="C2748" s="1" t="s">
        <v>2171</v>
      </c>
      <c r="E2748" s="1" t="s">
        <v>2172</v>
      </c>
      <c r="F2748" s="1" t="s">
        <v>5366</v>
      </c>
      <c r="G2748" s="3">
        <v>0</v>
      </c>
      <c r="H2748" s="20" t="s">
        <v>7433</v>
      </c>
      <c r="I2748" s="20" t="s">
        <v>6932</v>
      </c>
      <c r="J2748" s="20" t="s">
        <v>5199</v>
      </c>
      <c r="K2748" s="20" t="s">
        <v>10013</v>
      </c>
      <c r="L2748" s="3">
        <v>30</v>
      </c>
      <c r="M2748" s="3" t="s">
        <v>10287</v>
      </c>
      <c r="N2748" s="3" t="str">
        <f>HYPERLINK("http://ictvonline.org/taxonomyHistory.asp?taxnode_id=20162736","ICTVonline=20162736")</f>
        <v>ICTVonline=20162736</v>
      </c>
    </row>
    <row r="2749" spans="1:14" x14ac:dyDescent="0.15">
      <c r="A2749" s="3">
        <v>2748</v>
      </c>
      <c r="B2749" s="1" t="s">
        <v>926</v>
      </c>
      <c r="C2749" s="1" t="s">
        <v>2171</v>
      </c>
      <c r="E2749" s="1" t="s">
        <v>2172</v>
      </c>
      <c r="F2749" s="1" t="s">
        <v>1885</v>
      </c>
      <c r="G2749" s="3">
        <v>0</v>
      </c>
      <c r="J2749" s="20" t="s">
        <v>5199</v>
      </c>
      <c r="K2749" s="20" t="s">
        <v>10013</v>
      </c>
      <c r="L2749" s="3">
        <v>23</v>
      </c>
      <c r="M2749" s="3" t="s">
        <v>10229</v>
      </c>
      <c r="N2749" s="3" t="str">
        <f>HYPERLINK("http://ictvonline.org/taxonomyHistory.asp?taxnode_id=20162737","ICTVonline=20162737")</f>
        <v>ICTVonline=20162737</v>
      </c>
    </row>
    <row r="2750" spans="1:14" x14ac:dyDescent="0.15">
      <c r="A2750" s="3">
        <v>2749</v>
      </c>
      <c r="B2750" s="1" t="s">
        <v>926</v>
      </c>
      <c r="C2750" s="1" t="s">
        <v>2171</v>
      </c>
      <c r="E2750" s="1" t="s">
        <v>2172</v>
      </c>
      <c r="F2750" s="1" t="s">
        <v>2534</v>
      </c>
      <c r="G2750" s="3">
        <v>0</v>
      </c>
      <c r="J2750" s="20" t="s">
        <v>5199</v>
      </c>
      <c r="K2750" s="20" t="s">
        <v>10013</v>
      </c>
      <c r="L2750" s="3">
        <v>28</v>
      </c>
      <c r="M2750" s="3" t="s">
        <v>10288</v>
      </c>
      <c r="N2750" s="3" t="str">
        <f>HYPERLINK("http://ictvonline.org/taxonomyHistory.asp?taxnode_id=20162738","ICTVonline=20162738")</f>
        <v>ICTVonline=20162738</v>
      </c>
    </row>
    <row r="2751" spans="1:14" x14ac:dyDescent="0.15">
      <c r="A2751" s="3">
        <v>2750</v>
      </c>
      <c r="B2751" s="1" t="s">
        <v>926</v>
      </c>
      <c r="C2751" s="1" t="s">
        <v>2171</v>
      </c>
      <c r="E2751" s="1" t="s">
        <v>2172</v>
      </c>
      <c r="F2751" s="1" t="s">
        <v>1886</v>
      </c>
      <c r="G2751" s="3">
        <v>0</v>
      </c>
      <c r="J2751" s="20" t="s">
        <v>5199</v>
      </c>
      <c r="K2751" s="20" t="s">
        <v>10013</v>
      </c>
      <c r="L2751" s="3">
        <v>22</v>
      </c>
      <c r="M2751" s="3" t="s">
        <v>10289</v>
      </c>
      <c r="N2751" s="3" t="str">
        <f>HYPERLINK("http://ictvonline.org/taxonomyHistory.asp?taxnode_id=20162739","ICTVonline=20162739")</f>
        <v>ICTVonline=20162739</v>
      </c>
    </row>
    <row r="2752" spans="1:14" x14ac:dyDescent="0.15">
      <c r="A2752" s="3">
        <v>2751</v>
      </c>
      <c r="B2752" s="1" t="s">
        <v>926</v>
      </c>
      <c r="C2752" s="1" t="s">
        <v>2171</v>
      </c>
      <c r="E2752" s="1" t="s">
        <v>2172</v>
      </c>
      <c r="F2752" s="1" t="s">
        <v>2535</v>
      </c>
      <c r="G2752" s="3">
        <v>0</v>
      </c>
      <c r="J2752" s="20" t="s">
        <v>5199</v>
      </c>
      <c r="K2752" s="20" t="s">
        <v>10013</v>
      </c>
      <c r="L2752" s="3">
        <v>28</v>
      </c>
      <c r="M2752" s="3" t="s">
        <v>10288</v>
      </c>
      <c r="N2752" s="3" t="str">
        <f>HYPERLINK("http://ictvonline.org/taxonomyHistory.asp?taxnode_id=20162740","ICTVonline=20162740")</f>
        <v>ICTVonline=20162740</v>
      </c>
    </row>
    <row r="2753" spans="1:14" x14ac:dyDescent="0.15">
      <c r="A2753" s="3">
        <v>2752</v>
      </c>
      <c r="B2753" s="1" t="s">
        <v>926</v>
      </c>
      <c r="C2753" s="1" t="s">
        <v>2171</v>
      </c>
      <c r="E2753" s="1" t="s">
        <v>2172</v>
      </c>
      <c r="F2753" s="1" t="s">
        <v>1887</v>
      </c>
      <c r="G2753" s="3">
        <v>0</v>
      </c>
      <c r="J2753" s="20" t="s">
        <v>5199</v>
      </c>
      <c r="K2753" s="20" t="s">
        <v>10013</v>
      </c>
      <c r="L2753" s="3">
        <v>22</v>
      </c>
      <c r="M2753" s="3" t="s">
        <v>10297</v>
      </c>
      <c r="N2753" s="3" t="str">
        <f>HYPERLINK("http://ictvonline.org/taxonomyHistory.asp?taxnode_id=20162741","ICTVonline=20162741")</f>
        <v>ICTVonline=20162741</v>
      </c>
    </row>
    <row r="2754" spans="1:14" x14ac:dyDescent="0.15">
      <c r="A2754" s="3">
        <v>2753</v>
      </c>
      <c r="B2754" s="1" t="s">
        <v>926</v>
      </c>
      <c r="C2754" s="1" t="s">
        <v>2171</v>
      </c>
      <c r="E2754" s="1" t="s">
        <v>2172</v>
      </c>
      <c r="F2754" s="1" t="s">
        <v>2536</v>
      </c>
      <c r="G2754" s="3">
        <v>0</v>
      </c>
      <c r="J2754" s="20" t="s">
        <v>5199</v>
      </c>
      <c r="K2754" s="20" t="s">
        <v>10013</v>
      </c>
      <c r="L2754" s="3">
        <v>28</v>
      </c>
      <c r="M2754" s="3" t="s">
        <v>10288</v>
      </c>
      <c r="N2754" s="3" t="str">
        <f>HYPERLINK("http://ictvonline.org/taxonomyHistory.asp?taxnode_id=20162742","ICTVonline=20162742")</f>
        <v>ICTVonline=20162742</v>
      </c>
    </row>
    <row r="2755" spans="1:14" x14ac:dyDescent="0.15">
      <c r="A2755" s="3">
        <v>2754</v>
      </c>
      <c r="B2755" s="1" t="s">
        <v>926</v>
      </c>
      <c r="C2755" s="1" t="s">
        <v>2171</v>
      </c>
      <c r="E2755" s="1" t="s">
        <v>2172</v>
      </c>
      <c r="F2755" s="1" t="s">
        <v>5367</v>
      </c>
      <c r="G2755" s="3">
        <v>0</v>
      </c>
      <c r="H2755" s="20" t="s">
        <v>7434</v>
      </c>
      <c r="I2755" s="20" t="s">
        <v>6933</v>
      </c>
      <c r="J2755" s="20" t="s">
        <v>5199</v>
      </c>
      <c r="K2755" s="20" t="s">
        <v>10013</v>
      </c>
      <c r="L2755" s="3">
        <v>30</v>
      </c>
      <c r="M2755" s="3" t="s">
        <v>10287</v>
      </c>
      <c r="N2755" s="3" t="str">
        <f>HYPERLINK("http://ictvonline.org/taxonomyHistory.asp?taxnode_id=20162743","ICTVonline=20162743")</f>
        <v>ICTVonline=20162743</v>
      </c>
    </row>
    <row r="2756" spans="1:14" x14ac:dyDescent="0.15">
      <c r="A2756" s="3">
        <v>2755</v>
      </c>
      <c r="B2756" s="1" t="s">
        <v>926</v>
      </c>
      <c r="C2756" s="1" t="s">
        <v>2171</v>
      </c>
      <c r="E2756" s="1" t="s">
        <v>2172</v>
      </c>
      <c r="F2756" s="1" t="s">
        <v>1888</v>
      </c>
      <c r="G2756" s="3">
        <v>0</v>
      </c>
      <c r="J2756" s="20" t="s">
        <v>5199</v>
      </c>
      <c r="K2756" s="20" t="s">
        <v>10016</v>
      </c>
      <c r="L2756" s="3">
        <v>16</v>
      </c>
      <c r="M2756" s="3" t="s">
        <v>10237</v>
      </c>
      <c r="N2756" s="3" t="str">
        <f>HYPERLINK("http://ictvonline.org/taxonomyHistory.asp?taxnode_id=20162744","ICTVonline=20162744")</f>
        <v>ICTVonline=20162744</v>
      </c>
    </row>
    <row r="2757" spans="1:14" x14ac:dyDescent="0.15">
      <c r="A2757" s="3">
        <v>2756</v>
      </c>
      <c r="B2757" s="1" t="s">
        <v>926</v>
      </c>
      <c r="C2757" s="1" t="s">
        <v>2171</v>
      </c>
      <c r="E2757" s="1" t="s">
        <v>2172</v>
      </c>
      <c r="F2757" s="1" t="s">
        <v>1889</v>
      </c>
      <c r="G2757" s="3">
        <v>0</v>
      </c>
      <c r="J2757" s="20" t="s">
        <v>5199</v>
      </c>
      <c r="K2757" s="20" t="s">
        <v>10013</v>
      </c>
      <c r="L2757" s="3">
        <v>22</v>
      </c>
      <c r="M2757" s="3" t="s">
        <v>10289</v>
      </c>
      <c r="N2757" s="3" t="str">
        <f>HYPERLINK("http://ictvonline.org/taxonomyHistory.asp?taxnode_id=20162745","ICTVonline=20162745")</f>
        <v>ICTVonline=20162745</v>
      </c>
    </row>
    <row r="2758" spans="1:14" x14ac:dyDescent="0.15">
      <c r="A2758" s="3">
        <v>2757</v>
      </c>
      <c r="B2758" s="1" t="s">
        <v>926</v>
      </c>
      <c r="C2758" s="1" t="s">
        <v>2171</v>
      </c>
      <c r="E2758" s="1" t="s">
        <v>2172</v>
      </c>
      <c r="F2758" s="1" t="s">
        <v>2537</v>
      </c>
      <c r="G2758" s="3">
        <v>0</v>
      </c>
      <c r="J2758" s="20" t="s">
        <v>5199</v>
      </c>
      <c r="K2758" s="20" t="s">
        <v>10013</v>
      </c>
      <c r="L2758" s="3">
        <v>28</v>
      </c>
      <c r="M2758" s="3" t="s">
        <v>10288</v>
      </c>
      <c r="N2758" s="3" t="str">
        <f>HYPERLINK("http://ictvonline.org/taxonomyHistory.asp?taxnode_id=20162746","ICTVonline=20162746")</f>
        <v>ICTVonline=20162746</v>
      </c>
    </row>
    <row r="2759" spans="1:14" x14ac:dyDescent="0.15">
      <c r="A2759" s="3">
        <v>2758</v>
      </c>
      <c r="B2759" s="1" t="s">
        <v>926</v>
      </c>
      <c r="C2759" s="1" t="s">
        <v>2171</v>
      </c>
      <c r="E2759" s="1" t="s">
        <v>2172</v>
      </c>
      <c r="F2759" s="1" t="s">
        <v>5368</v>
      </c>
      <c r="G2759" s="3">
        <v>0</v>
      </c>
      <c r="H2759" s="20" t="s">
        <v>7435</v>
      </c>
      <c r="I2759" s="20" t="s">
        <v>6934</v>
      </c>
      <c r="J2759" s="20" t="s">
        <v>5199</v>
      </c>
      <c r="K2759" s="20" t="s">
        <v>10013</v>
      </c>
      <c r="L2759" s="3">
        <v>30</v>
      </c>
      <c r="M2759" s="3" t="s">
        <v>10287</v>
      </c>
      <c r="N2759" s="3" t="str">
        <f>HYPERLINK("http://ictvonline.org/taxonomyHistory.asp?taxnode_id=20162747","ICTVonline=20162747")</f>
        <v>ICTVonline=20162747</v>
      </c>
    </row>
    <row r="2760" spans="1:14" x14ac:dyDescent="0.15">
      <c r="A2760" s="3">
        <v>2759</v>
      </c>
      <c r="B2760" s="1" t="s">
        <v>926</v>
      </c>
      <c r="C2760" s="1" t="s">
        <v>2171</v>
      </c>
      <c r="E2760" s="1" t="s">
        <v>2172</v>
      </c>
      <c r="F2760" s="1" t="s">
        <v>2538</v>
      </c>
      <c r="G2760" s="3">
        <v>0</v>
      </c>
      <c r="J2760" s="20" t="s">
        <v>5199</v>
      </c>
      <c r="K2760" s="20" t="s">
        <v>10013</v>
      </c>
      <c r="L2760" s="3">
        <v>28</v>
      </c>
      <c r="M2760" s="3" t="s">
        <v>10288</v>
      </c>
      <c r="N2760" s="3" t="str">
        <f>HYPERLINK("http://ictvonline.org/taxonomyHistory.asp?taxnode_id=20162748","ICTVonline=20162748")</f>
        <v>ICTVonline=20162748</v>
      </c>
    </row>
    <row r="2761" spans="1:14" x14ac:dyDescent="0.15">
      <c r="A2761" s="3">
        <v>2760</v>
      </c>
      <c r="B2761" s="1" t="s">
        <v>926</v>
      </c>
      <c r="C2761" s="1" t="s">
        <v>2171</v>
      </c>
      <c r="E2761" s="1" t="s">
        <v>2172</v>
      </c>
      <c r="F2761" s="1" t="s">
        <v>1890</v>
      </c>
      <c r="G2761" s="3">
        <v>0</v>
      </c>
      <c r="J2761" s="20" t="s">
        <v>5199</v>
      </c>
      <c r="K2761" s="20" t="s">
        <v>10013</v>
      </c>
      <c r="L2761" s="3">
        <v>24</v>
      </c>
      <c r="M2761" s="3" t="s">
        <v>10291</v>
      </c>
      <c r="N2761" s="3" t="str">
        <f>HYPERLINK("http://ictvonline.org/taxonomyHistory.asp?taxnode_id=20162749","ICTVonline=20162749")</f>
        <v>ICTVonline=20162749</v>
      </c>
    </row>
    <row r="2762" spans="1:14" x14ac:dyDescent="0.15">
      <c r="A2762" s="3">
        <v>2761</v>
      </c>
      <c r="B2762" s="1" t="s">
        <v>926</v>
      </c>
      <c r="C2762" s="1" t="s">
        <v>2171</v>
      </c>
      <c r="E2762" s="1" t="s">
        <v>2172</v>
      </c>
      <c r="F2762" s="1" t="s">
        <v>1641</v>
      </c>
      <c r="G2762" s="3">
        <v>0</v>
      </c>
      <c r="J2762" s="20" t="s">
        <v>5199</v>
      </c>
      <c r="K2762" s="20" t="s">
        <v>10292</v>
      </c>
      <c r="L2762" s="3">
        <v>24</v>
      </c>
      <c r="M2762" s="3" t="s">
        <v>10293</v>
      </c>
      <c r="N2762" s="3" t="str">
        <f>HYPERLINK("http://ictvonline.org/taxonomyHistory.asp?taxnode_id=20162750","ICTVonline=20162750")</f>
        <v>ICTVonline=20162750</v>
      </c>
    </row>
    <row r="2763" spans="1:14" x14ac:dyDescent="0.15">
      <c r="A2763" s="3">
        <v>2762</v>
      </c>
      <c r="B2763" s="1" t="s">
        <v>926</v>
      </c>
      <c r="C2763" s="1" t="s">
        <v>2171</v>
      </c>
      <c r="E2763" s="1" t="s">
        <v>2172</v>
      </c>
      <c r="F2763" s="1" t="s">
        <v>1642</v>
      </c>
      <c r="G2763" s="3">
        <v>0</v>
      </c>
      <c r="J2763" s="20" t="s">
        <v>5199</v>
      </c>
      <c r="K2763" s="20" t="s">
        <v>10013</v>
      </c>
      <c r="L2763" s="3">
        <v>22</v>
      </c>
      <c r="M2763" s="3" t="s">
        <v>10289</v>
      </c>
      <c r="N2763" s="3" t="str">
        <f>HYPERLINK("http://ictvonline.org/taxonomyHistory.asp?taxnode_id=20162751","ICTVonline=20162751")</f>
        <v>ICTVonline=20162751</v>
      </c>
    </row>
    <row r="2764" spans="1:14" x14ac:dyDescent="0.15">
      <c r="A2764" s="3">
        <v>2763</v>
      </c>
      <c r="B2764" s="1" t="s">
        <v>926</v>
      </c>
      <c r="C2764" s="1" t="s">
        <v>2171</v>
      </c>
      <c r="E2764" s="1" t="s">
        <v>2172</v>
      </c>
      <c r="F2764" s="1" t="s">
        <v>2539</v>
      </c>
      <c r="G2764" s="3">
        <v>0</v>
      </c>
      <c r="J2764" s="20" t="s">
        <v>5199</v>
      </c>
      <c r="K2764" s="20" t="s">
        <v>10013</v>
      </c>
      <c r="L2764" s="3">
        <v>28</v>
      </c>
      <c r="M2764" s="3" t="s">
        <v>10288</v>
      </c>
      <c r="N2764" s="3" t="str">
        <f>HYPERLINK("http://ictvonline.org/taxonomyHistory.asp?taxnode_id=20162752","ICTVonline=20162752")</f>
        <v>ICTVonline=20162752</v>
      </c>
    </row>
    <row r="2765" spans="1:14" x14ac:dyDescent="0.15">
      <c r="A2765" s="3">
        <v>2764</v>
      </c>
      <c r="B2765" s="1" t="s">
        <v>926</v>
      </c>
      <c r="C2765" s="1" t="s">
        <v>2171</v>
      </c>
      <c r="E2765" s="1" t="s">
        <v>2172</v>
      </c>
      <c r="F2765" s="1" t="s">
        <v>2003</v>
      </c>
      <c r="G2765" s="3">
        <v>0</v>
      </c>
      <c r="J2765" s="20" t="s">
        <v>5199</v>
      </c>
      <c r="K2765" s="20" t="s">
        <v>10013</v>
      </c>
      <c r="L2765" s="3">
        <v>22</v>
      </c>
      <c r="M2765" s="3" t="s">
        <v>10299</v>
      </c>
      <c r="N2765" s="3" t="str">
        <f>HYPERLINK("http://ictvonline.org/taxonomyHistory.asp?taxnode_id=20162753","ICTVonline=20162753")</f>
        <v>ICTVonline=20162753</v>
      </c>
    </row>
    <row r="2766" spans="1:14" x14ac:dyDescent="0.15">
      <c r="A2766" s="3">
        <v>2765</v>
      </c>
      <c r="B2766" s="1" t="s">
        <v>926</v>
      </c>
      <c r="C2766" s="1" t="s">
        <v>2171</v>
      </c>
      <c r="E2766" s="1" t="s">
        <v>2172</v>
      </c>
      <c r="F2766" s="1" t="s">
        <v>1915</v>
      </c>
      <c r="G2766" s="3">
        <v>0</v>
      </c>
      <c r="J2766" s="20" t="s">
        <v>5199</v>
      </c>
      <c r="K2766" s="20" t="s">
        <v>10216</v>
      </c>
      <c r="L2766" s="3">
        <v>28</v>
      </c>
      <c r="M2766" s="3" t="s">
        <v>10288</v>
      </c>
      <c r="N2766" s="3" t="str">
        <f>HYPERLINK("http://ictvonline.org/taxonomyHistory.asp?taxnode_id=20162754","ICTVonline=20162754")</f>
        <v>ICTVonline=20162754</v>
      </c>
    </row>
    <row r="2767" spans="1:14" x14ac:dyDescent="0.15">
      <c r="A2767" s="3">
        <v>2766</v>
      </c>
      <c r="B2767" s="1" t="s">
        <v>926</v>
      </c>
      <c r="C2767" s="1" t="s">
        <v>2171</v>
      </c>
      <c r="E2767" s="1" t="s">
        <v>2172</v>
      </c>
      <c r="F2767" s="1" t="s">
        <v>2540</v>
      </c>
      <c r="G2767" s="3">
        <v>0</v>
      </c>
      <c r="J2767" s="20" t="s">
        <v>5199</v>
      </c>
      <c r="K2767" s="20" t="s">
        <v>10013</v>
      </c>
      <c r="L2767" s="3">
        <v>28</v>
      </c>
      <c r="M2767" s="3" t="s">
        <v>10288</v>
      </c>
      <c r="N2767" s="3" t="str">
        <f>HYPERLINK("http://ictvonline.org/taxonomyHistory.asp?taxnode_id=20162755","ICTVonline=20162755")</f>
        <v>ICTVonline=20162755</v>
      </c>
    </row>
    <row r="2768" spans="1:14" x14ac:dyDescent="0.15">
      <c r="A2768" s="3">
        <v>2767</v>
      </c>
      <c r="B2768" s="1" t="s">
        <v>926</v>
      </c>
      <c r="C2768" s="1" t="s">
        <v>2171</v>
      </c>
      <c r="E2768" s="1" t="s">
        <v>2172</v>
      </c>
      <c r="F2768" s="1" t="s">
        <v>2541</v>
      </c>
      <c r="G2768" s="3">
        <v>0</v>
      </c>
      <c r="J2768" s="20" t="s">
        <v>5199</v>
      </c>
      <c r="K2768" s="20" t="s">
        <v>10013</v>
      </c>
      <c r="L2768" s="3">
        <v>28</v>
      </c>
      <c r="M2768" s="3" t="s">
        <v>10288</v>
      </c>
      <c r="N2768" s="3" t="str">
        <f>HYPERLINK("http://ictvonline.org/taxonomyHistory.asp?taxnode_id=20162756","ICTVonline=20162756")</f>
        <v>ICTVonline=20162756</v>
      </c>
    </row>
    <row r="2769" spans="1:14" x14ac:dyDescent="0.15">
      <c r="A2769" s="3">
        <v>2768</v>
      </c>
      <c r="B2769" s="1" t="s">
        <v>926</v>
      </c>
      <c r="C2769" s="1" t="s">
        <v>2171</v>
      </c>
      <c r="E2769" s="1" t="s">
        <v>2172</v>
      </c>
      <c r="F2769" s="1" t="s">
        <v>1580</v>
      </c>
      <c r="G2769" s="3">
        <v>0</v>
      </c>
      <c r="J2769" s="20" t="s">
        <v>5199</v>
      </c>
      <c r="K2769" s="20" t="s">
        <v>10013</v>
      </c>
      <c r="L2769" s="3">
        <v>24</v>
      </c>
      <c r="M2769" s="3" t="s">
        <v>10290</v>
      </c>
      <c r="N2769" s="3" t="str">
        <f>HYPERLINK("http://ictvonline.org/taxonomyHistory.asp?taxnode_id=20162757","ICTVonline=20162757")</f>
        <v>ICTVonline=20162757</v>
      </c>
    </row>
    <row r="2770" spans="1:14" x14ac:dyDescent="0.15">
      <c r="A2770" s="3">
        <v>2769</v>
      </c>
      <c r="B2770" s="1" t="s">
        <v>926</v>
      </c>
      <c r="C2770" s="1" t="s">
        <v>2171</v>
      </c>
      <c r="E2770" s="1" t="s">
        <v>2172</v>
      </c>
      <c r="F2770" s="1" t="s">
        <v>475</v>
      </c>
      <c r="G2770" s="3">
        <v>0</v>
      </c>
      <c r="J2770" s="20" t="s">
        <v>5199</v>
      </c>
      <c r="K2770" s="20" t="s">
        <v>10013</v>
      </c>
      <c r="L2770" s="3">
        <v>24</v>
      </c>
      <c r="M2770" s="3" t="s">
        <v>10294</v>
      </c>
      <c r="N2770" s="3" t="str">
        <f>HYPERLINK("http://ictvonline.org/taxonomyHistory.asp?taxnode_id=20162758","ICTVonline=20162758")</f>
        <v>ICTVonline=20162758</v>
      </c>
    </row>
    <row r="2771" spans="1:14" x14ac:dyDescent="0.15">
      <c r="A2771" s="3">
        <v>2770</v>
      </c>
      <c r="B2771" s="1" t="s">
        <v>926</v>
      </c>
      <c r="C2771" s="1" t="s">
        <v>2171</v>
      </c>
      <c r="E2771" s="1" t="s">
        <v>2172</v>
      </c>
      <c r="F2771" s="1" t="s">
        <v>476</v>
      </c>
      <c r="G2771" s="3">
        <v>0</v>
      </c>
      <c r="J2771" s="20" t="s">
        <v>5199</v>
      </c>
      <c r="K2771" s="20" t="s">
        <v>10013</v>
      </c>
      <c r="L2771" s="3">
        <v>22</v>
      </c>
      <c r="M2771" s="3" t="s">
        <v>10289</v>
      </c>
      <c r="N2771" s="3" t="str">
        <f>HYPERLINK("http://ictvonline.org/taxonomyHistory.asp?taxnode_id=20162759","ICTVonline=20162759")</f>
        <v>ICTVonline=20162759</v>
      </c>
    </row>
    <row r="2772" spans="1:14" x14ac:dyDescent="0.15">
      <c r="A2772" s="3">
        <v>2771</v>
      </c>
      <c r="B2772" s="1" t="s">
        <v>926</v>
      </c>
      <c r="C2772" s="1" t="s">
        <v>2171</v>
      </c>
      <c r="E2772" s="1" t="s">
        <v>2172</v>
      </c>
      <c r="F2772" s="1" t="s">
        <v>2542</v>
      </c>
      <c r="G2772" s="3">
        <v>0</v>
      </c>
      <c r="J2772" s="20" t="s">
        <v>5199</v>
      </c>
      <c r="K2772" s="20" t="s">
        <v>10013</v>
      </c>
      <c r="L2772" s="3">
        <v>28</v>
      </c>
      <c r="M2772" s="3" t="s">
        <v>10288</v>
      </c>
      <c r="N2772" s="3" t="str">
        <f>HYPERLINK("http://ictvonline.org/taxonomyHistory.asp?taxnode_id=20162760","ICTVonline=20162760")</f>
        <v>ICTVonline=20162760</v>
      </c>
    </row>
    <row r="2773" spans="1:14" x14ac:dyDescent="0.15">
      <c r="A2773" s="3">
        <v>2772</v>
      </c>
      <c r="B2773" s="1" t="s">
        <v>926</v>
      </c>
      <c r="C2773" s="1" t="s">
        <v>2171</v>
      </c>
      <c r="E2773" s="1" t="s">
        <v>2172</v>
      </c>
      <c r="F2773" s="1" t="s">
        <v>2543</v>
      </c>
      <c r="G2773" s="3">
        <v>0</v>
      </c>
      <c r="J2773" s="20" t="s">
        <v>5199</v>
      </c>
      <c r="K2773" s="20" t="s">
        <v>10013</v>
      </c>
      <c r="L2773" s="3">
        <v>28</v>
      </c>
      <c r="M2773" s="3" t="s">
        <v>10288</v>
      </c>
      <c r="N2773" s="3" t="str">
        <f>HYPERLINK("http://ictvonline.org/taxonomyHistory.asp?taxnode_id=20162761","ICTVonline=20162761")</f>
        <v>ICTVonline=20162761</v>
      </c>
    </row>
    <row r="2774" spans="1:14" x14ac:dyDescent="0.15">
      <c r="A2774" s="3">
        <v>2773</v>
      </c>
      <c r="B2774" s="1" t="s">
        <v>926</v>
      </c>
      <c r="C2774" s="1" t="s">
        <v>2171</v>
      </c>
      <c r="E2774" s="1" t="s">
        <v>2172</v>
      </c>
      <c r="F2774" s="1" t="s">
        <v>456</v>
      </c>
      <c r="G2774" s="3">
        <v>0</v>
      </c>
      <c r="J2774" s="20" t="s">
        <v>5199</v>
      </c>
      <c r="K2774" s="20" t="s">
        <v>10013</v>
      </c>
      <c r="L2774" s="3">
        <v>24</v>
      </c>
      <c r="M2774" s="3" t="s">
        <v>10291</v>
      </c>
      <c r="N2774" s="3" t="str">
        <f>HYPERLINK("http://ictvonline.org/taxonomyHistory.asp?taxnode_id=20162762","ICTVonline=20162762")</f>
        <v>ICTVonline=20162762</v>
      </c>
    </row>
    <row r="2775" spans="1:14" x14ac:dyDescent="0.15">
      <c r="A2775" s="3">
        <v>2774</v>
      </c>
      <c r="B2775" s="1" t="s">
        <v>926</v>
      </c>
      <c r="C2775" s="1" t="s">
        <v>2171</v>
      </c>
      <c r="E2775" s="1" t="s">
        <v>2172</v>
      </c>
      <c r="F2775" s="1" t="s">
        <v>2544</v>
      </c>
      <c r="G2775" s="3">
        <v>0</v>
      </c>
      <c r="J2775" s="20" t="s">
        <v>5199</v>
      </c>
      <c r="K2775" s="20" t="s">
        <v>10013</v>
      </c>
      <c r="L2775" s="3">
        <v>28</v>
      </c>
      <c r="M2775" s="3" t="s">
        <v>10288</v>
      </c>
      <c r="N2775" s="3" t="str">
        <f>HYPERLINK("http://ictvonline.org/taxonomyHistory.asp?taxnode_id=20162763","ICTVonline=20162763")</f>
        <v>ICTVonline=20162763</v>
      </c>
    </row>
    <row r="2776" spans="1:14" x14ac:dyDescent="0.15">
      <c r="A2776" s="3">
        <v>2775</v>
      </c>
      <c r="B2776" s="1" t="s">
        <v>926</v>
      </c>
      <c r="C2776" s="1" t="s">
        <v>2171</v>
      </c>
      <c r="E2776" s="1" t="s">
        <v>2172</v>
      </c>
      <c r="F2776" s="1" t="s">
        <v>307</v>
      </c>
      <c r="G2776" s="3">
        <v>0</v>
      </c>
      <c r="J2776" s="20" t="s">
        <v>5199</v>
      </c>
      <c r="K2776" s="20" t="s">
        <v>10013</v>
      </c>
      <c r="L2776" s="3">
        <v>24</v>
      </c>
      <c r="M2776" s="3" t="s">
        <v>10290</v>
      </c>
      <c r="N2776" s="3" t="str">
        <f>HYPERLINK("http://ictvonline.org/taxonomyHistory.asp?taxnode_id=20162764","ICTVonline=20162764")</f>
        <v>ICTVonline=20162764</v>
      </c>
    </row>
    <row r="2777" spans="1:14" x14ac:dyDescent="0.15">
      <c r="A2777" s="3">
        <v>2776</v>
      </c>
      <c r="B2777" s="1" t="s">
        <v>926</v>
      </c>
      <c r="C2777" s="1" t="s">
        <v>2171</v>
      </c>
      <c r="E2777" s="1" t="s">
        <v>2172</v>
      </c>
      <c r="F2777" s="1" t="s">
        <v>311</v>
      </c>
      <c r="G2777" s="3">
        <v>0</v>
      </c>
      <c r="J2777" s="20" t="s">
        <v>5199</v>
      </c>
      <c r="K2777" s="20" t="s">
        <v>10013</v>
      </c>
      <c r="L2777" s="3">
        <v>24</v>
      </c>
      <c r="M2777" s="3" t="s">
        <v>10290</v>
      </c>
      <c r="N2777" s="3" t="str">
        <f>HYPERLINK("http://ictvonline.org/taxonomyHistory.asp?taxnode_id=20162765","ICTVonline=20162765")</f>
        <v>ICTVonline=20162765</v>
      </c>
    </row>
    <row r="2778" spans="1:14" x14ac:dyDescent="0.15">
      <c r="A2778" s="3">
        <v>2777</v>
      </c>
      <c r="B2778" s="1" t="s">
        <v>926</v>
      </c>
      <c r="C2778" s="1" t="s">
        <v>2171</v>
      </c>
      <c r="E2778" s="1" t="s">
        <v>2172</v>
      </c>
      <c r="F2778" s="1" t="s">
        <v>882</v>
      </c>
      <c r="G2778" s="3">
        <v>0</v>
      </c>
      <c r="J2778" s="20" t="s">
        <v>5199</v>
      </c>
      <c r="K2778" s="20" t="s">
        <v>10292</v>
      </c>
      <c r="L2778" s="3">
        <v>24</v>
      </c>
      <c r="M2778" s="3" t="s">
        <v>10293</v>
      </c>
      <c r="N2778" s="3" t="str">
        <f>HYPERLINK("http://ictvonline.org/taxonomyHistory.asp?taxnode_id=20162766","ICTVonline=20162766")</f>
        <v>ICTVonline=20162766</v>
      </c>
    </row>
    <row r="2779" spans="1:14" x14ac:dyDescent="0.15">
      <c r="A2779" s="3">
        <v>2778</v>
      </c>
      <c r="B2779" s="1" t="s">
        <v>926</v>
      </c>
      <c r="C2779" s="1" t="s">
        <v>2171</v>
      </c>
      <c r="E2779" s="1" t="s">
        <v>2172</v>
      </c>
      <c r="F2779" s="1" t="s">
        <v>1581</v>
      </c>
      <c r="G2779" s="3">
        <v>0</v>
      </c>
      <c r="J2779" s="20" t="s">
        <v>5199</v>
      </c>
      <c r="K2779" s="20" t="s">
        <v>10013</v>
      </c>
      <c r="L2779" s="3">
        <v>24</v>
      </c>
      <c r="M2779" s="3" t="s">
        <v>10291</v>
      </c>
      <c r="N2779" s="3" t="str">
        <f>HYPERLINK("http://ictvonline.org/taxonomyHistory.asp?taxnode_id=20162767","ICTVonline=20162767")</f>
        <v>ICTVonline=20162767</v>
      </c>
    </row>
    <row r="2780" spans="1:14" x14ac:dyDescent="0.15">
      <c r="A2780" s="3">
        <v>2779</v>
      </c>
      <c r="B2780" s="1" t="s">
        <v>926</v>
      </c>
      <c r="C2780" s="1" t="s">
        <v>2171</v>
      </c>
      <c r="E2780" s="1" t="s">
        <v>2172</v>
      </c>
      <c r="F2780" s="1" t="s">
        <v>1582</v>
      </c>
      <c r="G2780" s="3">
        <v>0</v>
      </c>
      <c r="J2780" s="20" t="s">
        <v>5199</v>
      </c>
      <c r="K2780" s="20" t="s">
        <v>10013</v>
      </c>
      <c r="L2780" s="3">
        <v>22</v>
      </c>
      <c r="M2780" s="3" t="s">
        <v>10289</v>
      </c>
      <c r="N2780" s="3" t="str">
        <f>HYPERLINK("http://ictvonline.org/taxonomyHistory.asp?taxnode_id=20162768","ICTVonline=20162768")</f>
        <v>ICTVonline=20162768</v>
      </c>
    </row>
    <row r="2781" spans="1:14" x14ac:dyDescent="0.15">
      <c r="A2781" s="3">
        <v>2780</v>
      </c>
      <c r="B2781" s="1" t="s">
        <v>926</v>
      </c>
      <c r="C2781" s="1" t="s">
        <v>2171</v>
      </c>
      <c r="E2781" s="1" t="s">
        <v>2172</v>
      </c>
      <c r="F2781" s="1" t="s">
        <v>5369</v>
      </c>
      <c r="G2781" s="3">
        <v>0</v>
      </c>
      <c r="H2781" s="20" t="s">
        <v>7436</v>
      </c>
      <c r="I2781" s="20" t="s">
        <v>6935</v>
      </c>
      <c r="J2781" s="20" t="s">
        <v>5199</v>
      </c>
      <c r="K2781" s="20" t="s">
        <v>10013</v>
      </c>
      <c r="L2781" s="3">
        <v>30</v>
      </c>
      <c r="M2781" s="3" t="s">
        <v>10287</v>
      </c>
      <c r="N2781" s="3" t="str">
        <f>HYPERLINK("http://ictvonline.org/taxonomyHistory.asp?taxnode_id=20162769","ICTVonline=20162769")</f>
        <v>ICTVonline=20162769</v>
      </c>
    </row>
    <row r="2782" spans="1:14" x14ac:dyDescent="0.15">
      <c r="A2782" s="3">
        <v>2781</v>
      </c>
      <c r="B2782" s="1" t="s">
        <v>926</v>
      </c>
      <c r="C2782" s="1" t="s">
        <v>2171</v>
      </c>
      <c r="E2782" s="1" t="s">
        <v>2172</v>
      </c>
      <c r="F2782" s="1" t="s">
        <v>1583</v>
      </c>
      <c r="G2782" s="3">
        <v>0</v>
      </c>
      <c r="J2782" s="20" t="s">
        <v>5199</v>
      </c>
      <c r="K2782" s="20" t="s">
        <v>10013</v>
      </c>
      <c r="L2782" s="3">
        <v>24</v>
      </c>
      <c r="M2782" s="3" t="s">
        <v>10290</v>
      </c>
      <c r="N2782" s="3" t="str">
        <f>HYPERLINK("http://ictvonline.org/taxonomyHistory.asp?taxnode_id=20162770","ICTVonline=20162770")</f>
        <v>ICTVonline=20162770</v>
      </c>
    </row>
    <row r="2783" spans="1:14" x14ac:dyDescent="0.15">
      <c r="A2783" s="3">
        <v>2782</v>
      </c>
      <c r="B2783" s="1" t="s">
        <v>926</v>
      </c>
      <c r="C2783" s="1" t="s">
        <v>2171</v>
      </c>
      <c r="E2783" s="1" t="s">
        <v>2172</v>
      </c>
      <c r="F2783" s="1" t="s">
        <v>1584</v>
      </c>
      <c r="G2783" s="3">
        <v>0</v>
      </c>
      <c r="J2783" s="20" t="s">
        <v>5199</v>
      </c>
      <c r="K2783" s="20" t="s">
        <v>10013</v>
      </c>
      <c r="L2783" s="3">
        <v>22</v>
      </c>
      <c r="M2783" s="3" t="s">
        <v>10289</v>
      </c>
      <c r="N2783" s="3" t="str">
        <f>HYPERLINK("http://ictvonline.org/taxonomyHistory.asp?taxnode_id=20162771","ICTVonline=20162771")</f>
        <v>ICTVonline=20162771</v>
      </c>
    </row>
    <row r="2784" spans="1:14" x14ac:dyDescent="0.15">
      <c r="A2784" s="3">
        <v>2783</v>
      </c>
      <c r="B2784" s="1" t="s">
        <v>926</v>
      </c>
      <c r="C2784" s="1" t="s">
        <v>2171</v>
      </c>
      <c r="E2784" s="1" t="s">
        <v>2172</v>
      </c>
      <c r="F2784" s="1" t="s">
        <v>1585</v>
      </c>
      <c r="G2784" s="3">
        <v>0</v>
      </c>
      <c r="J2784" s="20" t="s">
        <v>5199</v>
      </c>
      <c r="K2784" s="20" t="s">
        <v>10013</v>
      </c>
      <c r="L2784" s="3">
        <v>24</v>
      </c>
      <c r="M2784" s="3" t="s">
        <v>10290</v>
      </c>
      <c r="N2784" s="3" t="str">
        <f>HYPERLINK("http://ictvonline.org/taxonomyHistory.asp?taxnode_id=20162772","ICTVonline=20162772")</f>
        <v>ICTVonline=20162772</v>
      </c>
    </row>
    <row r="2785" spans="1:14" x14ac:dyDescent="0.15">
      <c r="A2785" s="3">
        <v>2784</v>
      </c>
      <c r="B2785" s="1" t="s">
        <v>926</v>
      </c>
      <c r="C2785" s="1" t="s">
        <v>2171</v>
      </c>
      <c r="E2785" s="1" t="s">
        <v>2172</v>
      </c>
      <c r="F2785" s="1" t="s">
        <v>2545</v>
      </c>
      <c r="G2785" s="3">
        <v>0</v>
      </c>
      <c r="J2785" s="20" t="s">
        <v>5199</v>
      </c>
      <c r="K2785" s="20" t="s">
        <v>10013</v>
      </c>
      <c r="L2785" s="3">
        <v>28</v>
      </c>
      <c r="M2785" s="3" t="s">
        <v>10288</v>
      </c>
      <c r="N2785" s="3" t="str">
        <f>HYPERLINK("http://ictvonline.org/taxonomyHistory.asp?taxnode_id=20162773","ICTVonline=20162773")</f>
        <v>ICTVonline=20162773</v>
      </c>
    </row>
    <row r="2786" spans="1:14" x14ac:dyDescent="0.15">
      <c r="A2786" s="3">
        <v>2785</v>
      </c>
      <c r="B2786" s="1" t="s">
        <v>926</v>
      </c>
      <c r="C2786" s="1" t="s">
        <v>2171</v>
      </c>
      <c r="E2786" s="1" t="s">
        <v>2172</v>
      </c>
      <c r="F2786" s="1" t="s">
        <v>2546</v>
      </c>
      <c r="G2786" s="3">
        <v>0</v>
      </c>
      <c r="J2786" s="20" t="s">
        <v>5199</v>
      </c>
      <c r="K2786" s="20" t="s">
        <v>10013</v>
      </c>
      <c r="L2786" s="3">
        <v>28</v>
      </c>
      <c r="M2786" s="3" t="s">
        <v>10288</v>
      </c>
      <c r="N2786" s="3" t="str">
        <f>HYPERLINK("http://ictvonline.org/taxonomyHistory.asp?taxnode_id=20162774","ICTVonline=20162774")</f>
        <v>ICTVonline=20162774</v>
      </c>
    </row>
    <row r="2787" spans="1:14" x14ac:dyDescent="0.15">
      <c r="A2787" s="3">
        <v>2786</v>
      </c>
      <c r="B2787" s="1" t="s">
        <v>926</v>
      </c>
      <c r="C2787" s="1" t="s">
        <v>2171</v>
      </c>
      <c r="E2787" s="1" t="s">
        <v>2172</v>
      </c>
      <c r="F2787" s="1" t="s">
        <v>2547</v>
      </c>
      <c r="G2787" s="3">
        <v>0</v>
      </c>
      <c r="J2787" s="20" t="s">
        <v>5199</v>
      </c>
      <c r="K2787" s="20" t="s">
        <v>10013</v>
      </c>
      <c r="L2787" s="3">
        <v>28</v>
      </c>
      <c r="M2787" s="3" t="s">
        <v>10288</v>
      </c>
      <c r="N2787" s="3" t="str">
        <f>HYPERLINK("http://ictvonline.org/taxonomyHistory.asp?taxnode_id=20162775","ICTVonline=20162775")</f>
        <v>ICTVonline=20162775</v>
      </c>
    </row>
    <row r="2788" spans="1:14" x14ac:dyDescent="0.15">
      <c r="A2788" s="3">
        <v>2787</v>
      </c>
      <c r="B2788" s="1" t="s">
        <v>926</v>
      </c>
      <c r="C2788" s="1" t="s">
        <v>2171</v>
      </c>
      <c r="E2788" s="1" t="s">
        <v>2172</v>
      </c>
      <c r="F2788" s="1" t="s">
        <v>1586</v>
      </c>
      <c r="G2788" s="3">
        <v>0</v>
      </c>
      <c r="J2788" s="20" t="s">
        <v>5199</v>
      </c>
      <c r="K2788" s="20" t="s">
        <v>10021</v>
      </c>
      <c r="L2788" s="3">
        <v>23</v>
      </c>
      <c r="M2788" s="3" t="s">
        <v>10229</v>
      </c>
      <c r="N2788" s="3" t="str">
        <f>HYPERLINK("http://ictvonline.org/taxonomyHistory.asp?taxnode_id=20162776","ICTVonline=20162776")</f>
        <v>ICTVonline=20162776</v>
      </c>
    </row>
    <row r="2789" spans="1:14" x14ac:dyDescent="0.15">
      <c r="A2789" s="3">
        <v>2788</v>
      </c>
      <c r="B2789" s="1" t="s">
        <v>926</v>
      </c>
      <c r="C2789" s="1" t="s">
        <v>2171</v>
      </c>
      <c r="E2789" s="1" t="s">
        <v>2172</v>
      </c>
      <c r="F2789" s="1" t="s">
        <v>5370</v>
      </c>
      <c r="G2789" s="3">
        <v>0</v>
      </c>
      <c r="H2789" s="20" t="s">
        <v>7437</v>
      </c>
      <c r="I2789" s="20" t="s">
        <v>6936</v>
      </c>
      <c r="J2789" s="20" t="s">
        <v>5199</v>
      </c>
      <c r="K2789" s="20" t="s">
        <v>10013</v>
      </c>
      <c r="L2789" s="3">
        <v>30</v>
      </c>
      <c r="M2789" s="3" t="s">
        <v>10287</v>
      </c>
      <c r="N2789" s="3" t="str">
        <f>HYPERLINK("http://ictvonline.org/taxonomyHistory.asp?taxnode_id=20162777","ICTVonline=20162777")</f>
        <v>ICTVonline=20162777</v>
      </c>
    </row>
    <row r="2790" spans="1:14" x14ac:dyDescent="0.15">
      <c r="A2790" s="3">
        <v>2789</v>
      </c>
      <c r="B2790" s="1" t="s">
        <v>926</v>
      </c>
      <c r="C2790" s="1" t="s">
        <v>2171</v>
      </c>
      <c r="E2790" s="1" t="s">
        <v>2172</v>
      </c>
      <c r="F2790" s="1" t="s">
        <v>5371</v>
      </c>
      <c r="G2790" s="3">
        <v>0</v>
      </c>
      <c r="H2790" s="20" t="s">
        <v>7438</v>
      </c>
      <c r="I2790" s="20" t="s">
        <v>6937</v>
      </c>
      <c r="J2790" s="20" t="s">
        <v>5199</v>
      </c>
      <c r="K2790" s="20" t="s">
        <v>10013</v>
      </c>
      <c r="L2790" s="3">
        <v>30</v>
      </c>
      <c r="M2790" s="3" t="s">
        <v>10287</v>
      </c>
      <c r="N2790" s="3" t="str">
        <f>HYPERLINK("http://ictvonline.org/taxonomyHistory.asp?taxnode_id=20162778","ICTVonline=20162778")</f>
        <v>ICTVonline=20162778</v>
      </c>
    </row>
    <row r="2791" spans="1:14" x14ac:dyDescent="0.15">
      <c r="A2791" s="3">
        <v>2790</v>
      </c>
      <c r="B2791" s="1" t="s">
        <v>926</v>
      </c>
      <c r="C2791" s="1" t="s">
        <v>2171</v>
      </c>
      <c r="E2791" s="1" t="s">
        <v>2172</v>
      </c>
      <c r="F2791" s="1" t="s">
        <v>2548</v>
      </c>
      <c r="G2791" s="3">
        <v>0</v>
      </c>
      <c r="J2791" s="20" t="s">
        <v>5199</v>
      </c>
      <c r="K2791" s="20" t="s">
        <v>10013</v>
      </c>
      <c r="L2791" s="3">
        <v>28</v>
      </c>
      <c r="M2791" s="3" t="s">
        <v>10288</v>
      </c>
      <c r="N2791" s="3" t="str">
        <f>HYPERLINK("http://ictvonline.org/taxonomyHistory.asp?taxnode_id=20162779","ICTVonline=20162779")</f>
        <v>ICTVonline=20162779</v>
      </c>
    </row>
    <row r="2792" spans="1:14" x14ac:dyDescent="0.15">
      <c r="A2792" s="3">
        <v>2791</v>
      </c>
      <c r="B2792" s="1" t="s">
        <v>926</v>
      </c>
      <c r="C2792" s="1" t="s">
        <v>2171</v>
      </c>
      <c r="E2792" s="1" t="s">
        <v>2172</v>
      </c>
      <c r="F2792" s="1" t="s">
        <v>2549</v>
      </c>
      <c r="G2792" s="3">
        <v>0</v>
      </c>
      <c r="J2792" s="20" t="s">
        <v>5199</v>
      </c>
      <c r="K2792" s="20" t="s">
        <v>10013</v>
      </c>
      <c r="L2792" s="3">
        <v>28</v>
      </c>
      <c r="M2792" s="3" t="s">
        <v>10288</v>
      </c>
      <c r="N2792" s="3" t="str">
        <f>HYPERLINK("http://ictvonline.org/taxonomyHistory.asp?taxnode_id=20162780","ICTVonline=20162780")</f>
        <v>ICTVonline=20162780</v>
      </c>
    </row>
    <row r="2793" spans="1:14" x14ac:dyDescent="0.15">
      <c r="A2793" s="3">
        <v>2792</v>
      </c>
      <c r="B2793" s="1" t="s">
        <v>926</v>
      </c>
      <c r="C2793" s="1" t="s">
        <v>2171</v>
      </c>
      <c r="E2793" s="1" t="s">
        <v>2172</v>
      </c>
      <c r="F2793" s="1" t="s">
        <v>5372</v>
      </c>
      <c r="G2793" s="3">
        <v>0</v>
      </c>
      <c r="H2793" s="20" t="s">
        <v>7439</v>
      </c>
      <c r="I2793" s="20" t="s">
        <v>6938</v>
      </c>
      <c r="J2793" s="20" t="s">
        <v>5199</v>
      </c>
      <c r="K2793" s="20" t="s">
        <v>10013</v>
      </c>
      <c r="L2793" s="3">
        <v>30</v>
      </c>
      <c r="M2793" s="3" t="s">
        <v>10287</v>
      </c>
      <c r="N2793" s="3" t="str">
        <f>HYPERLINK("http://ictvonline.org/taxonomyHistory.asp?taxnode_id=20162781","ICTVonline=20162781")</f>
        <v>ICTVonline=20162781</v>
      </c>
    </row>
    <row r="2794" spans="1:14" x14ac:dyDescent="0.15">
      <c r="A2794" s="3">
        <v>2793</v>
      </c>
      <c r="B2794" s="1" t="s">
        <v>926</v>
      </c>
      <c r="C2794" s="1" t="s">
        <v>2171</v>
      </c>
      <c r="E2794" s="1" t="s">
        <v>2172</v>
      </c>
      <c r="F2794" s="1" t="s">
        <v>5373</v>
      </c>
      <c r="G2794" s="3">
        <v>0</v>
      </c>
      <c r="H2794" s="20" t="s">
        <v>7440</v>
      </c>
      <c r="I2794" s="20" t="s">
        <v>6939</v>
      </c>
      <c r="J2794" s="20" t="s">
        <v>5199</v>
      </c>
      <c r="K2794" s="20" t="s">
        <v>10013</v>
      </c>
      <c r="L2794" s="3">
        <v>30</v>
      </c>
      <c r="M2794" s="3" t="s">
        <v>10287</v>
      </c>
      <c r="N2794" s="3" t="str">
        <f>HYPERLINK("http://ictvonline.org/taxonomyHistory.asp?taxnode_id=20162782","ICTVonline=20162782")</f>
        <v>ICTVonline=20162782</v>
      </c>
    </row>
    <row r="2795" spans="1:14" x14ac:dyDescent="0.15">
      <c r="A2795" s="3">
        <v>2794</v>
      </c>
      <c r="B2795" s="1" t="s">
        <v>926</v>
      </c>
      <c r="C2795" s="1" t="s">
        <v>2171</v>
      </c>
      <c r="E2795" s="1" t="s">
        <v>2172</v>
      </c>
      <c r="F2795" s="1" t="s">
        <v>1587</v>
      </c>
      <c r="G2795" s="3">
        <v>0</v>
      </c>
      <c r="J2795" s="20" t="s">
        <v>5199</v>
      </c>
      <c r="K2795" s="20" t="s">
        <v>10013</v>
      </c>
      <c r="L2795" s="3">
        <v>22</v>
      </c>
      <c r="M2795" s="3" t="s">
        <v>10297</v>
      </c>
      <c r="N2795" s="3" t="str">
        <f>HYPERLINK("http://ictvonline.org/taxonomyHistory.asp?taxnode_id=20162783","ICTVonline=20162783")</f>
        <v>ICTVonline=20162783</v>
      </c>
    </row>
    <row r="2796" spans="1:14" x14ac:dyDescent="0.15">
      <c r="A2796" s="3">
        <v>2795</v>
      </c>
      <c r="B2796" s="1" t="s">
        <v>926</v>
      </c>
      <c r="C2796" s="1" t="s">
        <v>2171</v>
      </c>
      <c r="E2796" s="1" t="s">
        <v>2172</v>
      </c>
      <c r="F2796" s="1" t="s">
        <v>1588</v>
      </c>
      <c r="G2796" s="3">
        <v>0</v>
      </c>
      <c r="J2796" s="20" t="s">
        <v>5199</v>
      </c>
      <c r="K2796" s="20" t="s">
        <v>10013</v>
      </c>
      <c r="L2796" s="3">
        <v>24</v>
      </c>
      <c r="M2796" s="3" t="s">
        <v>10291</v>
      </c>
      <c r="N2796" s="3" t="str">
        <f>HYPERLINK("http://ictvonline.org/taxonomyHistory.asp?taxnode_id=20162784","ICTVonline=20162784")</f>
        <v>ICTVonline=20162784</v>
      </c>
    </row>
    <row r="2797" spans="1:14" x14ac:dyDescent="0.15">
      <c r="A2797" s="3">
        <v>2796</v>
      </c>
      <c r="B2797" s="1" t="s">
        <v>926</v>
      </c>
      <c r="C2797" s="1" t="s">
        <v>2171</v>
      </c>
      <c r="E2797" s="1" t="s">
        <v>2172</v>
      </c>
      <c r="F2797" s="1" t="s">
        <v>5374</v>
      </c>
      <c r="G2797" s="3">
        <v>0</v>
      </c>
      <c r="H2797" s="20" t="s">
        <v>7441</v>
      </c>
      <c r="I2797" s="20" t="s">
        <v>6940</v>
      </c>
      <c r="J2797" s="20" t="s">
        <v>5199</v>
      </c>
      <c r="K2797" s="20" t="s">
        <v>10013</v>
      </c>
      <c r="L2797" s="3">
        <v>30</v>
      </c>
      <c r="M2797" s="3" t="s">
        <v>10287</v>
      </c>
      <c r="N2797" s="3" t="str">
        <f>HYPERLINK("http://ictvonline.org/taxonomyHistory.asp?taxnode_id=20162785","ICTVonline=20162785")</f>
        <v>ICTVonline=20162785</v>
      </c>
    </row>
    <row r="2798" spans="1:14" x14ac:dyDescent="0.15">
      <c r="A2798" s="3">
        <v>2797</v>
      </c>
      <c r="B2798" s="1" t="s">
        <v>926</v>
      </c>
      <c r="C2798" s="1" t="s">
        <v>2171</v>
      </c>
      <c r="E2798" s="1" t="s">
        <v>2172</v>
      </c>
      <c r="F2798" s="1" t="s">
        <v>1589</v>
      </c>
      <c r="G2798" s="3">
        <v>0</v>
      </c>
      <c r="J2798" s="20" t="s">
        <v>5199</v>
      </c>
      <c r="K2798" s="20" t="s">
        <v>10013</v>
      </c>
      <c r="L2798" s="3">
        <v>24</v>
      </c>
      <c r="M2798" s="3" t="s">
        <v>10291</v>
      </c>
      <c r="N2798" s="3" t="str">
        <f>HYPERLINK("http://ictvonline.org/taxonomyHistory.asp?taxnode_id=20162786","ICTVonline=20162786")</f>
        <v>ICTVonline=20162786</v>
      </c>
    </row>
    <row r="2799" spans="1:14" x14ac:dyDescent="0.15">
      <c r="A2799" s="3">
        <v>2798</v>
      </c>
      <c r="B2799" s="1" t="s">
        <v>926</v>
      </c>
      <c r="C2799" s="1" t="s">
        <v>2171</v>
      </c>
      <c r="E2799" s="1" t="s">
        <v>2172</v>
      </c>
      <c r="F2799" s="1" t="s">
        <v>1590</v>
      </c>
      <c r="G2799" s="3">
        <v>0</v>
      </c>
      <c r="J2799" s="20" t="s">
        <v>5199</v>
      </c>
      <c r="K2799" s="20" t="s">
        <v>10013</v>
      </c>
      <c r="L2799" s="3">
        <v>24</v>
      </c>
      <c r="M2799" s="3" t="s">
        <v>10291</v>
      </c>
      <c r="N2799" s="3" t="str">
        <f>HYPERLINK("http://ictvonline.org/taxonomyHistory.asp?taxnode_id=20162787","ICTVonline=20162787")</f>
        <v>ICTVonline=20162787</v>
      </c>
    </row>
    <row r="2800" spans="1:14" x14ac:dyDescent="0.15">
      <c r="A2800" s="3">
        <v>2799</v>
      </c>
      <c r="B2800" s="1" t="s">
        <v>926</v>
      </c>
      <c r="C2800" s="1" t="s">
        <v>2171</v>
      </c>
      <c r="E2800" s="1" t="s">
        <v>2172</v>
      </c>
      <c r="F2800" s="1" t="s">
        <v>1591</v>
      </c>
      <c r="G2800" s="3">
        <v>0</v>
      </c>
      <c r="J2800" s="20" t="s">
        <v>5199</v>
      </c>
      <c r="K2800" s="20" t="s">
        <v>10013</v>
      </c>
      <c r="L2800" s="3">
        <v>22</v>
      </c>
      <c r="M2800" s="3" t="s">
        <v>10289</v>
      </c>
      <c r="N2800" s="3" t="str">
        <f>HYPERLINK("http://ictvonline.org/taxonomyHistory.asp?taxnode_id=20162788","ICTVonline=20162788")</f>
        <v>ICTVonline=20162788</v>
      </c>
    </row>
    <row r="2801" spans="1:14" x14ac:dyDescent="0.15">
      <c r="A2801" s="3">
        <v>2800</v>
      </c>
      <c r="B2801" s="1" t="s">
        <v>926</v>
      </c>
      <c r="C2801" s="1" t="s">
        <v>2171</v>
      </c>
      <c r="E2801" s="1" t="s">
        <v>2172</v>
      </c>
      <c r="F2801" s="1" t="s">
        <v>1592</v>
      </c>
      <c r="G2801" s="3">
        <v>0</v>
      </c>
      <c r="J2801" s="20" t="s">
        <v>5199</v>
      </c>
      <c r="K2801" s="20" t="s">
        <v>10013</v>
      </c>
      <c r="L2801" s="3">
        <v>23</v>
      </c>
      <c r="M2801" s="3" t="s">
        <v>10229</v>
      </c>
      <c r="N2801" s="3" t="str">
        <f>HYPERLINK("http://ictvonline.org/taxonomyHistory.asp?taxnode_id=20162789","ICTVonline=20162789")</f>
        <v>ICTVonline=20162789</v>
      </c>
    </row>
    <row r="2802" spans="1:14" x14ac:dyDescent="0.15">
      <c r="A2802" s="3">
        <v>2801</v>
      </c>
      <c r="B2802" s="1" t="s">
        <v>926</v>
      </c>
      <c r="C2802" s="1" t="s">
        <v>2171</v>
      </c>
      <c r="E2802" s="1" t="s">
        <v>2172</v>
      </c>
      <c r="F2802" s="1" t="s">
        <v>5375</v>
      </c>
      <c r="G2802" s="3">
        <v>0</v>
      </c>
      <c r="H2802" s="20" t="s">
        <v>7442</v>
      </c>
      <c r="I2802" s="20" t="s">
        <v>6941</v>
      </c>
      <c r="J2802" s="20" t="s">
        <v>5199</v>
      </c>
      <c r="K2802" s="20" t="s">
        <v>10013</v>
      </c>
      <c r="L2802" s="3">
        <v>30</v>
      </c>
      <c r="M2802" s="3" t="s">
        <v>10287</v>
      </c>
      <c r="N2802" s="3" t="str">
        <f>HYPERLINK("http://ictvonline.org/taxonomyHistory.asp?taxnode_id=20162790","ICTVonline=20162790")</f>
        <v>ICTVonline=20162790</v>
      </c>
    </row>
    <row r="2803" spans="1:14" x14ac:dyDescent="0.15">
      <c r="A2803" s="3">
        <v>2802</v>
      </c>
      <c r="B2803" s="1" t="s">
        <v>926</v>
      </c>
      <c r="C2803" s="1" t="s">
        <v>2171</v>
      </c>
      <c r="E2803" s="1" t="s">
        <v>2172</v>
      </c>
      <c r="F2803" s="1" t="s">
        <v>1593</v>
      </c>
      <c r="G2803" s="3">
        <v>0</v>
      </c>
      <c r="J2803" s="20" t="s">
        <v>5199</v>
      </c>
      <c r="K2803" s="20" t="s">
        <v>10021</v>
      </c>
      <c r="L2803" s="3">
        <v>23</v>
      </c>
      <c r="M2803" s="3" t="s">
        <v>10229</v>
      </c>
      <c r="N2803" s="3" t="str">
        <f>HYPERLINK("http://ictvonline.org/taxonomyHistory.asp?taxnode_id=20162791","ICTVonline=20162791")</f>
        <v>ICTVonline=20162791</v>
      </c>
    </row>
    <row r="2804" spans="1:14" x14ac:dyDescent="0.15">
      <c r="A2804" s="3">
        <v>2803</v>
      </c>
      <c r="B2804" s="1" t="s">
        <v>926</v>
      </c>
      <c r="C2804" s="1" t="s">
        <v>2171</v>
      </c>
      <c r="E2804" s="1" t="s">
        <v>2172</v>
      </c>
      <c r="F2804" s="1" t="s">
        <v>2550</v>
      </c>
      <c r="G2804" s="3">
        <v>0</v>
      </c>
      <c r="J2804" s="20" t="s">
        <v>5199</v>
      </c>
      <c r="K2804" s="20" t="s">
        <v>10013</v>
      </c>
      <c r="L2804" s="3">
        <v>28</v>
      </c>
      <c r="M2804" s="3" t="s">
        <v>10288</v>
      </c>
      <c r="N2804" s="3" t="str">
        <f>HYPERLINK("http://ictvonline.org/taxonomyHistory.asp?taxnode_id=20162792","ICTVonline=20162792")</f>
        <v>ICTVonline=20162792</v>
      </c>
    </row>
    <row r="2805" spans="1:14" x14ac:dyDescent="0.15">
      <c r="A2805" s="3">
        <v>2804</v>
      </c>
      <c r="B2805" s="1" t="s">
        <v>926</v>
      </c>
      <c r="C2805" s="1" t="s">
        <v>2171</v>
      </c>
      <c r="E2805" s="1" t="s">
        <v>2172</v>
      </c>
      <c r="F2805" s="1" t="s">
        <v>1594</v>
      </c>
      <c r="G2805" s="3">
        <v>0</v>
      </c>
      <c r="J2805" s="20" t="s">
        <v>5199</v>
      </c>
      <c r="K2805" s="20" t="s">
        <v>10013</v>
      </c>
      <c r="L2805" s="3">
        <v>24</v>
      </c>
      <c r="M2805" s="3" t="s">
        <v>10294</v>
      </c>
      <c r="N2805" s="3" t="str">
        <f>HYPERLINK("http://ictvonline.org/taxonomyHistory.asp?taxnode_id=20162793","ICTVonline=20162793")</f>
        <v>ICTVonline=20162793</v>
      </c>
    </row>
    <row r="2806" spans="1:14" x14ac:dyDescent="0.15">
      <c r="A2806" s="3">
        <v>2805</v>
      </c>
      <c r="B2806" s="1" t="s">
        <v>926</v>
      </c>
      <c r="C2806" s="1" t="s">
        <v>2171</v>
      </c>
      <c r="E2806" s="1" t="s">
        <v>2172</v>
      </c>
      <c r="F2806" s="1" t="s">
        <v>1595</v>
      </c>
      <c r="G2806" s="3">
        <v>0</v>
      </c>
      <c r="J2806" s="20" t="s">
        <v>5199</v>
      </c>
      <c r="K2806" s="20" t="s">
        <v>10013</v>
      </c>
      <c r="L2806" s="3">
        <v>22</v>
      </c>
      <c r="M2806" s="3" t="s">
        <v>10289</v>
      </c>
      <c r="N2806" s="3" t="str">
        <f>HYPERLINK("http://ictvonline.org/taxonomyHistory.asp?taxnode_id=20162794","ICTVonline=20162794")</f>
        <v>ICTVonline=20162794</v>
      </c>
    </row>
    <row r="2807" spans="1:14" x14ac:dyDescent="0.15">
      <c r="A2807" s="3">
        <v>2806</v>
      </c>
      <c r="B2807" s="1" t="s">
        <v>926</v>
      </c>
      <c r="C2807" s="1" t="s">
        <v>2171</v>
      </c>
      <c r="E2807" s="1" t="s">
        <v>2172</v>
      </c>
      <c r="F2807" s="1" t="s">
        <v>1596</v>
      </c>
      <c r="G2807" s="3">
        <v>0</v>
      </c>
      <c r="J2807" s="20" t="s">
        <v>5199</v>
      </c>
      <c r="K2807" s="20" t="s">
        <v>10292</v>
      </c>
      <c r="L2807" s="3">
        <v>24</v>
      </c>
      <c r="M2807" s="3" t="s">
        <v>10293</v>
      </c>
      <c r="N2807" s="3" t="str">
        <f>HYPERLINK("http://ictvonline.org/taxonomyHistory.asp?taxnode_id=20162795","ICTVonline=20162795")</f>
        <v>ICTVonline=20162795</v>
      </c>
    </row>
    <row r="2808" spans="1:14" x14ac:dyDescent="0.15">
      <c r="A2808" s="3">
        <v>2807</v>
      </c>
      <c r="B2808" s="1" t="s">
        <v>926</v>
      </c>
      <c r="C2808" s="1" t="s">
        <v>2171</v>
      </c>
      <c r="E2808" s="1" t="s">
        <v>2172</v>
      </c>
      <c r="F2808" s="1" t="s">
        <v>2551</v>
      </c>
      <c r="G2808" s="3">
        <v>0</v>
      </c>
      <c r="J2808" s="20" t="s">
        <v>5199</v>
      </c>
      <c r="K2808" s="20" t="s">
        <v>10013</v>
      </c>
      <c r="L2808" s="3">
        <v>28</v>
      </c>
      <c r="M2808" s="3" t="s">
        <v>10288</v>
      </c>
      <c r="N2808" s="3" t="str">
        <f>HYPERLINK("http://ictvonline.org/taxonomyHistory.asp?taxnode_id=20162796","ICTVonline=20162796")</f>
        <v>ICTVonline=20162796</v>
      </c>
    </row>
    <row r="2809" spans="1:14" x14ac:dyDescent="0.15">
      <c r="A2809" s="3">
        <v>2808</v>
      </c>
      <c r="B2809" s="1" t="s">
        <v>926</v>
      </c>
      <c r="C2809" s="1" t="s">
        <v>2171</v>
      </c>
      <c r="E2809" s="1" t="s">
        <v>2172</v>
      </c>
      <c r="F2809" s="1" t="s">
        <v>2552</v>
      </c>
      <c r="G2809" s="3">
        <v>0</v>
      </c>
      <c r="J2809" s="20" t="s">
        <v>5199</v>
      </c>
      <c r="K2809" s="20" t="s">
        <v>10013</v>
      </c>
      <c r="L2809" s="3">
        <v>28</v>
      </c>
      <c r="M2809" s="3" t="s">
        <v>10288</v>
      </c>
      <c r="N2809" s="3" t="str">
        <f>HYPERLINK("http://ictvonline.org/taxonomyHistory.asp?taxnode_id=20162797","ICTVonline=20162797")</f>
        <v>ICTVonline=20162797</v>
      </c>
    </row>
    <row r="2810" spans="1:14" x14ac:dyDescent="0.15">
      <c r="A2810" s="3">
        <v>2809</v>
      </c>
      <c r="B2810" s="1" t="s">
        <v>926</v>
      </c>
      <c r="C2810" s="1" t="s">
        <v>2171</v>
      </c>
      <c r="E2810" s="1" t="s">
        <v>2172</v>
      </c>
      <c r="F2810" s="1" t="s">
        <v>2553</v>
      </c>
      <c r="G2810" s="3">
        <v>0</v>
      </c>
      <c r="J2810" s="20" t="s">
        <v>5199</v>
      </c>
      <c r="K2810" s="20" t="s">
        <v>10013</v>
      </c>
      <c r="L2810" s="3">
        <v>28</v>
      </c>
      <c r="M2810" s="3" t="s">
        <v>10288</v>
      </c>
      <c r="N2810" s="3" t="str">
        <f>HYPERLINK("http://ictvonline.org/taxonomyHistory.asp?taxnode_id=20162798","ICTVonline=20162798")</f>
        <v>ICTVonline=20162798</v>
      </c>
    </row>
    <row r="2811" spans="1:14" x14ac:dyDescent="0.15">
      <c r="A2811" s="3">
        <v>2810</v>
      </c>
      <c r="B2811" s="1" t="s">
        <v>926</v>
      </c>
      <c r="C2811" s="1" t="s">
        <v>2171</v>
      </c>
      <c r="E2811" s="1" t="s">
        <v>2172</v>
      </c>
      <c r="F2811" s="1" t="s">
        <v>1597</v>
      </c>
      <c r="G2811" s="3">
        <v>0</v>
      </c>
      <c r="J2811" s="20" t="s">
        <v>5199</v>
      </c>
      <c r="K2811" s="20" t="s">
        <v>10013</v>
      </c>
      <c r="L2811" s="3">
        <v>24</v>
      </c>
      <c r="M2811" s="3" t="s">
        <v>10290</v>
      </c>
      <c r="N2811" s="3" t="str">
        <f>HYPERLINK("http://ictvonline.org/taxonomyHistory.asp?taxnode_id=20162799","ICTVonline=20162799")</f>
        <v>ICTVonline=20162799</v>
      </c>
    </row>
    <row r="2812" spans="1:14" x14ac:dyDescent="0.15">
      <c r="A2812" s="3">
        <v>2811</v>
      </c>
      <c r="B2812" s="1" t="s">
        <v>926</v>
      </c>
      <c r="C2812" s="1" t="s">
        <v>2171</v>
      </c>
      <c r="E2812" s="1" t="s">
        <v>2172</v>
      </c>
      <c r="F2812" s="1" t="s">
        <v>1598</v>
      </c>
      <c r="G2812" s="3">
        <v>0</v>
      </c>
      <c r="J2812" s="20" t="s">
        <v>5199</v>
      </c>
      <c r="K2812" s="20" t="s">
        <v>10013</v>
      </c>
      <c r="L2812" s="3">
        <v>22</v>
      </c>
      <c r="M2812" s="3" t="s">
        <v>10289</v>
      </c>
      <c r="N2812" s="3" t="str">
        <f>HYPERLINK("http://ictvonline.org/taxonomyHistory.asp?taxnode_id=20162800","ICTVonline=20162800")</f>
        <v>ICTVonline=20162800</v>
      </c>
    </row>
    <row r="2813" spans="1:14" x14ac:dyDescent="0.15">
      <c r="A2813" s="3">
        <v>2812</v>
      </c>
      <c r="B2813" s="1" t="s">
        <v>926</v>
      </c>
      <c r="C2813" s="1" t="s">
        <v>2171</v>
      </c>
      <c r="E2813" s="1" t="s">
        <v>2172</v>
      </c>
      <c r="F2813" s="1" t="s">
        <v>2554</v>
      </c>
      <c r="G2813" s="3">
        <v>0</v>
      </c>
      <c r="J2813" s="20" t="s">
        <v>5199</v>
      </c>
      <c r="K2813" s="20" t="s">
        <v>10013</v>
      </c>
      <c r="L2813" s="3">
        <v>28</v>
      </c>
      <c r="M2813" s="3" t="s">
        <v>10288</v>
      </c>
      <c r="N2813" s="3" t="str">
        <f>HYPERLINK("http://ictvonline.org/taxonomyHistory.asp?taxnode_id=20162801","ICTVonline=20162801")</f>
        <v>ICTVonline=20162801</v>
      </c>
    </row>
    <row r="2814" spans="1:14" x14ac:dyDescent="0.15">
      <c r="A2814" s="3">
        <v>2813</v>
      </c>
      <c r="B2814" s="1" t="s">
        <v>926</v>
      </c>
      <c r="C2814" s="1" t="s">
        <v>2171</v>
      </c>
      <c r="E2814" s="1" t="s">
        <v>2172</v>
      </c>
      <c r="F2814" s="1" t="s">
        <v>1934</v>
      </c>
      <c r="G2814" s="3">
        <v>0</v>
      </c>
      <c r="J2814" s="20" t="s">
        <v>5199</v>
      </c>
      <c r="K2814" s="20" t="s">
        <v>10021</v>
      </c>
      <c r="L2814" s="3">
        <v>23</v>
      </c>
      <c r="M2814" s="3" t="s">
        <v>10229</v>
      </c>
      <c r="N2814" s="3" t="str">
        <f>HYPERLINK("http://ictvonline.org/taxonomyHistory.asp?taxnode_id=20162802","ICTVonline=20162802")</f>
        <v>ICTVonline=20162802</v>
      </c>
    </row>
    <row r="2815" spans="1:14" x14ac:dyDescent="0.15">
      <c r="A2815" s="3">
        <v>2814</v>
      </c>
      <c r="B2815" s="1" t="s">
        <v>926</v>
      </c>
      <c r="C2815" s="1" t="s">
        <v>2171</v>
      </c>
      <c r="E2815" s="1" t="s">
        <v>2172</v>
      </c>
      <c r="F2815" s="1" t="s">
        <v>1935</v>
      </c>
      <c r="G2815" s="3">
        <v>0</v>
      </c>
      <c r="J2815" s="20" t="s">
        <v>5199</v>
      </c>
      <c r="K2815" s="20" t="s">
        <v>10016</v>
      </c>
      <c r="L2815" s="3">
        <v>16</v>
      </c>
      <c r="M2815" s="3" t="s">
        <v>10237</v>
      </c>
      <c r="N2815" s="3" t="str">
        <f>HYPERLINK("http://ictvonline.org/taxonomyHistory.asp?taxnode_id=20162803","ICTVonline=20162803")</f>
        <v>ICTVonline=20162803</v>
      </c>
    </row>
    <row r="2816" spans="1:14" x14ac:dyDescent="0.15">
      <c r="A2816" s="3">
        <v>2815</v>
      </c>
      <c r="B2816" s="1" t="s">
        <v>926</v>
      </c>
      <c r="C2816" s="1" t="s">
        <v>2171</v>
      </c>
      <c r="E2816" s="1" t="s">
        <v>2172</v>
      </c>
      <c r="F2816" s="1" t="s">
        <v>1936</v>
      </c>
      <c r="G2816" s="3">
        <v>0</v>
      </c>
      <c r="J2816" s="20" t="s">
        <v>5199</v>
      </c>
      <c r="K2816" s="20" t="s">
        <v>10013</v>
      </c>
      <c r="L2816" s="3">
        <v>22</v>
      </c>
      <c r="M2816" s="3" t="s">
        <v>10289</v>
      </c>
      <c r="N2816" s="3" t="str">
        <f>HYPERLINK("http://ictvonline.org/taxonomyHistory.asp?taxnode_id=20162804","ICTVonline=20162804")</f>
        <v>ICTVonline=20162804</v>
      </c>
    </row>
    <row r="2817" spans="1:14" x14ac:dyDescent="0.15">
      <c r="A2817" s="3">
        <v>2816</v>
      </c>
      <c r="B2817" s="1" t="s">
        <v>926</v>
      </c>
      <c r="C2817" s="1" t="s">
        <v>2171</v>
      </c>
      <c r="E2817" s="1" t="s">
        <v>2172</v>
      </c>
      <c r="F2817" s="1" t="s">
        <v>2555</v>
      </c>
      <c r="G2817" s="3">
        <v>0</v>
      </c>
      <c r="J2817" s="20" t="s">
        <v>5199</v>
      </c>
      <c r="K2817" s="20" t="s">
        <v>10013</v>
      </c>
      <c r="L2817" s="3">
        <v>28</v>
      </c>
      <c r="M2817" s="3" t="s">
        <v>10288</v>
      </c>
      <c r="N2817" s="3" t="str">
        <f>HYPERLINK("http://ictvonline.org/taxonomyHistory.asp?taxnode_id=20162805","ICTVonline=20162805")</f>
        <v>ICTVonline=20162805</v>
      </c>
    </row>
    <row r="2818" spans="1:14" x14ac:dyDescent="0.15">
      <c r="A2818" s="3">
        <v>2817</v>
      </c>
      <c r="B2818" s="1" t="s">
        <v>926</v>
      </c>
      <c r="C2818" s="1" t="s">
        <v>2171</v>
      </c>
      <c r="E2818" s="1" t="s">
        <v>2172</v>
      </c>
      <c r="F2818" s="1" t="s">
        <v>1937</v>
      </c>
      <c r="G2818" s="3">
        <v>0</v>
      </c>
      <c r="J2818" s="20" t="s">
        <v>5199</v>
      </c>
      <c r="K2818" s="20" t="s">
        <v>10013</v>
      </c>
      <c r="L2818" s="3">
        <v>17</v>
      </c>
      <c r="M2818" s="3" t="s">
        <v>10208</v>
      </c>
      <c r="N2818" s="3" t="str">
        <f>HYPERLINK("http://ictvonline.org/taxonomyHistory.asp?taxnode_id=20162806","ICTVonline=20162806")</f>
        <v>ICTVonline=20162806</v>
      </c>
    </row>
    <row r="2819" spans="1:14" x14ac:dyDescent="0.15">
      <c r="A2819" s="3">
        <v>2818</v>
      </c>
      <c r="B2819" s="1" t="s">
        <v>926</v>
      </c>
      <c r="C2819" s="1" t="s">
        <v>2171</v>
      </c>
      <c r="E2819" s="1" t="s">
        <v>2172</v>
      </c>
      <c r="F2819" s="1" t="s">
        <v>1938</v>
      </c>
      <c r="G2819" s="3">
        <v>0</v>
      </c>
      <c r="J2819" s="20" t="s">
        <v>5199</v>
      </c>
      <c r="K2819" s="20" t="s">
        <v>10013</v>
      </c>
      <c r="L2819" s="3">
        <v>22</v>
      </c>
      <c r="M2819" s="3" t="s">
        <v>10289</v>
      </c>
      <c r="N2819" s="3" t="str">
        <f>HYPERLINK("http://ictvonline.org/taxonomyHistory.asp?taxnode_id=20162807","ICTVonline=20162807")</f>
        <v>ICTVonline=20162807</v>
      </c>
    </row>
    <row r="2820" spans="1:14" x14ac:dyDescent="0.15">
      <c r="A2820" s="3">
        <v>2819</v>
      </c>
      <c r="B2820" s="1" t="s">
        <v>926</v>
      </c>
      <c r="C2820" s="1" t="s">
        <v>2171</v>
      </c>
      <c r="E2820" s="1" t="s">
        <v>2172</v>
      </c>
      <c r="F2820" s="1" t="s">
        <v>1939</v>
      </c>
      <c r="G2820" s="3">
        <v>0</v>
      </c>
      <c r="J2820" s="20" t="s">
        <v>5199</v>
      </c>
      <c r="K2820" s="20" t="s">
        <v>10013</v>
      </c>
      <c r="L2820" s="3">
        <v>24</v>
      </c>
      <c r="M2820" s="3" t="s">
        <v>10290</v>
      </c>
      <c r="N2820" s="3" t="str">
        <f>HYPERLINK("http://ictvonline.org/taxonomyHistory.asp?taxnode_id=20162808","ICTVonline=20162808")</f>
        <v>ICTVonline=20162808</v>
      </c>
    </row>
    <row r="2821" spans="1:14" x14ac:dyDescent="0.15">
      <c r="A2821" s="3">
        <v>2820</v>
      </c>
      <c r="B2821" s="1" t="s">
        <v>926</v>
      </c>
      <c r="C2821" s="1" t="s">
        <v>2171</v>
      </c>
      <c r="E2821" s="1" t="s">
        <v>2172</v>
      </c>
      <c r="F2821" s="1" t="s">
        <v>1940</v>
      </c>
      <c r="G2821" s="3">
        <v>0</v>
      </c>
      <c r="J2821" s="20" t="s">
        <v>5199</v>
      </c>
      <c r="K2821" s="20" t="s">
        <v>10021</v>
      </c>
      <c r="L2821" s="3">
        <v>23</v>
      </c>
      <c r="M2821" s="3" t="s">
        <v>10229</v>
      </c>
      <c r="N2821" s="3" t="str">
        <f>HYPERLINK("http://ictvonline.org/taxonomyHistory.asp?taxnode_id=20162809","ICTVonline=20162809")</f>
        <v>ICTVonline=20162809</v>
      </c>
    </row>
    <row r="2822" spans="1:14" x14ac:dyDescent="0.15">
      <c r="A2822" s="3">
        <v>2821</v>
      </c>
      <c r="B2822" s="1" t="s">
        <v>926</v>
      </c>
      <c r="C2822" s="1" t="s">
        <v>2171</v>
      </c>
      <c r="E2822" s="1" t="s">
        <v>2172</v>
      </c>
      <c r="F2822" s="1" t="s">
        <v>1941</v>
      </c>
      <c r="G2822" s="3">
        <v>0</v>
      </c>
      <c r="J2822" s="20" t="s">
        <v>5199</v>
      </c>
      <c r="K2822" s="20" t="s">
        <v>10013</v>
      </c>
      <c r="L2822" s="3">
        <v>24</v>
      </c>
      <c r="M2822" s="3" t="s">
        <v>10290</v>
      </c>
      <c r="N2822" s="3" t="str">
        <f>HYPERLINK("http://ictvonline.org/taxonomyHistory.asp?taxnode_id=20162810","ICTVonline=20162810")</f>
        <v>ICTVonline=20162810</v>
      </c>
    </row>
    <row r="2823" spans="1:14" x14ac:dyDescent="0.15">
      <c r="A2823" s="3">
        <v>2822</v>
      </c>
      <c r="B2823" s="1" t="s">
        <v>926</v>
      </c>
      <c r="C2823" s="1" t="s">
        <v>2171</v>
      </c>
      <c r="E2823" s="1" t="s">
        <v>2172</v>
      </c>
      <c r="F2823" s="1" t="s">
        <v>888</v>
      </c>
      <c r="G2823" s="3">
        <v>0</v>
      </c>
      <c r="J2823" s="20" t="s">
        <v>5199</v>
      </c>
      <c r="K2823" s="20" t="s">
        <v>10013</v>
      </c>
      <c r="L2823" s="3">
        <v>24</v>
      </c>
      <c r="M2823" s="3" t="s">
        <v>10291</v>
      </c>
      <c r="N2823" s="3" t="str">
        <f>HYPERLINK("http://ictvonline.org/taxonomyHistory.asp?taxnode_id=20162811","ICTVonline=20162811")</f>
        <v>ICTVonline=20162811</v>
      </c>
    </row>
    <row r="2824" spans="1:14" x14ac:dyDescent="0.15">
      <c r="A2824" s="3">
        <v>2823</v>
      </c>
      <c r="B2824" s="1" t="s">
        <v>926</v>
      </c>
      <c r="C2824" s="1" t="s">
        <v>2171</v>
      </c>
      <c r="E2824" s="1" t="s">
        <v>2172</v>
      </c>
      <c r="F2824" s="1" t="s">
        <v>889</v>
      </c>
      <c r="G2824" s="3">
        <v>0</v>
      </c>
      <c r="J2824" s="20" t="s">
        <v>5199</v>
      </c>
      <c r="K2824" s="20" t="s">
        <v>10013</v>
      </c>
      <c r="L2824" s="3">
        <v>23</v>
      </c>
      <c r="M2824" s="3" t="s">
        <v>10229</v>
      </c>
      <c r="N2824" s="3" t="str">
        <f>HYPERLINK("http://ictvonline.org/taxonomyHistory.asp?taxnode_id=20162812","ICTVonline=20162812")</f>
        <v>ICTVonline=20162812</v>
      </c>
    </row>
    <row r="2825" spans="1:14" x14ac:dyDescent="0.15">
      <c r="A2825" s="3">
        <v>2824</v>
      </c>
      <c r="B2825" s="1" t="s">
        <v>926</v>
      </c>
      <c r="C2825" s="1" t="s">
        <v>2171</v>
      </c>
      <c r="E2825" s="1" t="s">
        <v>2172</v>
      </c>
      <c r="F2825" s="1" t="s">
        <v>1942</v>
      </c>
      <c r="G2825" s="3">
        <v>0</v>
      </c>
      <c r="J2825" s="20" t="s">
        <v>5199</v>
      </c>
      <c r="K2825" s="20" t="s">
        <v>10013</v>
      </c>
      <c r="L2825" s="3">
        <v>23</v>
      </c>
      <c r="M2825" s="3" t="s">
        <v>10229</v>
      </c>
      <c r="N2825" s="3" t="str">
        <f>HYPERLINK("http://ictvonline.org/taxonomyHistory.asp?taxnode_id=20162813","ICTVonline=20162813")</f>
        <v>ICTVonline=20162813</v>
      </c>
    </row>
    <row r="2826" spans="1:14" x14ac:dyDescent="0.15">
      <c r="A2826" s="3">
        <v>2825</v>
      </c>
      <c r="B2826" s="1" t="s">
        <v>926</v>
      </c>
      <c r="C2826" s="1" t="s">
        <v>2171</v>
      </c>
      <c r="E2826" s="1" t="s">
        <v>2172</v>
      </c>
      <c r="F2826" s="1" t="s">
        <v>2012</v>
      </c>
      <c r="G2826" s="3">
        <v>0</v>
      </c>
      <c r="J2826" s="20" t="s">
        <v>5199</v>
      </c>
      <c r="K2826" s="20" t="s">
        <v>10013</v>
      </c>
      <c r="L2826" s="3">
        <v>24</v>
      </c>
      <c r="M2826" s="3" t="s">
        <v>10290</v>
      </c>
      <c r="N2826" s="3" t="str">
        <f>HYPERLINK("http://ictvonline.org/taxonomyHistory.asp?taxnode_id=20162814","ICTVonline=20162814")</f>
        <v>ICTVonline=20162814</v>
      </c>
    </row>
    <row r="2827" spans="1:14" x14ac:dyDescent="0.15">
      <c r="A2827" s="3">
        <v>2826</v>
      </c>
      <c r="B2827" s="1" t="s">
        <v>926</v>
      </c>
      <c r="C2827" s="1" t="s">
        <v>2171</v>
      </c>
      <c r="E2827" s="1" t="s">
        <v>2172</v>
      </c>
      <c r="F2827" s="1" t="s">
        <v>827</v>
      </c>
      <c r="G2827" s="3">
        <v>0</v>
      </c>
      <c r="J2827" s="20" t="s">
        <v>5199</v>
      </c>
      <c r="K2827" s="20" t="s">
        <v>10021</v>
      </c>
      <c r="L2827" s="3">
        <v>23</v>
      </c>
      <c r="M2827" s="3" t="s">
        <v>10229</v>
      </c>
      <c r="N2827" s="3" t="str">
        <f>HYPERLINK("http://ictvonline.org/taxonomyHistory.asp?taxnode_id=20162815","ICTVonline=20162815")</f>
        <v>ICTVonline=20162815</v>
      </c>
    </row>
    <row r="2828" spans="1:14" x14ac:dyDescent="0.15">
      <c r="A2828" s="3">
        <v>2827</v>
      </c>
      <c r="B2828" s="1" t="s">
        <v>926</v>
      </c>
      <c r="C2828" s="1" t="s">
        <v>2171</v>
      </c>
      <c r="E2828" s="1" t="s">
        <v>2172</v>
      </c>
      <c r="F2828" s="1" t="s">
        <v>828</v>
      </c>
      <c r="G2828" s="3">
        <v>0</v>
      </c>
      <c r="J2828" s="20" t="s">
        <v>5199</v>
      </c>
      <c r="K2828" s="20" t="s">
        <v>10021</v>
      </c>
      <c r="L2828" s="3">
        <v>23</v>
      </c>
      <c r="M2828" s="3" t="s">
        <v>10229</v>
      </c>
      <c r="N2828" s="3" t="str">
        <f>HYPERLINK("http://ictvonline.org/taxonomyHistory.asp?taxnode_id=20162816","ICTVonline=20162816")</f>
        <v>ICTVonline=20162816</v>
      </c>
    </row>
    <row r="2829" spans="1:14" x14ac:dyDescent="0.15">
      <c r="A2829" s="3">
        <v>2828</v>
      </c>
      <c r="B2829" s="1" t="s">
        <v>926</v>
      </c>
      <c r="C2829" s="1" t="s">
        <v>2171</v>
      </c>
      <c r="E2829" s="1" t="s">
        <v>2172</v>
      </c>
      <c r="F2829" s="1" t="s">
        <v>829</v>
      </c>
      <c r="G2829" s="3">
        <v>0</v>
      </c>
      <c r="J2829" s="20" t="s">
        <v>5199</v>
      </c>
      <c r="K2829" s="20" t="s">
        <v>10013</v>
      </c>
      <c r="L2829" s="3">
        <v>24</v>
      </c>
      <c r="M2829" s="3" t="s">
        <v>10291</v>
      </c>
      <c r="N2829" s="3" t="str">
        <f>HYPERLINK("http://ictvonline.org/taxonomyHistory.asp?taxnode_id=20162817","ICTVonline=20162817")</f>
        <v>ICTVonline=20162817</v>
      </c>
    </row>
    <row r="2830" spans="1:14" x14ac:dyDescent="0.15">
      <c r="A2830" s="3">
        <v>2829</v>
      </c>
      <c r="B2830" s="1" t="s">
        <v>926</v>
      </c>
      <c r="C2830" s="1" t="s">
        <v>2171</v>
      </c>
      <c r="E2830" s="1" t="s">
        <v>2172</v>
      </c>
      <c r="F2830" s="1" t="s">
        <v>1902</v>
      </c>
      <c r="G2830" s="3">
        <v>0</v>
      </c>
      <c r="J2830" s="20" t="s">
        <v>5199</v>
      </c>
      <c r="K2830" s="20" t="s">
        <v>10216</v>
      </c>
      <c r="L2830" s="3">
        <v>23</v>
      </c>
      <c r="M2830" s="3" t="s">
        <v>10229</v>
      </c>
      <c r="N2830" s="3" t="str">
        <f>HYPERLINK("http://ictvonline.org/taxonomyHistory.asp?taxnode_id=20162818","ICTVonline=20162818")</f>
        <v>ICTVonline=20162818</v>
      </c>
    </row>
    <row r="2831" spans="1:14" x14ac:dyDescent="0.15">
      <c r="A2831" s="3">
        <v>2830</v>
      </c>
      <c r="B2831" s="1" t="s">
        <v>926</v>
      </c>
      <c r="C2831" s="1" t="s">
        <v>2171</v>
      </c>
      <c r="E2831" s="1" t="s">
        <v>2172</v>
      </c>
      <c r="F2831" s="1" t="s">
        <v>2556</v>
      </c>
      <c r="G2831" s="3">
        <v>0</v>
      </c>
      <c r="J2831" s="20" t="s">
        <v>5199</v>
      </c>
      <c r="K2831" s="20" t="s">
        <v>10013</v>
      </c>
      <c r="L2831" s="3">
        <v>28</v>
      </c>
      <c r="M2831" s="3" t="s">
        <v>10288</v>
      </c>
      <c r="N2831" s="3" t="str">
        <f>HYPERLINK("http://ictvonline.org/taxonomyHistory.asp?taxnode_id=20162819","ICTVonline=20162819")</f>
        <v>ICTVonline=20162819</v>
      </c>
    </row>
    <row r="2832" spans="1:14" x14ac:dyDescent="0.15">
      <c r="A2832" s="3">
        <v>2831</v>
      </c>
      <c r="B2832" s="1" t="s">
        <v>926</v>
      </c>
      <c r="C2832" s="1" t="s">
        <v>2171</v>
      </c>
      <c r="E2832" s="1" t="s">
        <v>2172</v>
      </c>
      <c r="F2832" s="1" t="s">
        <v>1071</v>
      </c>
      <c r="G2832" s="3">
        <v>0</v>
      </c>
      <c r="J2832" s="20" t="s">
        <v>5199</v>
      </c>
      <c r="K2832" s="20" t="s">
        <v>10013</v>
      </c>
      <c r="L2832" s="3">
        <v>24</v>
      </c>
      <c r="M2832" s="3" t="s">
        <v>10290</v>
      </c>
      <c r="N2832" s="3" t="str">
        <f>HYPERLINK("http://ictvonline.org/taxonomyHistory.asp?taxnode_id=20162820","ICTVonline=20162820")</f>
        <v>ICTVonline=20162820</v>
      </c>
    </row>
    <row r="2833" spans="1:14" x14ac:dyDescent="0.15">
      <c r="A2833" s="3">
        <v>2832</v>
      </c>
      <c r="B2833" s="1" t="s">
        <v>926</v>
      </c>
      <c r="C2833" s="1" t="s">
        <v>2171</v>
      </c>
      <c r="E2833" s="1" t="s">
        <v>2172</v>
      </c>
      <c r="F2833" s="1" t="s">
        <v>2557</v>
      </c>
      <c r="G2833" s="3">
        <v>0</v>
      </c>
      <c r="J2833" s="20" t="s">
        <v>5199</v>
      </c>
      <c r="K2833" s="20" t="s">
        <v>10013</v>
      </c>
      <c r="L2833" s="3">
        <v>28</v>
      </c>
      <c r="M2833" s="3" t="s">
        <v>10288</v>
      </c>
      <c r="N2833" s="3" t="str">
        <f>HYPERLINK("http://ictvonline.org/taxonomyHistory.asp?taxnode_id=20162821","ICTVonline=20162821")</f>
        <v>ICTVonline=20162821</v>
      </c>
    </row>
    <row r="2834" spans="1:14" x14ac:dyDescent="0.15">
      <c r="A2834" s="3">
        <v>2833</v>
      </c>
      <c r="B2834" s="1" t="s">
        <v>926</v>
      </c>
      <c r="C2834" s="1" t="s">
        <v>2171</v>
      </c>
      <c r="E2834" s="1" t="s">
        <v>2172</v>
      </c>
      <c r="F2834" s="1" t="s">
        <v>1072</v>
      </c>
      <c r="G2834" s="3">
        <v>0</v>
      </c>
      <c r="J2834" s="20" t="s">
        <v>5199</v>
      </c>
      <c r="K2834" s="20" t="s">
        <v>10013</v>
      </c>
      <c r="L2834" s="3">
        <v>24</v>
      </c>
      <c r="M2834" s="3" t="s">
        <v>10294</v>
      </c>
      <c r="N2834" s="3" t="str">
        <f>HYPERLINK("http://ictvonline.org/taxonomyHistory.asp?taxnode_id=20162822","ICTVonline=20162822")</f>
        <v>ICTVonline=20162822</v>
      </c>
    </row>
    <row r="2835" spans="1:14" x14ac:dyDescent="0.15">
      <c r="A2835" s="3">
        <v>2834</v>
      </c>
      <c r="B2835" s="1" t="s">
        <v>926</v>
      </c>
      <c r="C2835" s="1" t="s">
        <v>2171</v>
      </c>
      <c r="E2835" s="1" t="s">
        <v>2172</v>
      </c>
      <c r="F2835" s="1" t="s">
        <v>1073</v>
      </c>
      <c r="G2835" s="3">
        <v>0</v>
      </c>
      <c r="J2835" s="20" t="s">
        <v>5199</v>
      </c>
      <c r="K2835" s="20" t="s">
        <v>10013</v>
      </c>
      <c r="L2835" s="3">
        <v>24</v>
      </c>
      <c r="M2835" s="3" t="s">
        <v>10291</v>
      </c>
      <c r="N2835" s="3" t="str">
        <f>HYPERLINK("http://ictvonline.org/taxonomyHistory.asp?taxnode_id=20162823","ICTVonline=20162823")</f>
        <v>ICTVonline=20162823</v>
      </c>
    </row>
    <row r="2836" spans="1:14" x14ac:dyDescent="0.15">
      <c r="A2836" s="3">
        <v>2835</v>
      </c>
      <c r="B2836" s="1" t="s">
        <v>926</v>
      </c>
      <c r="C2836" s="1" t="s">
        <v>2171</v>
      </c>
      <c r="E2836" s="1" t="s">
        <v>2172</v>
      </c>
      <c r="F2836" s="1" t="s">
        <v>5376</v>
      </c>
      <c r="G2836" s="3">
        <v>0</v>
      </c>
      <c r="H2836" s="20" t="s">
        <v>7443</v>
      </c>
      <c r="I2836" s="20" t="s">
        <v>6942</v>
      </c>
      <c r="J2836" s="20" t="s">
        <v>5199</v>
      </c>
      <c r="K2836" s="20" t="s">
        <v>10013</v>
      </c>
      <c r="L2836" s="3">
        <v>30</v>
      </c>
      <c r="M2836" s="3" t="s">
        <v>10287</v>
      </c>
      <c r="N2836" s="3" t="str">
        <f>HYPERLINK("http://ictvonline.org/taxonomyHistory.asp?taxnode_id=20162824","ICTVonline=20162824")</f>
        <v>ICTVonline=20162824</v>
      </c>
    </row>
    <row r="2837" spans="1:14" x14ac:dyDescent="0.15">
      <c r="A2837" s="3">
        <v>2836</v>
      </c>
      <c r="B2837" s="1" t="s">
        <v>926</v>
      </c>
      <c r="C2837" s="1" t="s">
        <v>2171</v>
      </c>
      <c r="E2837" s="1" t="s">
        <v>2172</v>
      </c>
      <c r="F2837" s="1" t="s">
        <v>1158</v>
      </c>
      <c r="G2837" s="3">
        <v>0</v>
      </c>
      <c r="J2837" s="20" t="s">
        <v>5199</v>
      </c>
      <c r="K2837" s="20" t="s">
        <v>10013</v>
      </c>
      <c r="L2837" s="3">
        <v>24</v>
      </c>
      <c r="M2837" s="3" t="s">
        <v>10294</v>
      </c>
      <c r="N2837" s="3" t="str">
        <f>HYPERLINK("http://ictvonline.org/taxonomyHistory.asp?taxnode_id=20162825","ICTVonline=20162825")</f>
        <v>ICTVonline=20162825</v>
      </c>
    </row>
    <row r="2838" spans="1:14" x14ac:dyDescent="0.15">
      <c r="A2838" s="3">
        <v>2837</v>
      </c>
      <c r="B2838" s="1" t="s">
        <v>926</v>
      </c>
      <c r="C2838" s="1" t="s">
        <v>2171</v>
      </c>
      <c r="E2838" s="1" t="s">
        <v>2172</v>
      </c>
      <c r="F2838" s="1" t="s">
        <v>5377</v>
      </c>
      <c r="G2838" s="3">
        <v>0</v>
      </c>
      <c r="H2838" s="20" t="s">
        <v>7444</v>
      </c>
      <c r="I2838" s="20" t="s">
        <v>6943</v>
      </c>
      <c r="J2838" s="20" t="s">
        <v>5199</v>
      </c>
      <c r="K2838" s="20" t="s">
        <v>10013</v>
      </c>
      <c r="L2838" s="3">
        <v>30</v>
      </c>
      <c r="M2838" s="3" t="s">
        <v>10287</v>
      </c>
      <c r="N2838" s="3" t="str">
        <f>HYPERLINK("http://ictvonline.org/taxonomyHistory.asp?taxnode_id=20162826","ICTVonline=20162826")</f>
        <v>ICTVonline=20162826</v>
      </c>
    </row>
    <row r="2839" spans="1:14" x14ac:dyDescent="0.15">
      <c r="A2839" s="3">
        <v>2838</v>
      </c>
      <c r="B2839" s="1" t="s">
        <v>926</v>
      </c>
      <c r="C2839" s="1" t="s">
        <v>2171</v>
      </c>
      <c r="E2839" s="1" t="s">
        <v>2172</v>
      </c>
      <c r="F2839" s="1" t="s">
        <v>1159</v>
      </c>
      <c r="G2839" s="3">
        <v>0</v>
      </c>
      <c r="J2839" s="20" t="s">
        <v>5199</v>
      </c>
      <c r="K2839" s="20" t="s">
        <v>10016</v>
      </c>
      <c r="L2839" s="3">
        <v>16</v>
      </c>
      <c r="M2839" s="3" t="s">
        <v>10237</v>
      </c>
      <c r="N2839" s="3" t="str">
        <f>HYPERLINK("http://ictvonline.org/taxonomyHistory.asp?taxnode_id=20162827","ICTVonline=20162827")</f>
        <v>ICTVonline=20162827</v>
      </c>
    </row>
    <row r="2840" spans="1:14" x14ac:dyDescent="0.15">
      <c r="A2840" s="3">
        <v>2839</v>
      </c>
      <c r="B2840" s="1" t="s">
        <v>926</v>
      </c>
      <c r="C2840" s="1" t="s">
        <v>2171</v>
      </c>
      <c r="E2840" s="1" t="s">
        <v>2172</v>
      </c>
      <c r="F2840" s="1" t="s">
        <v>2558</v>
      </c>
      <c r="G2840" s="3">
        <v>0</v>
      </c>
      <c r="J2840" s="20" t="s">
        <v>5199</v>
      </c>
      <c r="K2840" s="20" t="s">
        <v>10013</v>
      </c>
      <c r="L2840" s="3">
        <v>28</v>
      </c>
      <c r="M2840" s="3" t="s">
        <v>10288</v>
      </c>
      <c r="N2840" s="3" t="str">
        <f>HYPERLINK("http://ictvonline.org/taxonomyHistory.asp?taxnode_id=20162828","ICTVonline=20162828")</f>
        <v>ICTVonline=20162828</v>
      </c>
    </row>
    <row r="2841" spans="1:14" x14ac:dyDescent="0.15">
      <c r="A2841" s="3">
        <v>2840</v>
      </c>
      <c r="B2841" s="1" t="s">
        <v>926</v>
      </c>
      <c r="C2841" s="1" t="s">
        <v>2171</v>
      </c>
      <c r="E2841" s="1" t="s">
        <v>2172</v>
      </c>
      <c r="F2841" s="1" t="s">
        <v>2559</v>
      </c>
      <c r="G2841" s="3">
        <v>0</v>
      </c>
      <c r="J2841" s="20" t="s">
        <v>5199</v>
      </c>
      <c r="K2841" s="20" t="s">
        <v>10013</v>
      </c>
      <c r="L2841" s="3">
        <v>28</v>
      </c>
      <c r="M2841" s="3" t="s">
        <v>10288</v>
      </c>
      <c r="N2841" s="3" t="str">
        <f>HYPERLINK("http://ictvonline.org/taxonomyHistory.asp?taxnode_id=20162829","ICTVonline=20162829")</f>
        <v>ICTVonline=20162829</v>
      </c>
    </row>
    <row r="2842" spans="1:14" x14ac:dyDescent="0.15">
      <c r="A2842" s="3">
        <v>2841</v>
      </c>
      <c r="B2842" s="1" t="s">
        <v>926</v>
      </c>
      <c r="C2842" s="1" t="s">
        <v>2171</v>
      </c>
      <c r="E2842" s="1" t="s">
        <v>2172</v>
      </c>
      <c r="F2842" s="1" t="s">
        <v>2560</v>
      </c>
      <c r="G2842" s="3">
        <v>0</v>
      </c>
      <c r="J2842" s="20" t="s">
        <v>5199</v>
      </c>
      <c r="K2842" s="20" t="s">
        <v>10013</v>
      </c>
      <c r="L2842" s="3">
        <v>28</v>
      </c>
      <c r="M2842" s="3" t="s">
        <v>10288</v>
      </c>
      <c r="N2842" s="3" t="str">
        <f>HYPERLINK("http://ictvonline.org/taxonomyHistory.asp?taxnode_id=20162830","ICTVonline=20162830")</f>
        <v>ICTVonline=20162830</v>
      </c>
    </row>
    <row r="2843" spans="1:14" x14ac:dyDescent="0.15">
      <c r="A2843" s="3">
        <v>2842</v>
      </c>
      <c r="B2843" s="1" t="s">
        <v>926</v>
      </c>
      <c r="C2843" s="1" t="s">
        <v>2171</v>
      </c>
      <c r="E2843" s="1" t="s">
        <v>9349</v>
      </c>
      <c r="F2843" s="1" t="s">
        <v>9350</v>
      </c>
      <c r="G2843" s="3">
        <v>0</v>
      </c>
      <c r="H2843" s="20" t="s">
        <v>9351</v>
      </c>
      <c r="I2843" s="20" t="s">
        <v>9352</v>
      </c>
      <c r="J2843" s="20" t="s">
        <v>5199</v>
      </c>
      <c r="K2843" s="20" t="s">
        <v>10013</v>
      </c>
      <c r="L2843" s="3">
        <v>31</v>
      </c>
      <c r="M2843" s="3" t="s">
        <v>9353</v>
      </c>
      <c r="N2843" s="3" t="str">
        <f>HYPERLINK("http://ictvonline.org/taxonomyHistory.asp?taxnode_id=20165305","ICTVonline=20165305")</f>
        <v>ICTVonline=20165305</v>
      </c>
    </row>
    <row r="2844" spans="1:14" x14ac:dyDescent="0.15">
      <c r="A2844" s="3">
        <v>2843</v>
      </c>
      <c r="B2844" s="1" t="s">
        <v>926</v>
      </c>
      <c r="C2844" s="1" t="s">
        <v>2171</v>
      </c>
      <c r="E2844" s="1" t="s">
        <v>9349</v>
      </c>
      <c r="F2844" s="1" t="s">
        <v>9354</v>
      </c>
      <c r="G2844" s="3">
        <v>1</v>
      </c>
      <c r="H2844" s="20" t="s">
        <v>9355</v>
      </c>
      <c r="I2844" s="20" t="s">
        <v>9356</v>
      </c>
      <c r="J2844" s="20" t="s">
        <v>5199</v>
      </c>
      <c r="K2844" s="20" t="s">
        <v>10013</v>
      </c>
      <c r="L2844" s="3">
        <v>31</v>
      </c>
      <c r="M2844" s="3" t="s">
        <v>9353</v>
      </c>
      <c r="N2844" s="3" t="str">
        <f>HYPERLINK("http://ictvonline.org/taxonomyHistory.asp?taxnode_id=20165306","ICTVonline=20165306")</f>
        <v>ICTVonline=20165306</v>
      </c>
    </row>
    <row r="2845" spans="1:14" x14ac:dyDescent="0.15">
      <c r="A2845" s="3">
        <v>2844</v>
      </c>
      <c r="B2845" s="1" t="s">
        <v>926</v>
      </c>
      <c r="C2845" s="1" t="s">
        <v>2171</v>
      </c>
      <c r="E2845" s="1" t="s">
        <v>9349</v>
      </c>
      <c r="F2845" s="1" t="s">
        <v>9357</v>
      </c>
      <c r="G2845" s="3">
        <v>0</v>
      </c>
      <c r="H2845" s="20" t="s">
        <v>9358</v>
      </c>
      <c r="I2845" s="20" t="s">
        <v>9359</v>
      </c>
      <c r="J2845" s="20" t="s">
        <v>5199</v>
      </c>
      <c r="K2845" s="20" t="s">
        <v>10013</v>
      </c>
      <c r="L2845" s="3">
        <v>31</v>
      </c>
      <c r="M2845" s="3" t="s">
        <v>9353</v>
      </c>
      <c r="N2845" s="3" t="str">
        <f>HYPERLINK("http://ictvonline.org/taxonomyHistory.asp?taxnode_id=20165307","ICTVonline=20165307")</f>
        <v>ICTVonline=20165307</v>
      </c>
    </row>
    <row r="2846" spans="1:14" x14ac:dyDescent="0.15">
      <c r="A2846" s="3">
        <v>2845</v>
      </c>
      <c r="B2846" s="1" t="s">
        <v>926</v>
      </c>
      <c r="C2846" s="1" t="s">
        <v>2171</v>
      </c>
      <c r="E2846" s="1" t="s">
        <v>9349</v>
      </c>
      <c r="F2846" s="1" t="s">
        <v>9360</v>
      </c>
      <c r="G2846" s="3">
        <v>0</v>
      </c>
      <c r="H2846" s="20" t="s">
        <v>9361</v>
      </c>
      <c r="I2846" s="20" t="s">
        <v>9362</v>
      </c>
      <c r="J2846" s="20" t="s">
        <v>5199</v>
      </c>
      <c r="K2846" s="20" t="s">
        <v>10013</v>
      </c>
      <c r="L2846" s="3">
        <v>31</v>
      </c>
      <c r="M2846" s="3" t="s">
        <v>9353</v>
      </c>
      <c r="N2846" s="3" t="str">
        <f>HYPERLINK("http://ictvonline.org/taxonomyHistory.asp?taxnode_id=20165308","ICTVonline=20165308")</f>
        <v>ICTVonline=20165308</v>
      </c>
    </row>
    <row r="2847" spans="1:14" x14ac:dyDescent="0.15">
      <c r="A2847" s="3">
        <v>2846</v>
      </c>
      <c r="B2847" s="1" t="s">
        <v>926</v>
      </c>
      <c r="C2847" s="1" t="s">
        <v>2171</v>
      </c>
      <c r="E2847" s="1" t="s">
        <v>1160</v>
      </c>
      <c r="F2847" s="1" t="s">
        <v>1161</v>
      </c>
      <c r="G2847" s="3">
        <v>1</v>
      </c>
      <c r="J2847" s="20" t="s">
        <v>5199</v>
      </c>
      <c r="K2847" s="20" t="s">
        <v>10300</v>
      </c>
      <c r="L2847" s="3">
        <v>18</v>
      </c>
      <c r="M2847" s="3" t="s">
        <v>10101</v>
      </c>
      <c r="N2847" s="3" t="str">
        <f>HYPERLINK("http://ictvonline.org/taxonomyHistory.asp?taxnode_id=20162832","ICTVonline=20162832")</f>
        <v>ICTVonline=20162832</v>
      </c>
    </row>
    <row r="2848" spans="1:14" x14ac:dyDescent="0.15">
      <c r="A2848" s="3">
        <v>2847</v>
      </c>
      <c r="B2848" s="1" t="s">
        <v>926</v>
      </c>
      <c r="C2848" s="1" t="s">
        <v>2171</v>
      </c>
      <c r="E2848" s="1" t="s">
        <v>1160</v>
      </c>
      <c r="F2848" s="1" t="s">
        <v>686</v>
      </c>
      <c r="G2848" s="3">
        <v>0</v>
      </c>
      <c r="J2848" s="20" t="s">
        <v>5199</v>
      </c>
      <c r="K2848" s="20" t="s">
        <v>10013</v>
      </c>
      <c r="L2848" s="3">
        <v>18</v>
      </c>
      <c r="M2848" s="3" t="s">
        <v>10101</v>
      </c>
      <c r="N2848" s="3" t="str">
        <f>HYPERLINK("http://ictvonline.org/taxonomyHistory.asp?taxnode_id=20162833","ICTVonline=20162833")</f>
        <v>ICTVonline=20162833</v>
      </c>
    </row>
    <row r="2849" spans="1:14" x14ac:dyDescent="0.15">
      <c r="A2849" s="3">
        <v>2848</v>
      </c>
      <c r="B2849" s="1" t="s">
        <v>926</v>
      </c>
      <c r="C2849" s="1" t="s">
        <v>2171</v>
      </c>
      <c r="E2849" s="1" t="s">
        <v>1160</v>
      </c>
      <c r="F2849" s="1" t="s">
        <v>2329</v>
      </c>
      <c r="G2849" s="3">
        <v>0</v>
      </c>
      <c r="J2849" s="20" t="s">
        <v>5199</v>
      </c>
      <c r="K2849" s="20" t="s">
        <v>10013</v>
      </c>
      <c r="L2849" s="3">
        <v>27</v>
      </c>
      <c r="M2849" s="3" t="s">
        <v>10286</v>
      </c>
      <c r="N2849" s="3" t="str">
        <f>HYPERLINK("http://ictvonline.org/taxonomyHistory.asp?taxnode_id=20162834","ICTVonline=20162834")</f>
        <v>ICTVonline=20162834</v>
      </c>
    </row>
    <row r="2850" spans="1:14" x14ac:dyDescent="0.15">
      <c r="A2850" s="3">
        <v>2849</v>
      </c>
      <c r="B2850" s="1" t="s">
        <v>926</v>
      </c>
      <c r="C2850" s="1" t="s">
        <v>2171</v>
      </c>
      <c r="E2850" s="1" t="s">
        <v>2330</v>
      </c>
      <c r="F2850" s="1" t="s">
        <v>2331</v>
      </c>
      <c r="G2850" s="3">
        <v>1</v>
      </c>
      <c r="J2850" s="20" t="s">
        <v>5199</v>
      </c>
      <c r="K2850" s="20" t="s">
        <v>10072</v>
      </c>
      <c r="L2850" s="3">
        <v>27</v>
      </c>
      <c r="M2850" s="3" t="s">
        <v>10286</v>
      </c>
      <c r="N2850" s="3" t="str">
        <f>HYPERLINK("http://ictvonline.org/taxonomyHistory.asp?taxnode_id=20162836","ICTVonline=20162836")</f>
        <v>ICTVonline=20162836</v>
      </c>
    </row>
    <row r="2851" spans="1:14" x14ac:dyDescent="0.15">
      <c r="A2851" s="3">
        <v>2850</v>
      </c>
      <c r="B2851" s="1" t="s">
        <v>926</v>
      </c>
      <c r="C2851" s="1" t="s">
        <v>2171</v>
      </c>
      <c r="E2851" s="1" t="s">
        <v>9363</v>
      </c>
      <c r="F2851" s="1" t="s">
        <v>9364</v>
      </c>
      <c r="G2851" s="3">
        <v>1</v>
      </c>
      <c r="H2851" s="20" t="s">
        <v>9365</v>
      </c>
      <c r="I2851" s="20" t="s">
        <v>9366</v>
      </c>
      <c r="J2851" s="20" t="s">
        <v>5199</v>
      </c>
      <c r="K2851" s="20" t="s">
        <v>10013</v>
      </c>
      <c r="L2851" s="3">
        <v>31</v>
      </c>
      <c r="M2851" s="3" t="s">
        <v>9353</v>
      </c>
      <c r="N2851" s="3" t="str">
        <f>HYPERLINK("http://ictvonline.org/taxonomyHistory.asp?taxnode_id=20165309","ICTVonline=20165309")</f>
        <v>ICTVonline=20165309</v>
      </c>
    </row>
    <row r="2852" spans="1:14" x14ac:dyDescent="0.15">
      <c r="A2852" s="3">
        <v>2851</v>
      </c>
      <c r="B2852" s="1" t="s">
        <v>926</v>
      </c>
      <c r="C2852" s="1" t="s">
        <v>2171</v>
      </c>
      <c r="E2852" s="1" t="s">
        <v>687</v>
      </c>
      <c r="F2852" s="1" t="s">
        <v>5378</v>
      </c>
      <c r="G2852" s="3">
        <v>0</v>
      </c>
      <c r="H2852" s="20" t="s">
        <v>6944</v>
      </c>
      <c r="I2852" s="20" t="s">
        <v>5379</v>
      </c>
      <c r="J2852" s="20" t="s">
        <v>5199</v>
      </c>
      <c r="K2852" s="20" t="s">
        <v>10013</v>
      </c>
      <c r="L2852" s="3">
        <v>30</v>
      </c>
      <c r="M2852" s="3" t="s">
        <v>10301</v>
      </c>
      <c r="N2852" s="3" t="str">
        <f>HYPERLINK("http://ictvonline.org/taxonomyHistory.asp?taxnode_id=20162838","ICTVonline=20162838")</f>
        <v>ICTVonline=20162838</v>
      </c>
    </row>
    <row r="2853" spans="1:14" x14ac:dyDescent="0.15">
      <c r="A2853" s="3">
        <v>2852</v>
      </c>
      <c r="B2853" s="1" t="s">
        <v>926</v>
      </c>
      <c r="C2853" s="1" t="s">
        <v>2171</v>
      </c>
      <c r="E2853" s="1" t="s">
        <v>687</v>
      </c>
      <c r="F2853" s="1" t="s">
        <v>2332</v>
      </c>
      <c r="G2853" s="3">
        <v>0</v>
      </c>
      <c r="J2853" s="20" t="s">
        <v>5199</v>
      </c>
      <c r="K2853" s="20" t="s">
        <v>10013</v>
      </c>
      <c r="L2853" s="3">
        <v>27</v>
      </c>
      <c r="M2853" s="3" t="s">
        <v>10302</v>
      </c>
      <c r="N2853" s="3" t="str">
        <f>HYPERLINK("http://ictvonline.org/taxonomyHistory.asp?taxnode_id=20162839","ICTVonline=20162839")</f>
        <v>ICTVonline=20162839</v>
      </c>
    </row>
    <row r="2854" spans="1:14" x14ac:dyDescent="0.15">
      <c r="A2854" s="3">
        <v>2853</v>
      </c>
      <c r="B2854" s="1" t="s">
        <v>926</v>
      </c>
      <c r="C2854" s="1" t="s">
        <v>2171</v>
      </c>
      <c r="E2854" s="1" t="s">
        <v>687</v>
      </c>
      <c r="F2854" s="1" t="s">
        <v>2333</v>
      </c>
      <c r="G2854" s="3">
        <v>0</v>
      </c>
      <c r="J2854" s="20" t="s">
        <v>5199</v>
      </c>
      <c r="K2854" s="20" t="s">
        <v>10013</v>
      </c>
      <c r="L2854" s="3">
        <v>27</v>
      </c>
      <c r="M2854" s="3" t="s">
        <v>10302</v>
      </c>
      <c r="N2854" s="3" t="str">
        <f>HYPERLINK("http://ictvonline.org/taxonomyHistory.asp?taxnode_id=20162840","ICTVonline=20162840")</f>
        <v>ICTVonline=20162840</v>
      </c>
    </row>
    <row r="2855" spans="1:14" x14ac:dyDescent="0.15">
      <c r="A2855" s="3">
        <v>2854</v>
      </c>
      <c r="B2855" s="1" t="s">
        <v>926</v>
      </c>
      <c r="C2855" s="1" t="s">
        <v>2171</v>
      </c>
      <c r="E2855" s="1" t="s">
        <v>687</v>
      </c>
      <c r="F2855" s="1" t="s">
        <v>2334</v>
      </c>
      <c r="G2855" s="3">
        <v>0</v>
      </c>
      <c r="J2855" s="20" t="s">
        <v>5199</v>
      </c>
      <c r="K2855" s="20" t="s">
        <v>10013</v>
      </c>
      <c r="L2855" s="3">
        <v>27</v>
      </c>
      <c r="M2855" s="3" t="s">
        <v>10302</v>
      </c>
      <c r="N2855" s="3" t="str">
        <f>HYPERLINK("http://ictvonline.org/taxonomyHistory.asp?taxnode_id=20162841","ICTVonline=20162841")</f>
        <v>ICTVonline=20162841</v>
      </c>
    </row>
    <row r="2856" spans="1:14" x14ac:dyDescent="0.15">
      <c r="A2856" s="3">
        <v>2855</v>
      </c>
      <c r="B2856" s="1" t="s">
        <v>926</v>
      </c>
      <c r="C2856" s="1" t="s">
        <v>2171</v>
      </c>
      <c r="E2856" s="1" t="s">
        <v>687</v>
      </c>
      <c r="F2856" s="1" t="s">
        <v>2335</v>
      </c>
      <c r="G2856" s="3">
        <v>0</v>
      </c>
      <c r="J2856" s="20" t="s">
        <v>5199</v>
      </c>
      <c r="K2856" s="20" t="s">
        <v>10013</v>
      </c>
      <c r="L2856" s="3">
        <v>27</v>
      </c>
      <c r="M2856" s="3" t="s">
        <v>10302</v>
      </c>
      <c r="N2856" s="3" t="str">
        <f>HYPERLINK("http://ictvonline.org/taxonomyHistory.asp?taxnode_id=20162842","ICTVonline=20162842")</f>
        <v>ICTVonline=20162842</v>
      </c>
    </row>
    <row r="2857" spans="1:14" x14ac:dyDescent="0.15">
      <c r="A2857" s="3">
        <v>2856</v>
      </c>
      <c r="B2857" s="1" t="s">
        <v>926</v>
      </c>
      <c r="C2857" s="1" t="s">
        <v>2171</v>
      </c>
      <c r="E2857" s="1" t="s">
        <v>687</v>
      </c>
      <c r="F2857" s="1" t="s">
        <v>2336</v>
      </c>
      <c r="G2857" s="3">
        <v>0</v>
      </c>
      <c r="J2857" s="20" t="s">
        <v>5199</v>
      </c>
      <c r="K2857" s="20" t="s">
        <v>10013</v>
      </c>
      <c r="L2857" s="3">
        <v>27</v>
      </c>
      <c r="M2857" s="3" t="s">
        <v>10302</v>
      </c>
      <c r="N2857" s="3" t="str">
        <f>HYPERLINK("http://ictvonline.org/taxonomyHistory.asp?taxnode_id=20162843","ICTVonline=20162843")</f>
        <v>ICTVonline=20162843</v>
      </c>
    </row>
    <row r="2858" spans="1:14" x14ac:dyDescent="0.15">
      <c r="A2858" s="3">
        <v>2857</v>
      </c>
      <c r="B2858" s="1" t="s">
        <v>926</v>
      </c>
      <c r="C2858" s="1" t="s">
        <v>2171</v>
      </c>
      <c r="E2858" s="1" t="s">
        <v>687</v>
      </c>
      <c r="F2858" s="1" t="s">
        <v>2337</v>
      </c>
      <c r="G2858" s="3">
        <v>0</v>
      </c>
      <c r="J2858" s="20" t="s">
        <v>5199</v>
      </c>
      <c r="K2858" s="20" t="s">
        <v>10013</v>
      </c>
      <c r="L2858" s="3">
        <v>27</v>
      </c>
      <c r="M2858" s="3" t="s">
        <v>10302</v>
      </c>
      <c r="N2858" s="3" t="str">
        <f>HYPERLINK("http://ictvonline.org/taxonomyHistory.asp?taxnode_id=20162844","ICTVonline=20162844")</f>
        <v>ICTVonline=20162844</v>
      </c>
    </row>
    <row r="2859" spans="1:14" x14ac:dyDescent="0.15">
      <c r="A2859" s="3">
        <v>2858</v>
      </c>
      <c r="B2859" s="1" t="s">
        <v>926</v>
      </c>
      <c r="C2859" s="1" t="s">
        <v>2171</v>
      </c>
      <c r="E2859" s="1" t="s">
        <v>687</v>
      </c>
      <c r="F2859" s="1" t="s">
        <v>1532</v>
      </c>
      <c r="G2859" s="3">
        <v>0</v>
      </c>
      <c r="J2859" s="20" t="s">
        <v>5199</v>
      </c>
      <c r="K2859" s="20" t="s">
        <v>10016</v>
      </c>
      <c r="L2859" s="3">
        <v>16</v>
      </c>
      <c r="M2859" s="3" t="s">
        <v>10237</v>
      </c>
      <c r="N2859" s="3" t="str">
        <f>HYPERLINK("http://ictvonline.org/taxonomyHistory.asp?taxnode_id=20162845","ICTVonline=20162845")</f>
        <v>ICTVonline=20162845</v>
      </c>
    </row>
    <row r="2860" spans="1:14" x14ac:dyDescent="0.15">
      <c r="A2860" s="3">
        <v>2859</v>
      </c>
      <c r="B2860" s="1" t="s">
        <v>926</v>
      </c>
      <c r="C2860" s="1" t="s">
        <v>2171</v>
      </c>
      <c r="E2860" s="1" t="s">
        <v>687</v>
      </c>
      <c r="F2860" s="1" t="s">
        <v>2338</v>
      </c>
      <c r="G2860" s="3">
        <v>0</v>
      </c>
      <c r="J2860" s="20" t="s">
        <v>5199</v>
      </c>
      <c r="K2860" s="20" t="s">
        <v>10013</v>
      </c>
      <c r="L2860" s="3">
        <v>27</v>
      </c>
      <c r="M2860" s="3" t="s">
        <v>10302</v>
      </c>
      <c r="N2860" s="3" t="str">
        <f>HYPERLINK("http://ictvonline.org/taxonomyHistory.asp?taxnode_id=20162846","ICTVonline=20162846")</f>
        <v>ICTVonline=20162846</v>
      </c>
    </row>
    <row r="2861" spans="1:14" x14ac:dyDescent="0.15">
      <c r="A2861" s="3">
        <v>2860</v>
      </c>
      <c r="B2861" s="1" t="s">
        <v>926</v>
      </c>
      <c r="C2861" s="1" t="s">
        <v>2171</v>
      </c>
      <c r="E2861" s="1" t="s">
        <v>687</v>
      </c>
      <c r="F2861" s="1" t="s">
        <v>2339</v>
      </c>
      <c r="G2861" s="3">
        <v>0</v>
      </c>
      <c r="J2861" s="20" t="s">
        <v>5199</v>
      </c>
      <c r="K2861" s="20" t="s">
        <v>10013</v>
      </c>
      <c r="L2861" s="3">
        <v>27</v>
      </c>
      <c r="M2861" s="3" t="s">
        <v>10302</v>
      </c>
      <c r="N2861" s="3" t="str">
        <f>HYPERLINK("http://ictvonline.org/taxonomyHistory.asp?taxnode_id=20162847","ICTVonline=20162847")</f>
        <v>ICTVonline=20162847</v>
      </c>
    </row>
    <row r="2862" spans="1:14" x14ac:dyDescent="0.15">
      <c r="A2862" s="3">
        <v>2861</v>
      </c>
      <c r="B2862" s="1" t="s">
        <v>926</v>
      </c>
      <c r="C2862" s="1" t="s">
        <v>2171</v>
      </c>
      <c r="E2862" s="1" t="s">
        <v>687</v>
      </c>
      <c r="F2862" s="1" t="s">
        <v>1533</v>
      </c>
      <c r="G2862" s="3">
        <v>0</v>
      </c>
      <c r="J2862" s="20" t="s">
        <v>5199</v>
      </c>
      <c r="K2862" s="20" t="s">
        <v>10016</v>
      </c>
      <c r="L2862" s="3">
        <v>16</v>
      </c>
      <c r="M2862" s="3" t="s">
        <v>10237</v>
      </c>
      <c r="N2862" s="3" t="str">
        <f>HYPERLINK("http://ictvonline.org/taxonomyHistory.asp?taxnode_id=20162848","ICTVonline=20162848")</f>
        <v>ICTVonline=20162848</v>
      </c>
    </row>
    <row r="2863" spans="1:14" x14ac:dyDescent="0.15">
      <c r="A2863" s="3">
        <v>2862</v>
      </c>
      <c r="B2863" s="1" t="s">
        <v>926</v>
      </c>
      <c r="C2863" s="1" t="s">
        <v>2171</v>
      </c>
      <c r="E2863" s="1" t="s">
        <v>687</v>
      </c>
      <c r="F2863" s="1" t="s">
        <v>2340</v>
      </c>
      <c r="G2863" s="3">
        <v>0</v>
      </c>
      <c r="J2863" s="20" t="s">
        <v>5199</v>
      </c>
      <c r="K2863" s="20" t="s">
        <v>10013</v>
      </c>
      <c r="L2863" s="3">
        <v>27</v>
      </c>
      <c r="M2863" s="3" t="s">
        <v>10302</v>
      </c>
      <c r="N2863" s="3" t="str">
        <f>HYPERLINK("http://ictvonline.org/taxonomyHistory.asp?taxnode_id=20162849","ICTVonline=20162849")</f>
        <v>ICTVonline=20162849</v>
      </c>
    </row>
    <row r="2864" spans="1:14" x14ac:dyDescent="0.15">
      <c r="A2864" s="3">
        <v>2863</v>
      </c>
      <c r="B2864" s="1" t="s">
        <v>926</v>
      </c>
      <c r="C2864" s="1" t="s">
        <v>2171</v>
      </c>
      <c r="E2864" s="1" t="s">
        <v>687</v>
      </c>
      <c r="F2864" s="1" t="s">
        <v>576</v>
      </c>
      <c r="G2864" s="3">
        <v>0</v>
      </c>
      <c r="J2864" s="20" t="s">
        <v>5199</v>
      </c>
      <c r="K2864" s="20" t="s">
        <v>10013</v>
      </c>
      <c r="L2864" s="3">
        <v>25</v>
      </c>
      <c r="M2864" s="3" t="s">
        <v>10303</v>
      </c>
      <c r="N2864" s="3" t="str">
        <f>HYPERLINK("http://ictvonline.org/taxonomyHistory.asp?taxnode_id=20162850","ICTVonline=20162850")</f>
        <v>ICTVonline=20162850</v>
      </c>
    </row>
    <row r="2865" spans="1:14" x14ac:dyDescent="0.15">
      <c r="A2865" s="3">
        <v>2864</v>
      </c>
      <c r="B2865" s="1" t="s">
        <v>926</v>
      </c>
      <c r="C2865" s="1" t="s">
        <v>2171</v>
      </c>
      <c r="E2865" s="1" t="s">
        <v>687</v>
      </c>
      <c r="F2865" s="1" t="s">
        <v>2341</v>
      </c>
      <c r="G2865" s="3">
        <v>0</v>
      </c>
      <c r="J2865" s="20" t="s">
        <v>5199</v>
      </c>
      <c r="K2865" s="20" t="s">
        <v>10013</v>
      </c>
      <c r="L2865" s="3">
        <v>27</v>
      </c>
      <c r="M2865" s="3" t="s">
        <v>10302</v>
      </c>
      <c r="N2865" s="3" t="str">
        <f>HYPERLINK("http://ictvonline.org/taxonomyHistory.asp?taxnode_id=20162851","ICTVonline=20162851")</f>
        <v>ICTVonline=20162851</v>
      </c>
    </row>
    <row r="2866" spans="1:14" x14ac:dyDescent="0.15">
      <c r="A2866" s="3">
        <v>2865</v>
      </c>
      <c r="B2866" s="1" t="s">
        <v>926</v>
      </c>
      <c r="C2866" s="1" t="s">
        <v>2171</v>
      </c>
      <c r="E2866" s="1" t="s">
        <v>687</v>
      </c>
      <c r="F2866" s="1" t="s">
        <v>1534</v>
      </c>
      <c r="G2866" s="3">
        <v>1</v>
      </c>
      <c r="J2866" s="20" t="s">
        <v>5199</v>
      </c>
      <c r="K2866" s="20" t="s">
        <v>10016</v>
      </c>
      <c r="L2866" s="3">
        <v>16</v>
      </c>
      <c r="M2866" s="3" t="s">
        <v>10237</v>
      </c>
      <c r="N2866" s="3" t="str">
        <f>HYPERLINK("http://ictvonline.org/taxonomyHistory.asp?taxnode_id=20162852","ICTVonline=20162852")</f>
        <v>ICTVonline=20162852</v>
      </c>
    </row>
    <row r="2867" spans="1:14" x14ac:dyDescent="0.15">
      <c r="A2867" s="3">
        <v>2866</v>
      </c>
      <c r="B2867" s="1" t="s">
        <v>926</v>
      </c>
      <c r="C2867" s="1" t="s">
        <v>2171</v>
      </c>
      <c r="E2867" s="1" t="s">
        <v>687</v>
      </c>
      <c r="F2867" s="1" t="s">
        <v>378</v>
      </c>
      <c r="G2867" s="3">
        <v>0</v>
      </c>
      <c r="J2867" s="20" t="s">
        <v>5199</v>
      </c>
      <c r="K2867" s="20" t="s">
        <v>10016</v>
      </c>
      <c r="L2867" s="3">
        <v>16</v>
      </c>
      <c r="M2867" s="3" t="s">
        <v>10237</v>
      </c>
      <c r="N2867" s="3" t="str">
        <f>HYPERLINK("http://ictvonline.org/taxonomyHistory.asp?taxnode_id=20162853","ICTVonline=20162853")</f>
        <v>ICTVonline=20162853</v>
      </c>
    </row>
    <row r="2868" spans="1:14" x14ac:dyDescent="0.15">
      <c r="A2868" s="3">
        <v>2867</v>
      </c>
      <c r="B2868" s="1" t="s">
        <v>926</v>
      </c>
      <c r="C2868" s="1" t="s">
        <v>2171</v>
      </c>
      <c r="E2868" s="1" t="s">
        <v>687</v>
      </c>
      <c r="F2868" s="1" t="s">
        <v>2342</v>
      </c>
      <c r="G2868" s="3">
        <v>0</v>
      </c>
      <c r="J2868" s="20" t="s">
        <v>5199</v>
      </c>
      <c r="K2868" s="20" t="s">
        <v>10013</v>
      </c>
      <c r="L2868" s="3">
        <v>27</v>
      </c>
      <c r="M2868" s="3" t="s">
        <v>10302</v>
      </c>
      <c r="N2868" s="3" t="str">
        <f>HYPERLINK("http://ictvonline.org/taxonomyHistory.asp?taxnode_id=20162854","ICTVonline=20162854")</f>
        <v>ICTVonline=20162854</v>
      </c>
    </row>
    <row r="2869" spans="1:14" x14ac:dyDescent="0.15">
      <c r="A2869" s="3">
        <v>2868</v>
      </c>
      <c r="B2869" s="1" t="s">
        <v>926</v>
      </c>
      <c r="C2869" s="1" t="s">
        <v>2171</v>
      </c>
      <c r="E2869" s="1" t="s">
        <v>687</v>
      </c>
      <c r="F2869" s="1" t="s">
        <v>379</v>
      </c>
      <c r="G2869" s="3">
        <v>0</v>
      </c>
      <c r="J2869" s="20" t="s">
        <v>5199</v>
      </c>
      <c r="K2869" s="20" t="s">
        <v>10016</v>
      </c>
      <c r="L2869" s="3">
        <v>16</v>
      </c>
      <c r="M2869" s="3" t="s">
        <v>10237</v>
      </c>
      <c r="N2869" s="3" t="str">
        <f>HYPERLINK("http://ictvonline.org/taxonomyHistory.asp?taxnode_id=20162855","ICTVonline=20162855")</f>
        <v>ICTVonline=20162855</v>
      </c>
    </row>
    <row r="2870" spans="1:14" x14ac:dyDescent="0.15">
      <c r="A2870" s="3">
        <v>2869</v>
      </c>
      <c r="B2870" s="1" t="s">
        <v>926</v>
      </c>
      <c r="C2870" s="1" t="s">
        <v>2171</v>
      </c>
      <c r="E2870" s="1" t="s">
        <v>687</v>
      </c>
      <c r="F2870" s="1" t="s">
        <v>2343</v>
      </c>
      <c r="G2870" s="3">
        <v>0</v>
      </c>
      <c r="J2870" s="20" t="s">
        <v>5199</v>
      </c>
      <c r="K2870" s="20" t="s">
        <v>10013</v>
      </c>
      <c r="L2870" s="3">
        <v>27</v>
      </c>
      <c r="M2870" s="3" t="s">
        <v>10302</v>
      </c>
      <c r="N2870" s="3" t="str">
        <f>HYPERLINK("http://ictvonline.org/taxonomyHistory.asp?taxnode_id=20162856","ICTVonline=20162856")</f>
        <v>ICTVonline=20162856</v>
      </c>
    </row>
    <row r="2871" spans="1:14" x14ac:dyDescent="0.15">
      <c r="A2871" s="3">
        <v>2870</v>
      </c>
      <c r="B2871" s="1" t="s">
        <v>926</v>
      </c>
      <c r="C2871" s="1" t="s">
        <v>2171</v>
      </c>
      <c r="E2871" s="1" t="s">
        <v>687</v>
      </c>
      <c r="F2871" s="1" t="s">
        <v>2344</v>
      </c>
      <c r="G2871" s="3">
        <v>0</v>
      </c>
      <c r="J2871" s="20" t="s">
        <v>5199</v>
      </c>
      <c r="K2871" s="20" t="s">
        <v>10013</v>
      </c>
      <c r="L2871" s="3">
        <v>27</v>
      </c>
      <c r="M2871" s="3" t="s">
        <v>10302</v>
      </c>
      <c r="N2871" s="3" t="str">
        <f>HYPERLINK("http://ictvonline.org/taxonomyHistory.asp?taxnode_id=20162857","ICTVonline=20162857")</f>
        <v>ICTVonline=20162857</v>
      </c>
    </row>
    <row r="2872" spans="1:14" x14ac:dyDescent="0.15">
      <c r="A2872" s="3">
        <v>2871</v>
      </c>
      <c r="B2872" s="1" t="s">
        <v>926</v>
      </c>
      <c r="C2872" s="1" t="s">
        <v>2171</v>
      </c>
      <c r="E2872" s="1" t="s">
        <v>687</v>
      </c>
      <c r="F2872" s="1" t="s">
        <v>2345</v>
      </c>
      <c r="G2872" s="3">
        <v>0</v>
      </c>
      <c r="J2872" s="20" t="s">
        <v>5199</v>
      </c>
      <c r="K2872" s="20" t="s">
        <v>10013</v>
      </c>
      <c r="L2872" s="3">
        <v>27</v>
      </c>
      <c r="M2872" s="3" t="s">
        <v>10302</v>
      </c>
      <c r="N2872" s="3" t="str">
        <f>HYPERLINK("http://ictvonline.org/taxonomyHistory.asp?taxnode_id=20162858","ICTVonline=20162858")</f>
        <v>ICTVonline=20162858</v>
      </c>
    </row>
    <row r="2873" spans="1:14" x14ac:dyDescent="0.15">
      <c r="A2873" s="3">
        <v>2872</v>
      </c>
      <c r="B2873" s="1" t="s">
        <v>926</v>
      </c>
      <c r="C2873" s="1" t="s">
        <v>2171</v>
      </c>
      <c r="E2873" s="1" t="s">
        <v>687</v>
      </c>
      <c r="F2873" s="1" t="s">
        <v>2346</v>
      </c>
      <c r="G2873" s="3">
        <v>0</v>
      </c>
      <c r="J2873" s="20" t="s">
        <v>5199</v>
      </c>
      <c r="K2873" s="20" t="s">
        <v>10013</v>
      </c>
      <c r="L2873" s="3">
        <v>27</v>
      </c>
      <c r="M2873" s="3" t="s">
        <v>10302</v>
      </c>
      <c r="N2873" s="3" t="str">
        <f>HYPERLINK("http://ictvonline.org/taxonomyHistory.asp?taxnode_id=20162859","ICTVonline=20162859")</f>
        <v>ICTVonline=20162859</v>
      </c>
    </row>
    <row r="2874" spans="1:14" x14ac:dyDescent="0.15">
      <c r="A2874" s="3">
        <v>2873</v>
      </c>
      <c r="B2874" s="1" t="s">
        <v>926</v>
      </c>
      <c r="C2874" s="1" t="s">
        <v>2171</v>
      </c>
      <c r="E2874" s="1" t="s">
        <v>687</v>
      </c>
      <c r="F2874" s="1" t="s">
        <v>2347</v>
      </c>
      <c r="G2874" s="3">
        <v>0</v>
      </c>
      <c r="J2874" s="20" t="s">
        <v>5199</v>
      </c>
      <c r="K2874" s="20" t="s">
        <v>10013</v>
      </c>
      <c r="L2874" s="3">
        <v>27</v>
      </c>
      <c r="M2874" s="3" t="s">
        <v>10302</v>
      </c>
      <c r="N2874" s="3" t="str">
        <f>HYPERLINK("http://ictvonline.org/taxonomyHistory.asp?taxnode_id=20162860","ICTVonline=20162860")</f>
        <v>ICTVonline=20162860</v>
      </c>
    </row>
    <row r="2875" spans="1:14" x14ac:dyDescent="0.15">
      <c r="A2875" s="3">
        <v>2874</v>
      </c>
      <c r="B2875" s="1" t="s">
        <v>926</v>
      </c>
      <c r="C2875" s="1" t="s">
        <v>2171</v>
      </c>
      <c r="E2875" s="1" t="s">
        <v>687</v>
      </c>
      <c r="F2875" s="1" t="s">
        <v>380</v>
      </c>
      <c r="G2875" s="3">
        <v>0</v>
      </c>
      <c r="J2875" s="20" t="s">
        <v>5199</v>
      </c>
      <c r="K2875" s="20" t="s">
        <v>10013</v>
      </c>
      <c r="L2875" s="3">
        <v>20</v>
      </c>
      <c r="M2875" s="3" t="s">
        <v>10115</v>
      </c>
      <c r="N2875" s="3" t="str">
        <f>HYPERLINK("http://ictvonline.org/taxonomyHistory.asp?taxnode_id=20162861","ICTVonline=20162861")</f>
        <v>ICTVonline=20162861</v>
      </c>
    </row>
    <row r="2876" spans="1:14" x14ac:dyDescent="0.15">
      <c r="A2876" s="3">
        <v>2875</v>
      </c>
      <c r="B2876" s="1" t="s">
        <v>926</v>
      </c>
      <c r="C2876" s="1" t="s">
        <v>2171</v>
      </c>
      <c r="E2876" s="1" t="s">
        <v>687</v>
      </c>
      <c r="F2876" s="1" t="s">
        <v>381</v>
      </c>
      <c r="G2876" s="3">
        <v>0</v>
      </c>
      <c r="J2876" s="20" t="s">
        <v>5199</v>
      </c>
      <c r="K2876" s="20" t="s">
        <v>10013</v>
      </c>
      <c r="L2876" s="3">
        <v>20</v>
      </c>
      <c r="M2876" s="3" t="s">
        <v>10115</v>
      </c>
      <c r="N2876" s="3" t="str">
        <f>HYPERLINK("http://ictvonline.org/taxonomyHistory.asp?taxnode_id=20162862","ICTVonline=20162862")</f>
        <v>ICTVonline=20162862</v>
      </c>
    </row>
    <row r="2877" spans="1:14" x14ac:dyDescent="0.15">
      <c r="A2877" s="3">
        <v>2876</v>
      </c>
      <c r="B2877" s="1" t="s">
        <v>926</v>
      </c>
      <c r="C2877" s="1" t="s">
        <v>2171</v>
      </c>
      <c r="E2877" s="1" t="s">
        <v>687</v>
      </c>
      <c r="F2877" s="1" t="s">
        <v>382</v>
      </c>
      <c r="G2877" s="3">
        <v>0</v>
      </c>
      <c r="J2877" s="20" t="s">
        <v>5199</v>
      </c>
      <c r="K2877" s="20" t="s">
        <v>10016</v>
      </c>
      <c r="L2877" s="3">
        <v>16</v>
      </c>
      <c r="M2877" s="3" t="s">
        <v>10237</v>
      </c>
      <c r="N2877" s="3" t="str">
        <f>HYPERLINK("http://ictvonline.org/taxonomyHistory.asp?taxnode_id=20162863","ICTVonline=20162863")</f>
        <v>ICTVonline=20162863</v>
      </c>
    </row>
    <row r="2878" spans="1:14" x14ac:dyDescent="0.15">
      <c r="A2878" s="3">
        <v>2877</v>
      </c>
      <c r="B2878" s="1" t="s">
        <v>926</v>
      </c>
      <c r="C2878" s="1" t="s">
        <v>2171</v>
      </c>
      <c r="E2878" s="1" t="s">
        <v>687</v>
      </c>
      <c r="F2878" s="1" t="s">
        <v>5380</v>
      </c>
      <c r="G2878" s="3">
        <v>0</v>
      </c>
      <c r="H2878" s="20" t="s">
        <v>6945</v>
      </c>
      <c r="I2878" s="20" t="s">
        <v>5381</v>
      </c>
      <c r="J2878" s="20" t="s">
        <v>5199</v>
      </c>
      <c r="K2878" s="20" t="s">
        <v>10013</v>
      </c>
      <c r="L2878" s="3">
        <v>30</v>
      </c>
      <c r="M2878" s="3" t="s">
        <v>10301</v>
      </c>
      <c r="N2878" s="3" t="str">
        <f>HYPERLINK("http://ictvonline.org/taxonomyHistory.asp?taxnode_id=20162864","ICTVonline=20162864")</f>
        <v>ICTVonline=20162864</v>
      </c>
    </row>
    <row r="2879" spans="1:14" x14ac:dyDescent="0.15">
      <c r="A2879" s="3">
        <v>2878</v>
      </c>
      <c r="B2879" s="1" t="s">
        <v>926</v>
      </c>
      <c r="C2879" s="1" t="s">
        <v>2171</v>
      </c>
      <c r="E2879" s="1" t="s">
        <v>687</v>
      </c>
      <c r="F2879" s="1" t="s">
        <v>5382</v>
      </c>
      <c r="G2879" s="3">
        <v>0</v>
      </c>
      <c r="H2879" s="20" t="s">
        <v>6946</v>
      </c>
      <c r="I2879" s="20" t="s">
        <v>5383</v>
      </c>
      <c r="J2879" s="20" t="s">
        <v>5199</v>
      </c>
      <c r="K2879" s="20" t="s">
        <v>10013</v>
      </c>
      <c r="L2879" s="3">
        <v>30</v>
      </c>
      <c r="M2879" s="3" t="s">
        <v>10301</v>
      </c>
      <c r="N2879" s="3" t="str">
        <f>HYPERLINK("http://ictvonline.org/taxonomyHistory.asp?taxnode_id=20162865","ICTVonline=20162865")</f>
        <v>ICTVonline=20162865</v>
      </c>
    </row>
    <row r="2880" spans="1:14" x14ac:dyDescent="0.15">
      <c r="A2880" s="3">
        <v>2879</v>
      </c>
      <c r="B2880" s="1" t="s">
        <v>926</v>
      </c>
      <c r="C2880" s="1" t="s">
        <v>2171</v>
      </c>
      <c r="E2880" s="1" t="s">
        <v>687</v>
      </c>
      <c r="F2880" s="1" t="s">
        <v>383</v>
      </c>
      <c r="G2880" s="3">
        <v>0</v>
      </c>
      <c r="J2880" s="20" t="s">
        <v>5199</v>
      </c>
      <c r="K2880" s="20" t="s">
        <v>10016</v>
      </c>
      <c r="L2880" s="3">
        <v>16</v>
      </c>
      <c r="M2880" s="3" t="s">
        <v>10237</v>
      </c>
      <c r="N2880" s="3" t="str">
        <f>HYPERLINK("http://ictvonline.org/taxonomyHistory.asp?taxnode_id=20162866","ICTVonline=20162866")</f>
        <v>ICTVonline=20162866</v>
      </c>
    </row>
    <row r="2881" spans="1:14" x14ac:dyDescent="0.15">
      <c r="A2881" s="3">
        <v>2880</v>
      </c>
      <c r="B2881" s="1" t="s">
        <v>926</v>
      </c>
      <c r="C2881" s="1" t="s">
        <v>2171</v>
      </c>
      <c r="E2881" s="1" t="s">
        <v>687</v>
      </c>
      <c r="F2881" s="1" t="s">
        <v>577</v>
      </c>
      <c r="G2881" s="3">
        <v>0</v>
      </c>
      <c r="J2881" s="20" t="s">
        <v>5199</v>
      </c>
      <c r="K2881" s="20" t="s">
        <v>10013</v>
      </c>
      <c r="L2881" s="3">
        <v>25</v>
      </c>
      <c r="M2881" s="3" t="s">
        <v>10303</v>
      </c>
      <c r="N2881" s="3" t="str">
        <f>HYPERLINK("http://ictvonline.org/taxonomyHistory.asp?taxnode_id=20162867","ICTVonline=20162867")</f>
        <v>ICTVonline=20162867</v>
      </c>
    </row>
    <row r="2882" spans="1:14" x14ac:dyDescent="0.15">
      <c r="A2882" s="3">
        <v>2881</v>
      </c>
      <c r="B2882" s="1" t="s">
        <v>926</v>
      </c>
      <c r="C2882" s="1" t="s">
        <v>2171</v>
      </c>
      <c r="E2882" s="1" t="s">
        <v>687</v>
      </c>
      <c r="F2882" s="1" t="s">
        <v>2348</v>
      </c>
      <c r="G2882" s="3">
        <v>0</v>
      </c>
      <c r="J2882" s="20" t="s">
        <v>5199</v>
      </c>
      <c r="K2882" s="20" t="s">
        <v>10013</v>
      </c>
      <c r="L2882" s="3">
        <v>27</v>
      </c>
      <c r="M2882" s="3" t="s">
        <v>10302</v>
      </c>
      <c r="N2882" s="3" t="str">
        <f>HYPERLINK("http://ictvonline.org/taxonomyHistory.asp?taxnode_id=20162868","ICTVonline=20162868")</f>
        <v>ICTVonline=20162868</v>
      </c>
    </row>
    <row r="2883" spans="1:14" x14ac:dyDescent="0.15">
      <c r="A2883" s="3">
        <v>2882</v>
      </c>
      <c r="B2883" s="1" t="s">
        <v>926</v>
      </c>
      <c r="C2883" s="1" t="s">
        <v>2171</v>
      </c>
      <c r="E2883" s="1" t="s">
        <v>687</v>
      </c>
      <c r="F2883" s="1" t="s">
        <v>384</v>
      </c>
      <c r="G2883" s="3">
        <v>0</v>
      </c>
      <c r="J2883" s="20" t="s">
        <v>5199</v>
      </c>
      <c r="K2883" s="20" t="s">
        <v>10016</v>
      </c>
      <c r="L2883" s="3">
        <v>16</v>
      </c>
      <c r="M2883" s="3" t="s">
        <v>10237</v>
      </c>
      <c r="N2883" s="3" t="str">
        <f>HYPERLINK("http://ictvonline.org/taxonomyHistory.asp?taxnode_id=20162869","ICTVonline=20162869")</f>
        <v>ICTVonline=20162869</v>
      </c>
    </row>
    <row r="2884" spans="1:14" x14ac:dyDescent="0.15">
      <c r="A2884" s="3">
        <v>2883</v>
      </c>
      <c r="B2884" s="1" t="s">
        <v>926</v>
      </c>
      <c r="C2884" s="1" t="s">
        <v>2171</v>
      </c>
      <c r="E2884" s="1" t="s">
        <v>385</v>
      </c>
      <c r="F2884" s="1" t="s">
        <v>386</v>
      </c>
      <c r="G2884" s="3">
        <v>1</v>
      </c>
      <c r="J2884" s="20" t="s">
        <v>5199</v>
      </c>
      <c r="K2884" s="20" t="s">
        <v>10076</v>
      </c>
      <c r="L2884" s="3">
        <v>19</v>
      </c>
      <c r="M2884" s="3" t="s">
        <v>10304</v>
      </c>
      <c r="N2884" s="3" t="str">
        <f>HYPERLINK("http://ictvonline.org/taxonomyHistory.asp?taxnode_id=20162871","ICTVonline=20162871")</f>
        <v>ICTVonline=20162871</v>
      </c>
    </row>
    <row r="2885" spans="1:14" x14ac:dyDescent="0.15">
      <c r="A2885" s="3">
        <v>2884</v>
      </c>
      <c r="B2885" s="1" t="s">
        <v>926</v>
      </c>
      <c r="C2885" s="1" t="s">
        <v>2171</v>
      </c>
      <c r="E2885" s="1" t="s">
        <v>2349</v>
      </c>
      <c r="F2885" s="1" t="s">
        <v>2350</v>
      </c>
      <c r="G2885" s="3">
        <v>1</v>
      </c>
      <c r="J2885" s="20" t="s">
        <v>5199</v>
      </c>
      <c r="K2885" s="20" t="s">
        <v>10072</v>
      </c>
      <c r="L2885" s="3">
        <v>27</v>
      </c>
      <c r="M2885" s="3" t="s">
        <v>10286</v>
      </c>
      <c r="N2885" s="3" t="str">
        <f>HYPERLINK("http://ictvonline.org/taxonomyHistory.asp?taxnode_id=20162873","ICTVonline=20162873")</f>
        <v>ICTVonline=20162873</v>
      </c>
    </row>
    <row r="2886" spans="1:14" x14ac:dyDescent="0.15">
      <c r="A2886" s="3">
        <v>2885</v>
      </c>
      <c r="B2886" s="1" t="s">
        <v>926</v>
      </c>
      <c r="C2886" s="1" t="s">
        <v>2171</v>
      </c>
      <c r="E2886" s="1" t="s">
        <v>926</v>
      </c>
      <c r="F2886" s="1" t="s">
        <v>9367</v>
      </c>
      <c r="G2886" s="3">
        <v>0</v>
      </c>
      <c r="H2886" s="20" t="s">
        <v>9368</v>
      </c>
      <c r="I2886" s="20" t="s">
        <v>9369</v>
      </c>
      <c r="J2886" s="20" t="s">
        <v>5199</v>
      </c>
      <c r="K2886" s="20" t="s">
        <v>10013</v>
      </c>
      <c r="L2886" s="3">
        <v>31</v>
      </c>
      <c r="M2886" s="3" t="s">
        <v>9353</v>
      </c>
      <c r="N2886" s="3" t="str">
        <f>HYPERLINK("http://ictvonline.org/taxonomyHistory.asp?taxnode_id=20165310","ICTVonline=20165310")</f>
        <v>ICTVonline=20165310</v>
      </c>
    </row>
    <row r="2887" spans="1:14" x14ac:dyDescent="0.15">
      <c r="A2887" s="3">
        <v>2886</v>
      </c>
      <c r="B2887" s="1" t="s">
        <v>926</v>
      </c>
      <c r="C2887" s="1" t="s">
        <v>2171</v>
      </c>
      <c r="E2887" s="1" t="s">
        <v>926</v>
      </c>
      <c r="F2887" s="1" t="s">
        <v>9370</v>
      </c>
      <c r="G2887" s="3">
        <v>0</v>
      </c>
      <c r="H2887" s="20" t="s">
        <v>9371</v>
      </c>
      <c r="I2887" s="20" t="s">
        <v>9372</v>
      </c>
      <c r="J2887" s="20" t="s">
        <v>5199</v>
      </c>
      <c r="K2887" s="20" t="s">
        <v>10013</v>
      </c>
      <c r="L2887" s="3">
        <v>31</v>
      </c>
      <c r="M2887" s="3" t="s">
        <v>9353</v>
      </c>
      <c r="N2887" s="3" t="str">
        <f>HYPERLINK("http://ictvonline.org/taxonomyHistory.asp?taxnode_id=20165311","ICTVonline=20165311")</f>
        <v>ICTVonline=20165311</v>
      </c>
    </row>
    <row r="2888" spans="1:14" x14ac:dyDescent="0.15">
      <c r="A2888" s="3">
        <v>2887</v>
      </c>
      <c r="B2888" s="1" t="s">
        <v>926</v>
      </c>
      <c r="C2888" s="1" t="s">
        <v>5384</v>
      </c>
      <c r="E2888" s="1" t="s">
        <v>5385</v>
      </c>
      <c r="F2888" s="1" t="s">
        <v>9373</v>
      </c>
      <c r="G2888" s="3">
        <v>0</v>
      </c>
      <c r="H2888" s="20" t="s">
        <v>9374</v>
      </c>
      <c r="I2888" s="20" t="s">
        <v>9375</v>
      </c>
      <c r="J2888" s="20" t="s">
        <v>5199</v>
      </c>
      <c r="K2888" s="20" t="s">
        <v>10013</v>
      </c>
      <c r="L2888" s="3">
        <v>31</v>
      </c>
      <c r="M2888" s="3" t="s">
        <v>9376</v>
      </c>
      <c r="N2888" s="3" t="str">
        <f>HYPERLINK("http://ictvonline.org/taxonomyHistory.asp?taxnode_id=20165312","ICTVonline=20165312")</f>
        <v>ICTVonline=20165312</v>
      </c>
    </row>
    <row r="2889" spans="1:14" x14ac:dyDescent="0.15">
      <c r="A2889" s="3">
        <v>2888</v>
      </c>
      <c r="B2889" s="1" t="s">
        <v>926</v>
      </c>
      <c r="C2889" s="1" t="s">
        <v>5384</v>
      </c>
      <c r="E2889" s="1" t="s">
        <v>5385</v>
      </c>
      <c r="F2889" s="1" t="s">
        <v>9377</v>
      </c>
      <c r="G2889" s="3">
        <v>0</v>
      </c>
      <c r="H2889" s="20" t="s">
        <v>9378</v>
      </c>
      <c r="I2889" s="20" t="s">
        <v>9379</v>
      </c>
      <c r="J2889" s="20" t="s">
        <v>5199</v>
      </c>
      <c r="K2889" s="20" t="s">
        <v>10013</v>
      </c>
      <c r="L2889" s="3">
        <v>31</v>
      </c>
      <c r="M2889" s="3" t="s">
        <v>9376</v>
      </c>
      <c r="N2889" s="3" t="str">
        <f>HYPERLINK("http://ictvonline.org/taxonomyHistory.asp?taxnode_id=20165313","ICTVonline=20165313")</f>
        <v>ICTVonline=20165313</v>
      </c>
    </row>
    <row r="2890" spans="1:14" x14ac:dyDescent="0.15">
      <c r="A2890" s="3">
        <v>2889</v>
      </c>
      <c r="B2890" s="1" t="s">
        <v>926</v>
      </c>
      <c r="C2890" s="1" t="s">
        <v>5384</v>
      </c>
      <c r="E2890" s="1" t="s">
        <v>5385</v>
      </c>
      <c r="F2890" s="1" t="s">
        <v>9380</v>
      </c>
      <c r="G2890" s="3">
        <v>0</v>
      </c>
      <c r="H2890" s="20" t="s">
        <v>9381</v>
      </c>
      <c r="I2890" s="20" t="s">
        <v>9382</v>
      </c>
      <c r="J2890" s="20" t="s">
        <v>5199</v>
      </c>
      <c r="K2890" s="20" t="s">
        <v>10013</v>
      </c>
      <c r="L2890" s="3">
        <v>31</v>
      </c>
      <c r="M2890" s="3" t="s">
        <v>9376</v>
      </c>
      <c r="N2890" s="3" t="str">
        <f>HYPERLINK("http://ictvonline.org/taxonomyHistory.asp?taxnode_id=20165314","ICTVonline=20165314")</f>
        <v>ICTVonline=20165314</v>
      </c>
    </row>
    <row r="2891" spans="1:14" x14ac:dyDescent="0.15">
      <c r="A2891" s="3">
        <v>2890</v>
      </c>
      <c r="B2891" s="1" t="s">
        <v>926</v>
      </c>
      <c r="C2891" s="1" t="s">
        <v>5384</v>
      </c>
      <c r="E2891" s="1" t="s">
        <v>5385</v>
      </c>
      <c r="F2891" s="1" t="s">
        <v>9383</v>
      </c>
      <c r="G2891" s="3">
        <v>0</v>
      </c>
      <c r="H2891" s="20" t="s">
        <v>9384</v>
      </c>
      <c r="I2891" s="20" t="s">
        <v>9385</v>
      </c>
      <c r="J2891" s="20" t="s">
        <v>5199</v>
      </c>
      <c r="K2891" s="20" t="s">
        <v>10013</v>
      </c>
      <c r="L2891" s="3">
        <v>31</v>
      </c>
      <c r="M2891" s="3" t="s">
        <v>9376</v>
      </c>
      <c r="N2891" s="3" t="str">
        <f>HYPERLINK("http://ictvonline.org/taxonomyHistory.asp?taxnode_id=20165315","ICTVonline=20165315")</f>
        <v>ICTVonline=20165315</v>
      </c>
    </row>
    <row r="2892" spans="1:14" x14ac:dyDescent="0.15">
      <c r="A2892" s="3">
        <v>2891</v>
      </c>
      <c r="B2892" s="1" t="s">
        <v>926</v>
      </c>
      <c r="C2892" s="1" t="s">
        <v>5384</v>
      </c>
      <c r="E2892" s="1" t="s">
        <v>5385</v>
      </c>
      <c r="F2892" s="1" t="s">
        <v>9386</v>
      </c>
      <c r="G2892" s="3">
        <v>0</v>
      </c>
      <c r="H2892" s="20" t="s">
        <v>9387</v>
      </c>
      <c r="I2892" s="20" t="s">
        <v>9388</v>
      </c>
      <c r="J2892" s="20" t="s">
        <v>5199</v>
      </c>
      <c r="K2892" s="20" t="s">
        <v>10013</v>
      </c>
      <c r="L2892" s="3">
        <v>31</v>
      </c>
      <c r="M2892" s="3" t="s">
        <v>9376</v>
      </c>
      <c r="N2892" s="3" t="str">
        <f>HYPERLINK("http://ictvonline.org/taxonomyHistory.asp?taxnode_id=20165316","ICTVonline=20165316")</f>
        <v>ICTVonline=20165316</v>
      </c>
    </row>
    <row r="2893" spans="1:14" x14ac:dyDescent="0.15">
      <c r="A2893" s="3">
        <v>2892</v>
      </c>
      <c r="B2893" s="1" t="s">
        <v>926</v>
      </c>
      <c r="C2893" s="1" t="s">
        <v>5384</v>
      </c>
      <c r="E2893" s="1" t="s">
        <v>5385</v>
      </c>
      <c r="F2893" s="1" t="s">
        <v>9389</v>
      </c>
      <c r="G2893" s="3">
        <v>0</v>
      </c>
      <c r="H2893" s="20" t="s">
        <v>9390</v>
      </c>
      <c r="I2893" s="20" t="s">
        <v>9391</v>
      </c>
      <c r="J2893" s="20" t="s">
        <v>5199</v>
      </c>
      <c r="K2893" s="20" t="s">
        <v>10013</v>
      </c>
      <c r="L2893" s="3">
        <v>31</v>
      </c>
      <c r="M2893" s="3" t="s">
        <v>9376</v>
      </c>
      <c r="N2893" s="3" t="str">
        <f>HYPERLINK("http://ictvonline.org/taxonomyHistory.asp?taxnode_id=20165317","ICTVonline=20165317")</f>
        <v>ICTVonline=20165317</v>
      </c>
    </row>
    <row r="2894" spans="1:14" x14ac:dyDescent="0.15">
      <c r="A2894" s="3">
        <v>2893</v>
      </c>
      <c r="B2894" s="1" t="s">
        <v>926</v>
      </c>
      <c r="C2894" s="1" t="s">
        <v>5384</v>
      </c>
      <c r="E2894" s="1" t="s">
        <v>5385</v>
      </c>
      <c r="F2894" s="1" t="s">
        <v>9392</v>
      </c>
      <c r="G2894" s="3">
        <v>0</v>
      </c>
      <c r="H2894" s="20" t="s">
        <v>9393</v>
      </c>
      <c r="I2894" s="20" t="s">
        <v>9394</v>
      </c>
      <c r="J2894" s="20" t="s">
        <v>5199</v>
      </c>
      <c r="K2894" s="20" t="s">
        <v>10013</v>
      </c>
      <c r="L2894" s="3">
        <v>31</v>
      </c>
      <c r="M2894" s="3" t="s">
        <v>9376</v>
      </c>
      <c r="N2894" s="3" t="str">
        <f>HYPERLINK("http://ictvonline.org/taxonomyHistory.asp?taxnode_id=20165318","ICTVonline=20165318")</f>
        <v>ICTVonline=20165318</v>
      </c>
    </row>
    <row r="2895" spans="1:14" x14ac:dyDescent="0.15">
      <c r="A2895" s="3">
        <v>2894</v>
      </c>
      <c r="B2895" s="1" t="s">
        <v>926</v>
      </c>
      <c r="C2895" s="1" t="s">
        <v>5384</v>
      </c>
      <c r="E2895" s="1" t="s">
        <v>5385</v>
      </c>
      <c r="F2895" s="1" t="s">
        <v>9395</v>
      </c>
      <c r="G2895" s="3">
        <v>0</v>
      </c>
      <c r="H2895" s="20" t="s">
        <v>9396</v>
      </c>
      <c r="I2895" s="20" t="s">
        <v>9397</v>
      </c>
      <c r="J2895" s="20" t="s">
        <v>5199</v>
      </c>
      <c r="K2895" s="20" t="s">
        <v>10013</v>
      </c>
      <c r="L2895" s="3">
        <v>31</v>
      </c>
      <c r="M2895" s="3" t="s">
        <v>9376</v>
      </c>
      <c r="N2895" s="3" t="str">
        <f>HYPERLINK("http://ictvonline.org/taxonomyHistory.asp?taxnode_id=20165319","ICTVonline=20165319")</f>
        <v>ICTVonline=20165319</v>
      </c>
    </row>
    <row r="2896" spans="1:14" x14ac:dyDescent="0.15">
      <c r="A2896" s="3">
        <v>2895</v>
      </c>
      <c r="B2896" s="1" t="s">
        <v>926</v>
      </c>
      <c r="C2896" s="1" t="s">
        <v>5384</v>
      </c>
      <c r="E2896" s="1" t="s">
        <v>5385</v>
      </c>
      <c r="F2896" s="1" t="s">
        <v>9398</v>
      </c>
      <c r="G2896" s="3">
        <v>0</v>
      </c>
      <c r="H2896" s="20" t="s">
        <v>9399</v>
      </c>
      <c r="I2896" s="20" t="s">
        <v>9400</v>
      </c>
      <c r="J2896" s="20" t="s">
        <v>5199</v>
      </c>
      <c r="K2896" s="20" t="s">
        <v>10013</v>
      </c>
      <c r="L2896" s="3">
        <v>31</v>
      </c>
      <c r="M2896" s="3" t="s">
        <v>9376</v>
      </c>
      <c r="N2896" s="3" t="str">
        <f>HYPERLINK("http://ictvonline.org/taxonomyHistory.asp?taxnode_id=20165320","ICTVonline=20165320")</f>
        <v>ICTVonline=20165320</v>
      </c>
    </row>
    <row r="2897" spans="1:14" x14ac:dyDescent="0.15">
      <c r="A2897" s="3">
        <v>2896</v>
      </c>
      <c r="B2897" s="1" t="s">
        <v>926</v>
      </c>
      <c r="C2897" s="1" t="s">
        <v>5384</v>
      </c>
      <c r="E2897" s="1" t="s">
        <v>5385</v>
      </c>
      <c r="F2897" s="1" t="s">
        <v>9401</v>
      </c>
      <c r="G2897" s="3">
        <v>0</v>
      </c>
      <c r="H2897" s="20" t="s">
        <v>9402</v>
      </c>
      <c r="I2897" s="20" t="s">
        <v>9403</v>
      </c>
      <c r="J2897" s="20" t="s">
        <v>5199</v>
      </c>
      <c r="K2897" s="20" t="s">
        <v>10013</v>
      </c>
      <c r="L2897" s="3">
        <v>31</v>
      </c>
      <c r="M2897" s="3" t="s">
        <v>9376</v>
      </c>
      <c r="N2897" s="3" t="str">
        <f>HYPERLINK("http://ictvonline.org/taxonomyHistory.asp?taxnode_id=20165321","ICTVonline=20165321")</f>
        <v>ICTVonline=20165321</v>
      </c>
    </row>
    <row r="2898" spans="1:14" x14ac:dyDescent="0.15">
      <c r="A2898" s="3">
        <v>2897</v>
      </c>
      <c r="B2898" s="1" t="s">
        <v>926</v>
      </c>
      <c r="C2898" s="1" t="s">
        <v>5384</v>
      </c>
      <c r="E2898" s="1" t="s">
        <v>5385</v>
      </c>
      <c r="F2898" s="1" t="s">
        <v>9404</v>
      </c>
      <c r="G2898" s="3">
        <v>0</v>
      </c>
      <c r="H2898" s="20" t="s">
        <v>9405</v>
      </c>
      <c r="I2898" s="20" t="s">
        <v>9406</v>
      </c>
      <c r="J2898" s="20" t="s">
        <v>5199</v>
      </c>
      <c r="K2898" s="20" t="s">
        <v>10013</v>
      </c>
      <c r="L2898" s="3">
        <v>31</v>
      </c>
      <c r="M2898" s="3" t="s">
        <v>9376</v>
      </c>
      <c r="N2898" s="3" t="str">
        <f>HYPERLINK("http://ictvonline.org/taxonomyHistory.asp?taxnode_id=20165322","ICTVonline=20165322")</f>
        <v>ICTVonline=20165322</v>
      </c>
    </row>
    <row r="2899" spans="1:14" x14ac:dyDescent="0.15">
      <c r="A2899" s="3">
        <v>2898</v>
      </c>
      <c r="B2899" s="1" t="s">
        <v>926</v>
      </c>
      <c r="C2899" s="1" t="s">
        <v>5384</v>
      </c>
      <c r="E2899" s="1" t="s">
        <v>5385</v>
      </c>
      <c r="F2899" s="1" t="s">
        <v>9407</v>
      </c>
      <c r="G2899" s="3">
        <v>0</v>
      </c>
      <c r="H2899" s="20" t="s">
        <v>9408</v>
      </c>
      <c r="I2899" s="20" t="s">
        <v>9409</v>
      </c>
      <c r="J2899" s="20" t="s">
        <v>5199</v>
      </c>
      <c r="K2899" s="20" t="s">
        <v>10013</v>
      </c>
      <c r="L2899" s="3">
        <v>31</v>
      </c>
      <c r="M2899" s="3" t="s">
        <v>9376</v>
      </c>
      <c r="N2899" s="3" t="str">
        <f>HYPERLINK("http://ictvonline.org/taxonomyHistory.asp?taxnode_id=20165323","ICTVonline=20165323")</f>
        <v>ICTVonline=20165323</v>
      </c>
    </row>
    <row r="2900" spans="1:14" x14ac:dyDescent="0.15">
      <c r="A2900" s="3">
        <v>2899</v>
      </c>
      <c r="B2900" s="1" t="s">
        <v>926</v>
      </c>
      <c r="C2900" s="1" t="s">
        <v>5384</v>
      </c>
      <c r="E2900" s="1" t="s">
        <v>5385</v>
      </c>
      <c r="F2900" s="1" t="s">
        <v>9410</v>
      </c>
      <c r="G2900" s="3">
        <v>0</v>
      </c>
      <c r="H2900" s="20" t="s">
        <v>9411</v>
      </c>
      <c r="I2900" s="20" t="s">
        <v>9412</v>
      </c>
      <c r="J2900" s="20" t="s">
        <v>5199</v>
      </c>
      <c r="K2900" s="20" t="s">
        <v>10013</v>
      </c>
      <c r="L2900" s="3">
        <v>31</v>
      </c>
      <c r="M2900" s="3" t="s">
        <v>9376</v>
      </c>
      <c r="N2900" s="3" t="str">
        <f>HYPERLINK("http://ictvonline.org/taxonomyHistory.asp?taxnode_id=20165324","ICTVonline=20165324")</f>
        <v>ICTVonline=20165324</v>
      </c>
    </row>
    <row r="2901" spans="1:14" x14ac:dyDescent="0.15">
      <c r="A2901" s="3">
        <v>2900</v>
      </c>
      <c r="B2901" s="1" t="s">
        <v>926</v>
      </c>
      <c r="C2901" s="1" t="s">
        <v>5384</v>
      </c>
      <c r="E2901" s="1" t="s">
        <v>5385</v>
      </c>
      <c r="F2901" s="1" t="s">
        <v>9413</v>
      </c>
      <c r="G2901" s="3">
        <v>0</v>
      </c>
      <c r="H2901" s="20" t="s">
        <v>9414</v>
      </c>
      <c r="I2901" s="20" t="s">
        <v>9415</v>
      </c>
      <c r="J2901" s="20" t="s">
        <v>5199</v>
      </c>
      <c r="K2901" s="20" t="s">
        <v>10013</v>
      </c>
      <c r="L2901" s="3">
        <v>31</v>
      </c>
      <c r="M2901" s="3" t="s">
        <v>9376</v>
      </c>
      <c r="N2901" s="3" t="str">
        <f>HYPERLINK("http://ictvonline.org/taxonomyHistory.asp?taxnode_id=20165325","ICTVonline=20165325")</f>
        <v>ICTVonline=20165325</v>
      </c>
    </row>
    <row r="2902" spans="1:14" x14ac:dyDescent="0.15">
      <c r="A2902" s="3">
        <v>2901</v>
      </c>
      <c r="B2902" s="1" t="s">
        <v>926</v>
      </c>
      <c r="C2902" s="1" t="s">
        <v>5384</v>
      </c>
      <c r="E2902" s="1" t="s">
        <v>5385</v>
      </c>
      <c r="F2902" s="1" t="s">
        <v>9416</v>
      </c>
      <c r="G2902" s="3">
        <v>0</v>
      </c>
      <c r="H2902" s="20" t="s">
        <v>9417</v>
      </c>
      <c r="I2902" s="20" t="s">
        <v>9418</v>
      </c>
      <c r="J2902" s="20" t="s">
        <v>5199</v>
      </c>
      <c r="K2902" s="20" t="s">
        <v>10013</v>
      </c>
      <c r="L2902" s="3">
        <v>31</v>
      </c>
      <c r="M2902" s="3" t="s">
        <v>9376</v>
      </c>
      <c r="N2902" s="3" t="str">
        <f>HYPERLINK("http://ictvonline.org/taxonomyHistory.asp?taxnode_id=20165326","ICTVonline=20165326")</f>
        <v>ICTVonline=20165326</v>
      </c>
    </row>
    <row r="2903" spans="1:14" x14ac:dyDescent="0.15">
      <c r="A2903" s="3">
        <v>2902</v>
      </c>
      <c r="B2903" s="1" t="s">
        <v>926</v>
      </c>
      <c r="C2903" s="1" t="s">
        <v>5384</v>
      </c>
      <c r="E2903" s="1" t="s">
        <v>5385</v>
      </c>
      <c r="F2903" s="1" t="s">
        <v>9419</v>
      </c>
      <c r="G2903" s="3">
        <v>0</v>
      </c>
      <c r="H2903" s="20" t="s">
        <v>9420</v>
      </c>
      <c r="I2903" s="20" t="s">
        <v>9421</v>
      </c>
      <c r="J2903" s="20" t="s">
        <v>5199</v>
      </c>
      <c r="K2903" s="20" t="s">
        <v>10013</v>
      </c>
      <c r="L2903" s="3">
        <v>31</v>
      </c>
      <c r="M2903" s="3" t="s">
        <v>9376</v>
      </c>
      <c r="N2903" s="3" t="str">
        <f>HYPERLINK("http://ictvonline.org/taxonomyHistory.asp?taxnode_id=20165327","ICTVonline=20165327")</f>
        <v>ICTVonline=20165327</v>
      </c>
    </row>
    <row r="2904" spans="1:14" x14ac:dyDescent="0.15">
      <c r="A2904" s="3">
        <v>2903</v>
      </c>
      <c r="B2904" s="1" t="s">
        <v>926</v>
      </c>
      <c r="C2904" s="1" t="s">
        <v>5384</v>
      </c>
      <c r="E2904" s="1" t="s">
        <v>5385</v>
      </c>
      <c r="F2904" s="1" t="s">
        <v>9422</v>
      </c>
      <c r="G2904" s="3">
        <v>0</v>
      </c>
      <c r="H2904" s="20" t="s">
        <v>9423</v>
      </c>
      <c r="I2904" s="20" t="s">
        <v>9424</v>
      </c>
      <c r="J2904" s="20" t="s">
        <v>5199</v>
      </c>
      <c r="K2904" s="20" t="s">
        <v>10013</v>
      </c>
      <c r="L2904" s="3">
        <v>31</v>
      </c>
      <c r="M2904" s="3" t="s">
        <v>9376</v>
      </c>
      <c r="N2904" s="3" t="str">
        <f>HYPERLINK("http://ictvonline.org/taxonomyHistory.asp?taxnode_id=20165328","ICTVonline=20165328")</f>
        <v>ICTVonline=20165328</v>
      </c>
    </row>
    <row r="2905" spans="1:14" x14ac:dyDescent="0.15">
      <c r="A2905" s="3">
        <v>2904</v>
      </c>
      <c r="B2905" s="1" t="s">
        <v>926</v>
      </c>
      <c r="C2905" s="1" t="s">
        <v>5384</v>
      </c>
      <c r="E2905" s="1" t="s">
        <v>5385</v>
      </c>
      <c r="F2905" s="1" t="s">
        <v>9425</v>
      </c>
      <c r="G2905" s="3">
        <v>0</v>
      </c>
      <c r="H2905" s="20" t="s">
        <v>9426</v>
      </c>
      <c r="I2905" s="20" t="s">
        <v>9427</v>
      </c>
      <c r="J2905" s="20" t="s">
        <v>5199</v>
      </c>
      <c r="K2905" s="20" t="s">
        <v>10013</v>
      </c>
      <c r="L2905" s="3">
        <v>31</v>
      </c>
      <c r="M2905" s="3" t="s">
        <v>9376</v>
      </c>
      <c r="N2905" s="3" t="str">
        <f>HYPERLINK("http://ictvonline.org/taxonomyHistory.asp?taxnode_id=20165329","ICTVonline=20165329")</f>
        <v>ICTVonline=20165329</v>
      </c>
    </row>
    <row r="2906" spans="1:14" x14ac:dyDescent="0.15">
      <c r="A2906" s="3">
        <v>2905</v>
      </c>
      <c r="B2906" s="1" t="s">
        <v>926</v>
      </c>
      <c r="C2906" s="1" t="s">
        <v>5384</v>
      </c>
      <c r="E2906" s="1" t="s">
        <v>5385</v>
      </c>
      <c r="F2906" s="1" t="s">
        <v>9428</v>
      </c>
      <c r="G2906" s="3">
        <v>0</v>
      </c>
      <c r="H2906" s="20" t="s">
        <v>9429</v>
      </c>
      <c r="I2906" s="20" t="s">
        <v>9430</v>
      </c>
      <c r="J2906" s="20" t="s">
        <v>5199</v>
      </c>
      <c r="K2906" s="20" t="s">
        <v>10013</v>
      </c>
      <c r="L2906" s="3">
        <v>31</v>
      </c>
      <c r="M2906" s="3" t="s">
        <v>9376</v>
      </c>
      <c r="N2906" s="3" t="str">
        <f>HYPERLINK("http://ictvonline.org/taxonomyHistory.asp?taxnode_id=20165330","ICTVonline=20165330")</f>
        <v>ICTVonline=20165330</v>
      </c>
    </row>
    <row r="2907" spans="1:14" x14ac:dyDescent="0.15">
      <c r="A2907" s="3">
        <v>2906</v>
      </c>
      <c r="B2907" s="1" t="s">
        <v>926</v>
      </c>
      <c r="C2907" s="1" t="s">
        <v>5384</v>
      </c>
      <c r="E2907" s="1" t="s">
        <v>5385</v>
      </c>
      <c r="F2907" s="1" t="s">
        <v>9431</v>
      </c>
      <c r="G2907" s="3">
        <v>0</v>
      </c>
      <c r="H2907" s="20" t="s">
        <v>9432</v>
      </c>
      <c r="I2907" s="20" t="s">
        <v>9433</v>
      </c>
      <c r="J2907" s="20" t="s">
        <v>5199</v>
      </c>
      <c r="K2907" s="20" t="s">
        <v>10013</v>
      </c>
      <c r="L2907" s="3">
        <v>31</v>
      </c>
      <c r="M2907" s="3" t="s">
        <v>9376</v>
      </c>
      <c r="N2907" s="3" t="str">
        <f>HYPERLINK("http://ictvonline.org/taxonomyHistory.asp?taxnode_id=20165331","ICTVonline=20165331")</f>
        <v>ICTVonline=20165331</v>
      </c>
    </row>
    <row r="2908" spans="1:14" x14ac:dyDescent="0.15">
      <c r="A2908" s="3">
        <v>2907</v>
      </c>
      <c r="B2908" s="1" t="s">
        <v>926</v>
      </c>
      <c r="C2908" s="1" t="s">
        <v>5384</v>
      </c>
      <c r="E2908" s="1" t="s">
        <v>5385</v>
      </c>
      <c r="F2908" s="1" t="s">
        <v>9434</v>
      </c>
      <c r="G2908" s="3">
        <v>0</v>
      </c>
      <c r="H2908" s="20" t="s">
        <v>9435</v>
      </c>
      <c r="I2908" s="20" t="s">
        <v>9436</v>
      </c>
      <c r="J2908" s="20" t="s">
        <v>5199</v>
      </c>
      <c r="K2908" s="20" t="s">
        <v>10013</v>
      </c>
      <c r="L2908" s="3">
        <v>31</v>
      </c>
      <c r="M2908" s="3" t="s">
        <v>9376</v>
      </c>
      <c r="N2908" s="3" t="str">
        <f>HYPERLINK("http://ictvonline.org/taxonomyHistory.asp?taxnode_id=20165332","ICTVonline=20165332")</f>
        <v>ICTVonline=20165332</v>
      </c>
    </row>
    <row r="2909" spans="1:14" x14ac:dyDescent="0.15">
      <c r="A2909" s="3">
        <v>2908</v>
      </c>
      <c r="B2909" s="1" t="s">
        <v>926</v>
      </c>
      <c r="C2909" s="1" t="s">
        <v>5384</v>
      </c>
      <c r="E2909" s="1" t="s">
        <v>5385</v>
      </c>
      <c r="F2909" s="1" t="s">
        <v>9437</v>
      </c>
      <c r="G2909" s="3">
        <v>0</v>
      </c>
      <c r="H2909" s="20" t="s">
        <v>9438</v>
      </c>
      <c r="I2909" s="20" t="s">
        <v>9439</v>
      </c>
      <c r="J2909" s="20" t="s">
        <v>5199</v>
      </c>
      <c r="K2909" s="20" t="s">
        <v>10013</v>
      </c>
      <c r="L2909" s="3">
        <v>31</v>
      </c>
      <c r="M2909" s="3" t="s">
        <v>9376</v>
      </c>
      <c r="N2909" s="3" t="str">
        <f>HYPERLINK("http://ictvonline.org/taxonomyHistory.asp?taxnode_id=20165333","ICTVonline=20165333")</f>
        <v>ICTVonline=20165333</v>
      </c>
    </row>
    <row r="2910" spans="1:14" x14ac:dyDescent="0.15">
      <c r="A2910" s="3">
        <v>2909</v>
      </c>
      <c r="B2910" s="1" t="s">
        <v>926</v>
      </c>
      <c r="C2910" s="1" t="s">
        <v>5384</v>
      </c>
      <c r="E2910" s="1" t="s">
        <v>5385</v>
      </c>
      <c r="F2910" s="1" t="s">
        <v>9440</v>
      </c>
      <c r="G2910" s="3">
        <v>0</v>
      </c>
      <c r="H2910" s="20" t="s">
        <v>9441</v>
      </c>
      <c r="I2910" s="20" t="s">
        <v>9442</v>
      </c>
      <c r="J2910" s="20" t="s">
        <v>5199</v>
      </c>
      <c r="K2910" s="20" t="s">
        <v>10013</v>
      </c>
      <c r="L2910" s="3">
        <v>31</v>
      </c>
      <c r="M2910" s="3" t="s">
        <v>9376</v>
      </c>
      <c r="N2910" s="3" t="str">
        <f>HYPERLINK("http://ictvonline.org/taxonomyHistory.asp?taxnode_id=20165334","ICTVonline=20165334")</f>
        <v>ICTVonline=20165334</v>
      </c>
    </row>
    <row r="2911" spans="1:14" x14ac:dyDescent="0.15">
      <c r="A2911" s="3">
        <v>2910</v>
      </c>
      <c r="B2911" s="1" t="s">
        <v>926</v>
      </c>
      <c r="C2911" s="1" t="s">
        <v>5384</v>
      </c>
      <c r="E2911" s="1" t="s">
        <v>5385</v>
      </c>
      <c r="F2911" s="1" t="s">
        <v>9443</v>
      </c>
      <c r="G2911" s="3">
        <v>0</v>
      </c>
      <c r="H2911" s="20" t="s">
        <v>9444</v>
      </c>
      <c r="I2911" s="20" t="s">
        <v>9445</v>
      </c>
      <c r="J2911" s="20" t="s">
        <v>5199</v>
      </c>
      <c r="K2911" s="20" t="s">
        <v>10013</v>
      </c>
      <c r="L2911" s="3">
        <v>31</v>
      </c>
      <c r="M2911" s="3" t="s">
        <v>9376</v>
      </c>
      <c r="N2911" s="3" t="str">
        <f>HYPERLINK("http://ictvonline.org/taxonomyHistory.asp?taxnode_id=20165335","ICTVonline=20165335")</f>
        <v>ICTVonline=20165335</v>
      </c>
    </row>
    <row r="2912" spans="1:14" x14ac:dyDescent="0.15">
      <c r="A2912" s="3">
        <v>2911</v>
      </c>
      <c r="B2912" s="1" t="s">
        <v>926</v>
      </c>
      <c r="C2912" s="1" t="s">
        <v>5384</v>
      </c>
      <c r="E2912" s="1" t="s">
        <v>5385</v>
      </c>
      <c r="F2912" s="1" t="s">
        <v>9446</v>
      </c>
      <c r="G2912" s="3">
        <v>0</v>
      </c>
      <c r="H2912" s="20" t="s">
        <v>9447</v>
      </c>
      <c r="I2912" s="20" t="s">
        <v>9448</v>
      </c>
      <c r="J2912" s="20" t="s">
        <v>5199</v>
      </c>
      <c r="K2912" s="20" t="s">
        <v>10013</v>
      </c>
      <c r="L2912" s="3">
        <v>31</v>
      </c>
      <c r="M2912" s="3" t="s">
        <v>9376</v>
      </c>
      <c r="N2912" s="3" t="str">
        <f>HYPERLINK("http://ictvonline.org/taxonomyHistory.asp?taxnode_id=20165336","ICTVonline=20165336")</f>
        <v>ICTVonline=20165336</v>
      </c>
    </row>
    <row r="2913" spans="1:14" x14ac:dyDescent="0.15">
      <c r="A2913" s="3">
        <v>2912</v>
      </c>
      <c r="B2913" s="1" t="s">
        <v>926</v>
      </c>
      <c r="C2913" s="1" t="s">
        <v>5384</v>
      </c>
      <c r="E2913" s="1" t="s">
        <v>5385</v>
      </c>
      <c r="F2913" s="1" t="s">
        <v>9449</v>
      </c>
      <c r="G2913" s="3">
        <v>0</v>
      </c>
      <c r="H2913" s="20" t="s">
        <v>9450</v>
      </c>
      <c r="I2913" s="20" t="s">
        <v>9451</v>
      </c>
      <c r="J2913" s="20" t="s">
        <v>5199</v>
      </c>
      <c r="K2913" s="20" t="s">
        <v>10013</v>
      </c>
      <c r="L2913" s="3">
        <v>31</v>
      </c>
      <c r="M2913" s="3" t="s">
        <v>9376</v>
      </c>
      <c r="N2913" s="3" t="str">
        <f>HYPERLINK("http://ictvonline.org/taxonomyHistory.asp?taxnode_id=20165338","ICTVonline=20165338")</f>
        <v>ICTVonline=20165338</v>
      </c>
    </row>
    <row r="2914" spans="1:14" x14ac:dyDescent="0.15">
      <c r="A2914" s="3">
        <v>2913</v>
      </c>
      <c r="B2914" s="1" t="s">
        <v>926</v>
      </c>
      <c r="C2914" s="1" t="s">
        <v>5384</v>
      </c>
      <c r="E2914" s="1" t="s">
        <v>5385</v>
      </c>
      <c r="F2914" s="1" t="s">
        <v>9452</v>
      </c>
      <c r="G2914" s="3">
        <v>0</v>
      </c>
      <c r="H2914" s="20" t="s">
        <v>9453</v>
      </c>
      <c r="I2914" s="20" t="s">
        <v>9454</v>
      </c>
      <c r="J2914" s="20" t="s">
        <v>5199</v>
      </c>
      <c r="K2914" s="20" t="s">
        <v>10013</v>
      </c>
      <c r="L2914" s="3">
        <v>31</v>
      </c>
      <c r="M2914" s="3" t="s">
        <v>9376</v>
      </c>
      <c r="N2914" s="3" t="str">
        <f>HYPERLINK("http://ictvonline.org/taxonomyHistory.asp?taxnode_id=20165339","ICTVonline=20165339")</f>
        <v>ICTVonline=20165339</v>
      </c>
    </row>
    <row r="2915" spans="1:14" x14ac:dyDescent="0.15">
      <c r="A2915" s="3">
        <v>2914</v>
      </c>
      <c r="B2915" s="1" t="s">
        <v>926</v>
      </c>
      <c r="C2915" s="1" t="s">
        <v>5384</v>
      </c>
      <c r="E2915" s="1" t="s">
        <v>5385</v>
      </c>
      <c r="F2915" s="1" t="s">
        <v>9455</v>
      </c>
      <c r="G2915" s="3">
        <v>0</v>
      </c>
      <c r="H2915" s="20" t="s">
        <v>9456</v>
      </c>
      <c r="I2915" s="20" t="s">
        <v>9457</v>
      </c>
      <c r="J2915" s="20" t="s">
        <v>5199</v>
      </c>
      <c r="K2915" s="20" t="s">
        <v>10013</v>
      </c>
      <c r="L2915" s="3">
        <v>31</v>
      </c>
      <c r="M2915" s="3" t="s">
        <v>9376</v>
      </c>
      <c r="N2915" s="3" t="str">
        <f>HYPERLINK("http://ictvonline.org/taxonomyHistory.asp?taxnode_id=20165340","ICTVonline=20165340")</f>
        <v>ICTVonline=20165340</v>
      </c>
    </row>
    <row r="2916" spans="1:14" x14ac:dyDescent="0.15">
      <c r="A2916" s="3">
        <v>2915</v>
      </c>
      <c r="B2916" s="1" t="s">
        <v>926</v>
      </c>
      <c r="C2916" s="1" t="s">
        <v>5384</v>
      </c>
      <c r="E2916" s="1" t="s">
        <v>5385</v>
      </c>
      <c r="F2916" s="1" t="s">
        <v>9458</v>
      </c>
      <c r="G2916" s="3">
        <v>0</v>
      </c>
      <c r="H2916" s="20" t="s">
        <v>9459</v>
      </c>
      <c r="I2916" s="20" t="s">
        <v>9460</v>
      </c>
      <c r="J2916" s="20" t="s">
        <v>5199</v>
      </c>
      <c r="K2916" s="20" t="s">
        <v>10013</v>
      </c>
      <c r="L2916" s="3">
        <v>31</v>
      </c>
      <c r="M2916" s="3" t="s">
        <v>9376</v>
      </c>
      <c r="N2916" s="3" t="str">
        <f>HYPERLINK("http://ictvonline.org/taxonomyHistory.asp?taxnode_id=20165341","ICTVonline=20165341")</f>
        <v>ICTVonline=20165341</v>
      </c>
    </row>
    <row r="2917" spans="1:14" x14ac:dyDescent="0.15">
      <c r="A2917" s="3">
        <v>2916</v>
      </c>
      <c r="B2917" s="1" t="s">
        <v>926</v>
      </c>
      <c r="C2917" s="1" t="s">
        <v>5384</v>
      </c>
      <c r="E2917" s="1" t="s">
        <v>5385</v>
      </c>
      <c r="F2917" s="1" t="s">
        <v>9461</v>
      </c>
      <c r="G2917" s="3">
        <v>0</v>
      </c>
      <c r="H2917" s="20" t="s">
        <v>9462</v>
      </c>
      <c r="I2917" s="20" t="s">
        <v>9463</v>
      </c>
      <c r="J2917" s="20" t="s">
        <v>5199</v>
      </c>
      <c r="K2917" s="20" t="s">
        <v>10013</v>
      </c>
      <c r="L2917" s="3">
        <v>31</v>
      </c>
      <c r="M2917" s="3" t="s">
        <v>9376</v>
      </c>
      <c r="N2917" s="3" t="str">
        <f>HYPERLINK("http://ictvonline.org/taxonomyHistory.asp?taxnode_id=20165342","ICTVonline=20165342")</f>
        <v>ICTVonline=20165342</v>
      </c>
    </row>
    <row r="2918" spans="1:14" x14ac:dyDescent="0.15">
      <c r="A2918" s="3">
        <v>2917</v>
      </c>
      <c r="B2918" s="1" t="s">
        <v>926</v>
      </c>
      <c r="C2918" s="1" t="s">
        <v>5384</v>
      </c>
      <c r="E2918" s="1" t="s">
        <v>5385</v>
      </c>
      <c r="F2918" s="1" t="s">
        <v>9464</v>
      </c>
      <c r="G2918" s="3">
        <v>0</v>
      </c>
      <c r="H2918" s="20" t="s">
        <v>9465</v>
      </c>
      <c r="I2918" s="20" t="s">
        <v>9466</v>
      </c>
      <c r="J2918" s="20" t="s">
        <v>5199</v>
      </c>
      <c r="K2918" s="20" t="s">
        <v>10013</v>
      </c>
      <c r="L2918" s="3">
        <v>31</v>
      </c>
      <c r="M2918" s="3" t="s">
        <v>9376</v>
      </c>
      <c r="N2918" s="3" t="str">
        <f>HYPERLINK("http://ictvonline.org/taxonomyHistory.asp?taxnode_id=20165343","ICTVonline=20165343")</f>
        <v>ICTVonline=20165343</v>
      </c>
    </row>
    <row r="2919" spans="1:14" x14ac:dyDescent="0.15">
      <c r="A2919" s="3">
        <v>2918</v>
      </c>
      <c r="B2919" s="1" t="s">
        <v>926</v>
      </c>
      <c r="C2919" s="1" t="s">
        <v>5384</v>
      </c>
      <c r="E2919" s="1" t="s">
        <v>5385</v>
      </c>
      <c r="F2919" s="1" t="s">
        <v>9467</v>
      </c>
      <c r="G2919" s="3">
        <v>0</v>
      </c>
      <c r="H2919" s="20" t="s">
        <v>9468</v>
      </c>
      <c r="I2919" s="20" t="s">
        <v>9469</v>
      </c>
      <c r="J2919" s="20" t="s">
        <v>5199</v>
      </c>
      <c r="K2919" s="20" t="s">
        <v>10013</v>
      </c>
      <c r="L2919" s="3">
        <v>31</v>
      </c>
      <c r="M2919" s="3" t="s">
        <v>9376</v>
      </c>
      <c r="N2919" s="3" t="str">
        <f>HYPERLINK("http://ictvonline.org/taxonomyHistory.asp?taxnode_id=20165344","ICTVonline=20165344")</f>
        <v>ICTVonline=20165344</v>
      </c>
    </row>
    <row r="2920" spans="1:14" x14ac:dyDescent="0.15">
      <c r="A2920" s="3">
        <v>2919</v>
      </c>
      <c r="B2920" s="1" t="s">
        <v>926</v>
      </c>
      <c r="C2920" s="1" t="s">
        <v>5384</v>
      </c>
      <c r="E2920" s="1" t="s">
        <v>5385</v>
      </c>
      <c r="F2920" s="1" t="s">
        <v>9470</v>
      </c>
      <c r="G2920" s="3">
        <v>0</v>
      </c>
      <c r="H2920" s="20" t="s">
        <v>9471</v>
      </c>
      <c r="I2920" s="20" t="s">
        <v>9472</v>
      </c>
      <c r="J2920" s="20" t="s">
        <v>5199</v>
      </c>
      <c r="K2920" s="20" t="s">
        <v>10013</v>
      </c>
      <c r="L2920" s="3">
        <v>31</v>
      </c>
      <c r="M2920" s="3" t="s">
        <v>9376</v>
      </c>
      <c r="N2920" s="3" t="str">
        <f>HYPERLINK("http://ictvonline.org/taxonomyHistory.asp?taxnode_id=20165345","ICTVonline=20165345")</f>
        <v>ICTVonline=20165345</v>
      </c>
    </row>
    <row r="2921" spans="1:14" x14ac:dyDescent="0.15">
      <c r="A2921" s="3">
        <v>2920</v>
      </c>
      <c r="B2921" s="1" t="s">
        <v>926</v>
      </c>
      <c r="C2921" s="1" t="s">
        <v>5384</v>
      </c>
      <c r="E2921" s="1" t="s">
        <v>5385</v>
      </c>
      <c r="F2921" s="1" t="s">
        <v>9473</v>
      </c>
      <c r="G2921" s="3">
        <v>0</v>
      </c>
      <c r="H2921" s="20" t="s">
        <v>9474</v>
      </c>
      <c r="I2921" s="20" t="s">
        <v>9475</v>
      </c>
      <c r="J2921" s="20" t="s">
        <v>5199</v>
      </c>
      <c r="K2921" s="20" t="s">
        <v>10013</v>
      </c>
      <c r="L2921" s="3">
        <v>31</v>
      </c>
      <c r="M2921" s="3" t="s">
        <v>9376</v>
      </c>
      <c r="N2921" s="3" t="str">
        <f>HYPERLINK("http://ictvonline.org/taxonomyHistory.asp?taxnode_id=20165337","ICTVonline=20165337")</f>
        <v>ICTVonline=20165337</v>
      </c>
    </row>
    <row r="2922" spans="1:14" x14ac:dyDescent="0.15">
      <c r="A2922" s="3">
        <v>2921</v>
      </c>
      <c r="B2922" s="1" t="s">
        <v>926</v>
      </c>
      <c r="C2922" s="1" t="s">
        <v>5384</v>
      </c>
      <c r="E2922" s="1" t="s">
        <v>5385</v>
      </c>
      <c r="F2922" s="1" t="s">
        <v>9476</v>
      </c>
      <c r="G2922" s="3">
        <v>0</v>
      </c>
      <c r="H2922" s="20" t="s">
        <v>9477</v>
      </c>
      <c r="I2922" s="20" t="s">
        <v>9478</v>
      </c>
      <c r="J2922" s="20" t="s">
        <v>5199</v>
      </c>
      <c r="K2922" s="20" t="s">
        <v>10013</v>
      </c>
      <c r="L2922" s="3">
        <v>31</v>
      </c>
      <c r="M2922" s="3" t="s">
        <v>9376</v>
      </c>
      <c r="N2922" s="3" t="str">
        <f>HYPERLINK("http://ictvonline.org/taxonomyHistory.asp?taxnode_id=20165346","ICTVonline=20165346")</f>
        <v>ICTVonline=20165346</v>
      </c>
    </row>
    <row r="2923" spans="1:14" x14ac:dyDescent="0.15">
      <c r="A2923" s="3">
        <v>2922</v>
      </c>
      <c r="B2923" s="1" t="s">
        <v>926</v>
      </c>
      <c r="C2923" s="1" t="s">
        <v>5384</v>
      </c>
      <c r="E2923" s="1" t="s">
        <v>5385</v>
      </c>
      <c r="F2923" s="1" t="s">
        <v>5386</v>
      </c>
      <c r="G2923" s="3">
        <v>1</v>
      </c>
      <c r="H2923" s="20" t="s">
        <v>5387</v>
      </c>
      <c r="I2923" s="20" t="s">
        <v>5388</v>
      </c>
      <c r="J2923" s="20" t="s">
        <v>5199</v>
      </c>
      <c r="K2923" s="20" t="s">
        <v>10013</v>
      </c>
      <c r="L2923" s="3">
        <v>30</v>
      </c>
      <c r="M2923" s="3" t="s">
        <v>10305</v>
      </c>
      <c r="N2923" s="3" t="str">
        <f>HYPERLINK("http://ictvonline.org/taxonomyHistory.asp?taxnode_id=20162877","ICTVonline=20162877")</f>
        <v>ICTVonline=20162877</v>
      </c>
    </row>
    <row r="2924" spans="1:14" x14ac:dyDescent="0.15">
      <c r="A2924" s="3">
        <v>2923</v>
      </c>
      <c r="B2924" s="1" t="s">
        <v>926</v>
      </c>
      <c r="C2924" s="1" t="s">
        <v>5384</v>
      </c>
      <c r="E2924" s="1" t="s">
        <v>5385</v>
      </c>
      <c r="F2924" s="1" t="s">
        <v>9479</v>
      </c>
      <c r="G2924" s="3">
        <v>0</v>
      </c>
      <c r="H2924" s="20" t="s">
        <v>9480</v>
      </c>
      <c r="I2924" s="20" t="s">
        <v>9481</v>
      </c>
      <c r="J2924" s="20" t="s">
        <v>5199</v>
      </c>
      <c r="K2924" s="20" t="s">
        <v>10013</v>
      </c>
      <c r="L2924" s="3">
        <v>31</v>
      </c>
      <c r="M2924" s="3" t="s">
        <v>9376</v>
      </c>
      <c r="N2924" s="3" t="str">
        <f>HYPERLINK("http://ictvonline.org/taxonomyHistory.asp?taxnode_id=20165347","ICTVonline=20165347")</f>
        <v>ICTVonline=20165347</v>
      </c>
    </row>
    <row r="2925" spans="1:14" x14ac:dyDescent="0.15">
      <c r="A2925" s="3">
        <v>2924</v>
      </c>
      <c r="B2925" s="1" t="s">
        <v>926</v>
      </c>
      <c r="C2925" s="1" t="s">
        <v>5384</v>
      </c>
      <c r="E2925" s="1" t="s">
        <v>5385</v>
      </c>
      <c r="F2925" s="1" t="s">
        <v>9482</v>
      </c>
      <c r="G2925" s="3">
        <v>0</v>
      </c>
      <c r="H2925" s="20" t="s">
        <v>9483</v>
      </c>
      <c r="I2925" s="20" t="s">
        <v>9484</v>
      </c>
      <c r="J2925" s="20" t="s">
        <v>5199</v>
      </c>
      <c r="K2925" s="20" t="s">
        <v>10013</v>
      </c>
      <c r="L2925" s="3">
        <v>31</v>
      </c>
      <c r="M2925" s="3" t="s">
        <v>9376</v>
      </c>
      <c r="N2925" s="3" t="str">
        <f>HYPERLINK("http://ictvonline.org/taxonomyHistory.asp?taxnode_id=20165348","ICTVonline=20165348")</f>
        <v>ICTVonline=20165348</v>
      </c>
    </row>
    <row r="2926" spans="1:14" x14ac:dyDescent="0.15">
      <c r="A2926" s="3">
        <v>2925</v>
      </c>
      <c r="B2926" s="1" t="s">
        <v>926</v>
      </c>
      <c r="C2926" s="1" t="s">
        <v>5384</v>
      </c>
      <c r="E2926" s="1" t="s">
        <v>5385</v>
      </c>
      <c r="F2926" s="1" t="s">
        <v>9485</v>
      </c>
      <c r="G2926" s="3">
        <v>0</v>
      </c>
      <c r="H2926" s="20" t="s">
        <v>9486</v>
      </c>
      <c r="I2926" s="20" t="s">
        <v>9487</v>
      </c>
      <c r="J2926" s="20" t="s">
        <v>5199</v>
      </c>
      <c r="K2926" s="20" t="s">
        <v>10013</v>
      </c>
      <c r="L2926" s="3">
        <v>31</v>
      </c>
      <c r="M2926" s="3" t="s">
        <v>9376</v>
      </c>
      <c r="N2926" s="3" t="str">
        <f>HYPERLINK("http://ictvonline.org/taxonomyHistory.asp?taxnode_id=20165349","ICTVonline=20165349")</f>
        <v>ICTVonline=20165349</v>
      </c>
    </row>
    <row r="2927" spans="1:14" x14ac:dyDescent="0.15">
      <c r="A2927" s="3">
        <v>2926</v>
      </c>
      <c r="B2927" s="1" t="s">
        <v>926</v>
      </c>
      <c r="C2927" s="1" t="s">
        <v>5384</v>
      </c>
      <c r="E2927" s="1" t="s">
        <v>5385</v>
      </c>
      <c r="F2927" s="1" t="s">
        <v>9488</v>
      </c>
      <c r="G2927" s="3">
        <v>0</v>
      </c>
      <c r="H2927" s="20" t="s">
        <v>9489</v>
      </c>
      <c r="I2927" s="20" t="s">
        <v>9490</v>
      </c>
      <c r="J2927" s="20" t="s">
        <v>5199</v>
      </c>
      <c r="K2927" s="20" t="s">
        <v>10013</v>
      </c>
      <c r="L2927" s="3">
        <v>31</v>
      </c>
      <c r="M2927" s="3" t="s">
        <v>9376</v>
      </c>
      <c r="N2927" s="3" t="str">
        <f>HYPERLINK("http://ictvonline.org/taxonomyHistory.asp?taxnode_id=20165350","ICTVonline=20165350")</f>
        <v>ICTVonline=20165350</v>
      </c>
    </row>
    <row r="2928" spans="1:14" x14ac:dyDescent="0.15">
      <c r="A2928" s="3">
        <v>2927</v>
      </c>
      <c r="B2928" s="1" t="s">
        <v>926</v>
      </c>
      <c r="C2928" s="1" t="s">
        <v>5384</v>
      </c>
      <c r="E2928" s="1" t="s">
        <v>5385</v>
      </c>
      <c r="F2928" s="1" t="s">
        <v>9491</v>
      </c>
      <c r="G2928" s="3">
        <v>0</v>
      </c>
      <c r="H2928" s="20" t="s">
        <v>9492</v>
      </c>
      <c r="I2928" s="20" t="s">
        <v>9493</v>
      </c>
      <c r="J2928" s="20" t="s">
        <v>5199</v>
      </c>
      <c r="K2928" s="20" t="s">
        <v>10013</v>
      </c>
      <c r="L2928" s="3">
        <v>31</v>
      </c>
      <c r="M2928" s="3" t="s">
        <v>9376</v>
      </c>
      <c r="N2928" s="3" t="str">
        <f>HYPERLINK("http://ictvonline.org/taxonomyHistory.asp?taxnode_id=20165351","ICTVonline=20165351")</f>
        <v>ICTVonline=20165351</v>
      </c>
    </row>
    <row r="2929" spans="1:14" x14ac:dyDescent="0.15">
      <c r="A2929" s="3">
        <v>2928</v>
      </c>
      <c r="B2929" s="1" t="s">
        <v>926</v>
      </c>
      <c r="C2929" s="1" t="s">
        <v>5384</v>
      </c>
      <c r="E2929" s="1" t="s">
        <v>5385</v>
      </c>
      <c r="F2929" s="1" t="s">
        <v>9494</v>
      </c>
      <c r="G2929" s="3">
        <v>0</v>
      </c>
      <c r="H2929" s="20" t="s">
        <v>9495</v>
      </c>
      <c r="I2929" s="20" t="s">
        <v>9496</v>
      </c>
      <c r="J2929" s="20" t="s">
        <v>5199</v>
      </c>
      <c r="K2929" s="20" t="s">
        <v>10013</v>
      </c>
      <c r="L2929" s="3">
        <v>31</v>
      </c>
      <c r="M2929" s="3" t="s">
        <v>9376</v>
      </c>
      <c r="N2929" s="3" t="str">
        <f>HYPERLINK("http://ictvonline.org/taxonomyHistory.asp?taxnode_id=20165352","ICTVonline=20165352")</f>
        <v>ICTVonline=20165352</v>
      </c>
    </row>
    <row r="2930" spans="1:14" x14ac:dyDescent="0.15">
      <c r="A2930" s="3">
        <v>2929</v>
      </c>
      <c r="B2930" s="1" t="s">
        <v>926</v>
      </c>
      <c r="C2930" s="1" t="s">
        <v>5384</v>
      </c>
      <c r="E2930" s="1" t="s">
        <v>5385</v>
      </c>
      <c r="F2930" s="1" t="s">
        <v>9497</v>
      </c>
      <c r="G2930" s="3">
        <v>0</v>
      </c>
      <c r="H2930" s="20" t="s">
        <v>9498</v>
      </c>
      <c r="I2930" s="20" t="s">
        <v>9499</v>
      </c>
      <c r="J2930" s="20" t="s">
        <v>5199</v>
      </c>
      <c r="K2930" s="20" t="s">
        <v>10013</v>
      </c>
      <c r="L2930" s="3">
        <v>31</v>
      </c>
      <c r="M2930" s="3" t="s">
        <v>9376</v>
      </c>
      <c r="N2930" s="3" t="str">
        <f>HYPERLINK("http://ictvonline.org/taxonomyHistory.asp?taxnode_id=20165353","ICTVonline=20165353")</f>
        <v>ICTVonline=20165353</v>
      </c>
    </row>
    <row r="2931" spans="1:14" x14ac:dyDescent="0.15">
      <c r="A2931" s="3">
        <v>2930</v>
      </c>
      <c r="B2931" s="1" t="s">
        <v>926</v>
      </c>
      <c r="C2931" s="1" t="s">
        <v>5384</v>
      </c>
      <c r="E2931" s="1" t="s">
        <v>9500</v>
      </c>
      <c r="F2931" s="1" t="s">
        <v>9501</v>
      </c>
      <c r="G2931" s="3">
        <v>1</v>
      </c>
      <c r="H2931" s="20" t="s">
        <v>9502</v>
      </c>
      <c r="I2931" s="20" t="s">
        <v>9503</v>
      </c>
      <c r="J2931" s="20" t="s">
        <v>5199</v>
      </c>
      <c r="K2931" s="20" t="s">
        <v>10013</v>
      </c>
      <c r="L2931" s="3">
        <v>31</v>
      </c>
      <c r="M2931" s="3" t="s">
        <v>9376</v>
      </c>
      <c r="N2931" s="3" t="str">
        <f>HYPERLINK("http://ictvonline.org/taxonomyHistory.asp?taxnode_id=20165354","ICTVonline=20165354")</f>
        <v>ICTVonline=20165354</v>
      </c>
    </row>
    <row r="2932" spans="1:14" x14ac:dyDescent="0.15">
      <c r="A2932" s="3">
        <v>2931</v>
      </c>
      <c r="B2932" s="1" t="s">
        <v>926</v>
      </c>
      <c r="C2932" s="1" t="s">
        <v>5384</v>
      </c>
      <c r="E2932" s="1" t="s">
        <v>9504</v>
      </c>
      <c r="F2932" s="1" t="s">
        <v>9505</v>
      </c>
      <c r="G2932" s="3">
        <v>0</v>
      </c>
      <c r="H2932" s="20" t="s">
        <v>9506</v>
      </c>
      <c r="I2932" s="20" t="s">
        <v>9507</v>
      </c>
      <c r="J2932" s="20" t="s">
        <v>5199</v>
      </c>
      <c r="K2932" s="20" t="s">
        <v>10013</v>
      </c>
      <c r="L2932" s="3">
        <v>31</v>
      </c>
      <c r="M2932" s="3" t="s">
        <v>9376</v>
      </c>
      <c r="N2932" s="3" t="str">
        <f>HYPERLINK("http://ictvonline.org/taxonomyHistory.asp?taxnode_id=20165355","ICTVonline=20165355")</f>
        <v>ICTVonline=20165355</v>
      </c>
    </row>
    <row r="2933" spans="1:14" x14ac:dyDescent="0.15">
      <c r="A2933" s="3">
        <v>2932</v>
      </c>
      <c r="B2933" s="1" t="s">
        <v>926</v>
      </c>
      <c r="C2933" s="1" t="s">
        <v>5384</v>
      </c>
      <c r="E2933" s="1" t="s">
        <v>9504</v>
      </c>
      <c r="F2933" s="1" t="s">
        <v>9508</v>
      </c>
      <c r="G2933" s="3">
        <v>0</v>
      </c>
      <c r="H2933" s="20" t="s">
        <v>9509</v>
      </c>
      <c r="I2933" s="20" t="s">
        <v>9510</v>
      </c>
      <c r="J2933" s="20" t="s">
        <v>5199</v>
      </c>
      <c r="K2933" s="20" t="s">
        <v>10013</v>
      </c>
      <c r="L2933" s="3">
        <v>31</v>
      </c>
      <c r="M2933" s="3" t="s">
        <v>9376</v>
      </c>
      <c r="N2933" s="3" t="str">
        <f>HYPERLINK("http://ictvonline.org/taxonomyHistory.asp?taxnode_id=20165356","ICTVonline=20165356")</f>
        <v>ICTVonline=20165356</v>
      </c>
    </row>
    <row r="2934" spans="1:14" x14ac:dyDescent="0.15">
      <c r="A2934" s="3">
        <v>2933</v>
      </c>
      <c r="B2934" s="1" t="s">
        <v>926</v>
      </c>
      <c r="C2934" s="1" t="s">
        <v>5384</v>
      </c>
      <c r="E2934" s="1" t="s">
        <v>9504</v>
      </c>
      <c r="F2934" s="1" t="s">
        <v>9511</v>
      </c>
      <c r="G2934" s="3">
        <v>0</v>
      </c>
      <c r="H2934" s="20" t="s">
        <v>9512</v>
      </c>
      <c r="I2934" s="20" t="s">
        <v>9513</v>
      </c>
      <c r="J2934" s="20" t="s">
        <v>5199</v>
      </c>
      <c r="K2934" s="20" t="s">
        <v>10013</v>
      </c>
      <c r="L2934" s="3">
        <v>31</v>
      </c>
      <c r="M2934" s="3" t="s">
        <v>9376</v>
      </c>
      <c r="N2934" s="3" t="str">
        <f>HYPERLINK("http://ictvonline.org/taxonomyHistory.asp?taxnode_id=20165357","ICTVonline=20165357")</f>
        <v>ICTVonline=20165357</v>
      </c>
    </row>
    <row r="2935" spans="1:14" x14ac:dyDescent="0.15">
      <c r="A2935" s="3">
        <v>2934</v>
      </c>
      <c r="B2935" s="1" t="s">
        <v>926</v>
      </c>
      <c r="C2935" s="1" t="s">
        <v>5384</v>
      </c>
      <c r="E2935" s="1" t="s">
        <v>9504</v>
      </c>
      <c r="F2935" s="1" t="s">
        <v>9514</v>
      </c>
      <c r="G2935" s="3">
        <v>0</v>
      </c>
      <c r="H2935" s="20" t="s">
        <v>9515</v>
      </c>
      <c r="I2935" s="20" t="s">
        <v>9516</v>
      </c>
      <c r="J2935" s="20" t="s">
        <v>5199</v>
      </c>
      <c r="K2935" s="20" t="s">
        <v>10013</v>
      </c>
      <c r="L2935" s="3">
        <v>31</v>
      </c>
      <c r="M2935" s="3" t="s">
        <v>9376</v>
      </c>
      <c r="N2935" s="3" t="str">
        <f>HYPERLINK("http://ictvonline.org/taxonomyHistory.asp?taxnode_id=20165358","ICTVonline=20165358")</f>
        <v>ICTVonline=20165358</v>
      </c>
    </row>
    <row r="2936" spans="1:14" x14ac:dyDescent="0.15">
      <c r="A2936" s="3">
        <v>2935</v>
      </c>
      <c r="B2936" s="1" t="s">
        <v>926</v>
      </c>
      <c r="C2936" s="1" t="s">
        <v>5384</v>
      </c>
      <c r="E2936" s="1" t="s">
        <v>9504</v>
      </c>
      <c r="F2936" s="1" t="s">
        <v>9517</v>
      </c>
      <c r="G2936" s="3">
        <v>1</v>
      </c>
      <c r="H2936" s="20" t="s">
        <v>9518</v>
      </c>
      <c r="I2936" s="20" t="s">
        <v>9519</v>
      </c>
      <c r="J2936" s="20" t="s">
        <v>5199</v>
      </c>
      <c r="K2936" s="20" t="s">
        <v>10013</v>
      </c>
      <c r="L2936" s="3">
        <v>31</v>
      </c>
      <c r="M2936" s="3" t="s">
        <v>9376</v>
      </c>
      <c r="N2936" s="3" t="str">
        <f>HYPERLINK("http://ictvonline.org/taxonomyHistory.asp?taxnode_id=20165359","ICTVonline=20165359")</f>
        <v>ICTVonline=20165359</v>
      </c>
    </row>
    <row r="2937" spans="1:14" x14ac:dyDescent="0.15">
      <c r="A2937" s="3">
        <v>2936</v>
      </c>
      <c r="B2937" s="1" t="s">
        <v>926</v>
      </c>
      <c r="C2937" s="1" t="s">
        <v>5384</v>
      </c>
      <c r="E2937" s="1" t="s">
        <v>9520</v>
      </c>
      <c r="F2937" s="1" t="s">
        <v>9521</v>
      </c>
      <c r="G2937" s="3">
        <v>0</v>
      </c>
      <c r="H2937" s="20" t="s">
        <v>9522</v>
      </c>
      <c r="I2937" s="20" t="s">
        <v>9523</v>
      </c>
      <c r="J2937" s="20" t="s">
        <v>5199</v>
      </c>
      <c r="K2937" s="20" t="s">
        <v>10013</v>
      </c>
      <c r="L2937" s="3">
        <v>31</v>
      </c>
      <c r="M2937" s="3" t="s">
        <v>9376</v>
      </c>
      <c r="N2937" s="3" t="str">
        <f>HYPERLINK("http://ictvonline.org/taxonomyHistory.asp?taxnode_id=20165360","ICTVonline=20165360")</f>
        <v>ICTVonline=20165360</v>
      </c>
    </row>
    <row r="2938" spans="1:14" x14ac:dyDescent="0.15">
      <c r="A2938" s="3">
        <v>2937</v>
      </c>
      <c r="B2938" s="1" t="s">
        <v>926</v>
      </c>
      <c r="C2938" s="1" t="s">
        <v>5384</v>
      </c>
      <c r="E2938" s="1" t="s">
        <v>9520</v>
      </c>
      <c r="F2938" s="1" t="s">
        <v>9524</v>
      </c>
      <c r="G2938" s="3">
        <v>0</v>
      </c>
      <c r="H2938" s="20" t="s">
        <v>9525</v>
      </c>
      <c r="I2938" s="20" t="s">
        <v>9526</v>
      </c>
      <c r="J2938" s="20" t="s">
        <v>5199</v>
      </c>
      <c r="K2938" s="20" t="s">
        <v>10013</v>
      </c>
      <c r="L2938" s="3">
        <v>31</v>
      </c>
      <c r="M2938" s="3" t="s">
        <v>9376</v>
      </c>
      <c r="N2938" s="3" t="str">
        <f>HYPERLINK("http://ictvonline.org/taxonomyHistory.asp?taxnode_id=20165361","ICTVonline=20165361")</f>
        <v>ICTVonline=20165361</v>
      </c>
    </row>
    <row r="2939" spans="1:14" x14ac:dyDescent="0.15">
      <c r="A2939" s="3">
        <v>2938</v>
      </c>
      <c r="B2939" s="1" t="s">
        <v>926</v>
      </c>
      <c r="C2939" s="1" t="s">
        <v>5384</v>
      </c>
      <c r="E2939" s="1" t="s">
        <v>9520</v>
      </c>
      <c r="F2939" s="1" t="s">
        <v>9527</v>
      </c>
      <c r="G2939" s="3">
        <v>0</v>
      </c>
      <c r="H2939" s="20" t="s">
        <v>9528</v>
      </c>
      <c r="I2939" s="20" t="s">
        <v>7366</v>
      </c>
      <c r="J2939" s="20" t="s">
        <v>5199</v>
      </c>
      <c r="K2939" s="20" t="s">
        <v>10013</v>
      </c>
      <c r="L2939" s="3">
        <v>31</v>
      </c>
      <c r="M2939" s="3" t="s">
        <v>9376</v>
      </c>
      <c r="N2939" s="3" t="str">
        <f>HYPERLINK("http://ictvonline.org/taxonomyHistory.asp?taxnode_id=20165362","ICTVonline=20165362")</f>
        <v>ICTVonline=20165362</v>
      </c>
    </row>
    <row r="2940" spans="1:14" x14ac:dyDescent="0.15">
      <c r="A2940" s="3">
        <v>2939</v>
      </c>
      <c r="B2940" s="1" t="s">
        <v>926</v>
      </c>
      <c r="C2940" s="1" t="s">
        <v>5384</v>
      </c>
      <c r="E2940" s="1" t="s">
        <v>9520</v>
      </c>
      <c r="F2940" s="1" t="s">
        <v>9529</v>
      </c>
      <c r="G2940" s="3">
        <v>0</v>
      </c>
      <c r="H2940" s="20" t="s">
        <v>9530</v>
      </c>
      <c r="I2940" s="20" t="s">
        <v>9531</v>
      </c>
      <c r="J2940" s="20" t="s">
        <v>5199</v>
      </c>
      <c r="K2940" s="20" t="s">
        <v>10013</v>
      </c>
      <c r="L2940" s="3">
        <v>31</v>
      </c>
      <c r="M2940" s="3" t="s">
        <v>9376</v>
      </c>
      <c r="N2940" s="3" t="str">
        <f>HYPERLINK("http://ictvonline.org/taxonomyHistory.asp?taxnode_id=20165363","ICTVonline=20165363")</f>
        <v>ICTVonline=20165363</v>
      </c>
    </row>
    <row r="2941" spans="1:14" x14ac:dyDescent="0.15">
      <c r="A2941" s="3">
        <v>2940</v>
      </c>
      <c r="B2941" s="1" t="s">
        <v>926</v>
      </c>
      <c r="C2941" s="1" t="s">
        <v>5384</v>
      </c>
      <c r="E2941" s="1" t="s">
        <v>9520</v>
      </c>
      <c r="F2941" s="1" t="s">
        <v>9532</v>
      </c>
      <c r="G2941" s="3">
        <v>1</v>
      </c>
      <c r="H2941" s="20" t="s">
        <v>9533</v>
      </c>
      <c r="I2941" s="20" t="s">
        <v>9534</v>
      </c>
      <c r="J2941" s="20" t="s">
        <v>5199</v>
      </c>
      <c r="K2941" s="20" t="s">
        <v>10013</v>
      </c>
      <c r="L2941" s="3">
        <v>31</v>
      </c>
      <c r="M2941" s="3" t="s">
        <v>9376</v>
      </c>
      <c r="N2941" s="3" t="str">
        <f>HYPERLINK("http://ictvonline.org/taxonomyHistory.asp?taxnode_id=20165364","ICTVonline=20165364")</f>
        <v>ICTVonline=20165364</v>
      </c>
    </row>
    <row r="2942" spans="1:14" x14ac:dyDescent="0.15">
      <c r="A2942" s="3">
        <v>2941</v>
      </c>
      <c r="B2942" s="1" t="s">
        <v>926</v>
      </c>
      <c r="C2942" s="1" t="s">
        <v>5384</v>
      </c>
      <c r="E2942" s="1" t="s">
        <v>9520</v>
      </c>
      <c r="F2942" s="1" t="s">
        <v>9535</v>
      </c>
      <c r="G2942" s="3">
        <v>0</v>
      </c>
      <c r="H2942" s="20" t="s">
        <v>9536</v>
      </c>
      <c r="I2942" s="20" t="s">
        <v>9537</v>
      </c>
      <c r="J2942" s="20" t="s">
        <v>5199</v>
      </c>
      <c r="K2942" s="20" t="s">
        <v>10013</v>
      </c>
      <c r="L2942" s="3">
        <v>31</v>
      </c>
      <c r="M2942" s="3" t="s">
        <v>9376</v>
      </c>
      <c r="N2942" s="3" t="str">
        <f>HYPERLINK("http://ictvonline.org/taxonomyHistory.asp?taxnode_id=20165365","ICTVonline=20165365")</f>
        <v>ICTVonline=20165365</v>
      </c>
    </row>
    <row r="2943" spans="1:14" x14ac:dyDescent="0.15">
      <c r="A2943" s="3">
        <v>2942</v>
      </c>
      <c r="B2943" s="1" t="s">
        <v>926</v>
      </c>
      <c r="C2943" s="1" t="s">
        <v>5384</v>
      </c>
      <c r="E2943" s="1" t="s">
        <v>9520</v>
      </c>
      <c r="F2943" s="1" t="s">
        <v>9538</v>
      </c>
      <c r="G2943" s="3">
        <v>0</v>
      </c>
      <c r="H2943" s="20" t="s">
        <v>9539</v>
      </c>
      <c r="I2943" s="20" t="s">
        <v>9540</v>
      </c>
      <c r="J2943" s="20" t="s">
        <v>5199</v>
      </c>
      <c r="K2943" s="20" t="s">
        <v>10013</v>
      </c>
      <c r="L2943" s="3">
        <v>31</v>
      </c>
      <c r="M2943" s="3" t="s">
        <v>9376</v>
      </c>
      <c r="N2943" s="3" t="str">
        <f>HYPERLINK("http://ictvonline.org/taxonomyHistory.asp?taxnode_id=20165366","ICTVonline=20165366")</f>
        <v>ICTVonline=20165366</v>
      </c>
    </row>
    <row r="2944" spans="1:14" x14ac:dyDescent="0.15">
      <c r="A2944" s="3">
        <v>2943</v>
      </c>
      <c r="B2944" s="1" t="s">
        <v>926</v>
      </c>
      <c r="C2944" s="1" t="s">
        <v>5384</v>
      </c>
      <c r="E2944" s="1" t="s">
        <v>9520</v>
      </c>
      <c r="F2944" s="1" t="s">
        <v>9541</v>
      </c>
      <c r="G2944" s="3">
        <v>0</v>
      </c>
      <c r="H2944" s="20" t="s">
        <v>9542</v>
      </c>
      <c r="I2944" s="20" t="s">
        <v>9543</v>
      </c>
      <c r="J2944" s="20" t="s">
        <v>5199</v>
      </c>
      <c r="K2944" s="20" t="s">
        <v>10013</v>
      </c>
      <c r="L2944" s="3">
        <v>31</v>
      </c>
      <c r="M2944" s="3" t="s">
        <v>9376</v>
      </c>
      <c r="N2944" s="3" t="str">
        <f>HYPERLINK("http://ictvonline.org/taxonomyHistory.asp?taxnode_id=20165367","ICTVonline=20165367")</f>
        <v>ICTVonline=20165367</v>
      </c>
    </row>
    <row r="2945" spans="1:14" x14ac:dyDescent="0.15">
      <c r="A2945" s="3">
        <v>2944</v>
      </c>
      <c r="B2945" s="1" t="s">
        <v>926</v>
      </c>
      <c r="C2945" s="1" t="s">
        <v>5384</v>
      </c>
      <c r="E2945" s="1" t="s">
        <v>9520</v>
      </c>
      <c r="F2945" s="1" t="s">
        <v>9544</v>
      </c>
      <c r="G2945" s="3">
        <v>0</v>
      </c>
      <c r="H2945" s="20" t="s">
        <v>9545</v>
      </c>
      <c r="I2945" s="20" t="s">
        <v>9546</v>
      </c>
      <c r="J2945" s="20" t="s">
        <v>5199</v>
      </c>
      <c r="K2945" s="20" t="s">
        <v>10013</v>
      </c>
      <c r="L2945" s="3">
        <v>31</v>
      </c>
      <c r="M2945" s="3" t="s">
        <v>9376</v>
      </c>
      <c r="N2945" s="3" t="str">
        <f>HYPERLINK("http://ictvonline.org/taxonomyHistory.asp?taxnode_id=20165368","ICTVonline=20165368")</f>
        <v>ICTVonline=20165368</v>
      </c>
    </row>
    <row r="2946" spans="1:14" x14ac:dyDescent="0.15">
      <c r="A2946" s="3">
        <v>2945</v>
      </c>
      <c r="B2946" s="1" t="s">
        <v>926</v>
      </c>
      <c r="C2946" s="1" t="s">
        <v>5384</v>
      </c>
      <c r="E2946" s="1" t="s">
        <v>9520</v>
      </c>
      <c r="F2946" s="1" t="s">
        <v>9547</v>
      </c>
      <c r="G2946" s="3">
        <v>0</v>
      </c>
      <c r="H2946" s="20" t="s">
        <v>9548</v>
      </c>
      <c r="I2946" s="20" t="s">
        <v>9549</v>
      </c>
      <c r="J2946" s="20" t="s">
        <v>5199</v>
      </c>
      <c r="K2946" s="20" t="s">
        <v>10013</v>
      </c>
      <c r="L2946" s="3">
        <v>31</v>
      </c>
      <c r="M2946" s="3" t="s">
        <v>9376</v>
      </c>
      <c r="N2946" s="3" t="str">
        <f>HYPERLINK("http://ictvonline.org/taxonomyHistory.asp?taxnode_id=20165369","ICTVonline=20165369")</f>
        <v>ICTVonline=20165369</v>
      </c>
    </row>
    <row r="2947" spans="1:14" x14ac:dyDescent="0.15">
      <c r="A2947" s="3">
        <v>2946</v>
      </c>
      <c r="B2947" s="1" t="s">
        <v>926</v>
      </c>
      <c r="C2947" s="1" t="s">
        <v>5384</v>
      </c>
      <c r="E2947" s="1" t="s">
        <v>9520</v>
      </c>
      <c r="F2947" s="1" t="s">
        <v>9550</v>
      </c>
      <c r="G2947" s="3">
        <v>0</v>
      </c>
      <c r="H2947" s="20" t="s">
        <v>9551</v>
      </c>
      <c r="I2947" s="20" t="s">
        <v>9552</v>
      </c>
      <c r="J2947" s="20" t="s">
        <v>5199</v>
      </c>
      <c r="K2947" s="20" t="s">
        <v>10013</v>
      </c>
      <c r="L2947" s="3">
        <v>31</v>
      </c>
      <c r="M2947" s="3" t="s">
        <v>9376</v>
      </c>
      <c r="N2947" s="3" t="str">
        <f>HYPERLINK("http://ictvonline.org/taxonomyHistory.asp?taxnode_id=20165370","ICTVonline=20165370")</f>
        <v>ICTVonline=20165370</v>
      </c>
    </row>
    <row r="2948" spans="1:14" x14ac:dyDescent="0.15">
      <c r="A2948" s="3">
        <v>2947</v>
      </c>
      <c r="B2948" s="1" t="s">
        <v>926</v>
      </c>
      <c r="C2948" s="1" t="s">
        <v>5384</v>
      </c>
      <c r="E2948" s="1" t="s">
        <v>9520</v>
      </c>
      <c r="F2948" s="1" t="s">
        <v>9553</v>
      </c>
      <c r="G2948" s="3">
        <v>0</v>
      </c>
      <c r="H2948" s="20" t="s">
        <v>9554</v>
      </c>
      <c r="I2948" s="20" t="s">
        <v>9555</v>
      </c>
      <c r="J2948" s="20" t="s">
        <v>5199</v>
      </c>
      <c r="K2948" s="20" t="s">
        <v>10013</v>
      </c>
      <c r="L2948" s="3">
        <v>31</v>
      </c>
      <c r="M2948" s="3" t="s">
        <v>9376</v>
      </c>
      <c r="N2948" s="3" t="str">
        <f>HYPERLINK("http://ictvonline.org/taxonomyHistory.asp?taxnode_id=20165371","ICTVonline=20165371")</f>
        <v>ICTVonline=20165371</v>
      </c>
    </row>
    <row r="2949" spans="1:14" x14ac:dyDescent="0.15">
      <c r="A2949" s="3">
        <v>2948</v>
      </c>
      <c r="B2949" s="1" t="s">
        <v>926</v>
      </c>
      <c r="C2949" s="1" t="s">
        <v>5384</v>
      </c>
      <c r="E2949" s="1" t="s">
        <v>9520</v>
      </c>
      <c r="F2949" s="1" t="s">
        <v>9556</v>
      </c>
      <c r="G2949" s="3">
        <v>0</v>
      </c>
      <c r="H2949" s="20" t="s">
        <v>9557</v>
      </c>
      <c r="I2949" s="20" t="s">
        <v>9558</v>
      </c>
      <c r="J2949" s="20" t="s">
        <v>5199</v>
      </c>
      <c r="K2949" s="20" t="s">
        <v>10013</v>
      </c>
      <c r="L2949" s="3">
        <v>31</v>
      </c>
      <c r="M2949" s="3" t="s">
        <v>9376</v>
      </c>
      <c r="N2949" s="3" t="str">
        <f>HYPERLINK("http://ictvonline.org/taxonomyHistory.asp?taxnode_id=20165372","ICTVonline=20165372")</f>
        <v>ICTVonline=20165372</v>
      </c>
    </row>
    <row r="2950" spans="1:14" x14ac:dyDescent="0.15">
      <c r="A2950" s="3">
        <v>2949</v>
      </c>
      <c r="B2950" s="1" t="s">
        <v>926</v>
      </c>
      <c r="C2950" s="1" t="s">
        <v>5384</v>
      </c>
      <c r="E2950" s="1" t="s">
        <v>9520</v>
      </c>
      <c r="F2950" s="1" t="s">
        <v>9559</v>
      </c>
      <c r="G2950" s="3">
        <v>0</v>
      </c>
      <c r="H2950" s="20" t="s">
        <v>9560</v>
      </c>
      <c r="I2950" s="20" t="s">
        <v>9561</v>
      </c>
      <c r="J2950" s="20" t="s">
        <v>5199</v>
      </c>
      <c r="K2950" s="20" t="s">
        <v>10013</v>
      </c>
      <c r="L2950" s="3">
        <v>31</v>
      </c>
      <c r="M2950" s="3" t="s">
        <v>9376</v>
      </c>
      <c r="N2950" s="3" t="str">
        <f>HYPERLINK("http://ictvonline.org/taxonomyHistory.asp?taxnode_id=20165373","ICTVonline=20165373")</f>
        <v>ICTVonline=20165373</v>
      </c>
    </row>
    <row r="2951" spans="1:14" x14ac:dyDescent="0.15">
      <c r="A2951" s="3">
        <v>2950</v>
      </c>
      <c r="B2951" s="1" t="s">
        <v>926</v>
      </c>
      <c r="C2951" s="1" t="s">
        <v>5384</v>
      </c>
      <c r="E2951" s="1" t="s">
        <v>9520</v>
      </c>
      <c r="F2951" s="1" t="s">
        <v>9562</v>
      </c>
      <c r="G2951" s="3">
        <v>0</v>
      </c>
      <c r="H2951" s="20" t="s">
        <v>9563</v>
      </c>
      <c r="I2951" s="20" t="s">
        <v>9564</v>
      </c>
      <c r="J2951" s="20" t="s">
        <v>5199</v>
      </c>
      <c r="K2951" s="20" t="s">
        <v>10013</v>
      </c>
      <c r="L2951" s="3">
        <v>31</v>
      </c>
      <c r="M2951" s="3" t="s">
        <v>9376</v>
      </c>
      <c r="N2951" s="3" t="str">
        <f>HYPERLINK("http://ictvonline.org/taxonomyHistory.asp?taxnode_id=20165374","ICTVonline=20165374")</f>
        <v>ICTVonline=20165374</v>
      </c>
    </row>
    <row r="2952" spans="1:14" x14ac:dyDescent="0.15">
      <c r="A2952" s="3">
        <v>2951</v>
      </c>
      <c r="B2952" s="1" t="s">
        <v>926</v>
      </c>
      <c r="C2952" s="1" t="s">
        <v>5384</v>
      </c>
      <c r="E2952" s="1" t="s">
        <v>9520</v>
      </c>
      <c r="F2952" s="1" t="s">
        <v>9565</v>
      </c>
      <c r="G2952" s="3">
        <v>0</v>
      </c>
      <c r="H2952" s="20" t="s">
        <v>9557</v>
      </c>
      <c r="I2952" s="20" t="s">
        <v>9558</v>
      </c>
      <c r="J2952" s="20" t="s">
        <v>5199</v>
      </c>
      <c r="K2952" s="20" t="s">
        <v>10013</v>
      </c>
      <c r="L2952" s="3">
        <v>31</v>
      </c>
      <c r="M2952" s="3" t="s">
        <v>9376</v>
      </c>
      <c r="N2952" s="3" t="str">
        <f>HYPERLINK("http://ictvonline.org/taxonomyHistory.asp?taxnode_id=20165375","ICTVonline=20165375")</f>
        <v>ICTVonline=20165375</v>
      </c>
    </row>
    <row r="2953" spans="1:14" x14ac:dyDescent="0.15">
      <c r="A2953" s="3">
        <v>2952</v>
      </c>
      <c r="B2953" s="1" t="s">
        <v>926</v>
      </c>
      <c r="C2953" s="1" t="s">
        <v>5384</v>
      </c>
      <c r="E2953" s="1" t="s">
        <v>9566</v>
      </c>
      <c r="F2953" s="1" t="s">
        <v>9567</v>
      </c>
      <c r="G2953" s="3">
        <v>1</v>
      </c>
      <c r="H2953" s="20" t="s">
        <v>9568</v>
      </c>
      <c r="I2953" s="20" t="s">
        <v>9569</v>
      </c>
      <c r="J2953" s="20" t="s">
        <v>5199</v>
      </c>
      <c r="K2953" s="20" t="s">
        <v>10013</v>
      </c>
      <c r="L2953" s="3">
        <v>31</v>
      </c>
      <c r="M2953" s="3" t="s">
        <v>9376</v>
      </c>
      <c r="N2953" s="3" t="str">
        <f>HYPERLINK("http://ictvonline.org/taxonomyHistory.asp?taxnode_id=20165376","ICTVonline=20165376")</f>
        <v>ICTVonline=20165376</v>
      </c>
    </row>
    <row r="2954" spans="1:14" x14ac:dyDescent="0.15">
      <c r="A2954" s="3">
        <v>2953</v>
      </c>
      <c r="B2954" s="1" t="s">
        <v>926</v>
      </c>
      <c r="C2954" s="1" t="s">
        <v>5384</v>
      </c>
      <c r="E2954" s="1" t="s">
        <v>9566</v>
      </c>
      <c r="F2954" s="1" t="s">
        <v>9570</v>
      </c>
      <c r="G2954" s="3">
        <v>0</v>
      </c>
      <c r="H2954" s="20" t="s">
        <v>9571</v>
      </c>
      <c r="I2954" s="20" t="s">
        <v>9572</v>
      </c>
      <c r="J2954" s="20" t="s">
        <v>5199</v>
      </c>
      <c r="K2954" s="20" t="s">
        <v>10013</v>
      </c>
      <c r="L2954" s="3">
        <v>31</v>
      </c>
      <c r="M2954" s="3" t="s">
        <v>9376</v>
      </c>
      <c r="N2954" s="3" t="str">
        <f>HYPERLINK("http://ictvonline.org/taxonomyHistory.asp?taxnode_id=20165377","ICTVonline=20165377")</f>
        <v>ICTVonline=20165377</v>
      </c>
    </row>
    <row r="2955" spans="1:14" x14ac:dyDescent="0.15">
      <c r="A2955" s="3">
        <v>2954</v>
      </c>
      <c r="B2955" s="1" t="s">
        <v>926</v>
      </c>
      <c r="C2955" s="1" t="s">
        <v>5384</v>
      </c>
      <c r="E2955" s="1" t="s">
        <v>9573</v>
      </c>
      <c r="F2955" s="1" t="s">
        <v>9574</v>
      </c>
      <c r="G2955" s="3">
        <v>1</v>
      </c>
      <c r="H2955" s="20" t="s">
        <v>9575</v>
      </c>
      <c r="I2955" s="20" t="s">
        <v>9576</v>
      </c>
      <c r="J2955" s="20" t="s">
        <v>5199</v>
      </c>
      <c r="K2955" s="20" t="s">
        <v>10013</v>
      </c>
      <c r="L2955" s="3">
        <v>31</v>
      </c>
      <c r="M2955" s="3" t="s">
        <v>9376</v>
      </c>
      <c r="N2955" s="3" t="str">
        <f>HYPERLINK("http://ictvonline.org/taxonomyHistory.asp?taxnode_id=20165378","ICTVonline=20165378")</f>
        <v>ICTVonline=20165378</v>
      </c>
    </row>
    <row r="2956" spans="1:14" x14ac:dyDescent="0.15">
      <c r="A2956" s="3">
        <v>2955</v>
      </c>
      <c r="B2956" s="1" t="s">
        <v>926</v>
      </c>
      <c r="C2956" s="1" t="s">
        <v>5384</v>
      </c>
      <c r="E2956" s="1" t="s">
        <v>9573</v>
      </c>
      <c r="F2956" s="1" t="s">
        <v>9577</v>
      </c>
      <c r="G2956" s="3">
        <v>0</v>
      </c>
      <c r="H2956" s="20" t="s">
        <v>9578</v>
      </c>
      <c r="I2956" s="20" t="s">
        <v>9579</v>
      </c>
      <c r="J2956" s="20" t="s">
        <v>5199</v>
      </c>
      <c r="K2956" s="20" t="s">
        <v>10013</v>
      </c>
      <c r="L2956" s="3">
        <v>31</v>
      </c>
      <c r="M2956" s="3" t="s">
        <v>9376</v>
      </c>
      <c r="N2956" s="3" t="str">
        <f>HYPERLINK("http://ictvonline.org/taxonomyHistory.asp?taxnode_id=20165379","ICTVonline=20165379")</f>
        <v>ICTVonline=20165379</v>
      </c>
    </row>
    <row r="2957" spans="1:14" x14ac:dyDescent="0.15">
      <c r="A2957" s="3">
        <v>2956</v>
      </c>
      <c r="B2957" s="1" t="s">
        <v>926</v>
      </c>
      <c r="C2957" s="1" t="s">
        <v>5384</v>
      </c>
      <c r="E2957" s="1" t="s">
        <v>9573</v>
      </c>
      <c r="F2957" s="1" t="s">
        <v>9580</v>
      </c>
      <c r="G2957" s="3">
        <v>0</v>
      </c>
      <c r="H2957" s="20" t="s">
        <v>9581</v>
      </c>
      <c r="I2957" s="20" t="s">
        <v>9582</v>
      </c>
      <c r="J2957" s="20" t="s">
        <v>5199</v>
      </c>
      <c r="K2957" s="20" t="s">
        <v>10013</v>
      </c>
      <c r="L2957" s="3">
        <v>31</v>
      </c>
      <c r="M2957" s="3" t="s">
        <v>9376</v>
      </c>
      <c r="N2957" s="3" t="str">
        <f>HYPERLINK("http://ictvonline.org/taxonomyHistory.asp?taxnode_id=20165380","ICTVonline=20165380")</f>
        <v>ICTVonline=20165380</v>
      </c>
    </row>
    <row r="2958" spans="1:14" x14ac:dyDescent="0.15">
      <c r="A2958" s="3">
        <v>2957</v>
      </c>
      <c r="B2958" s="1" t="s">
        <v>926</v>
      </c>
      <c r="C2958" s="1" t="s">
        <v>5384</v>
      </c>
      <c r="E2958" s="1" t="s">
        <v>9583</v>
      </c>
      <c r="F2958" s="1" t="s">
        <v>9584</v>
      </c>
      <c r="G2958" s="3">
        <v>1</v>
      </c>
      <c r="H2958" s="20" t="s">
        <v>9585</v>
      </c>
      <c r="I2958" s="20" t="s">
        <v>9586</v>
      </c>
      <c r="J2958" s="20" t="s">
        <v>5199</v>
      </c>
      <c r="K2958" s="20" t="s">
        <v>10013</v>
      </c>
      <c r="L2958" s="3">
        <v>31</v>
      </c>
      <c r="M2958" s="3" t="s">
        <v>9376</v>
      </c>
      <c r="N2958" s="3" t="str">
        <f>HYPERLINK("http://ictvonline.org/taxonomyHistory.asp?taxnode_id=20165381","ICTVonline=20165381")</f>
        <v>ICTVonline=20165381</v>
      </c>
    </row>
    <row r="2959" spans="1:14" x14ac:dyDescent="0.15">
      <c r="A2959" s="3">
        <v>2958</v>
      </c>
      <c r="B2959" s="1" t="s">
        <v>926</v>
      </c>
      <c r="C2959" s="1" t="s">
        <v>5384</v>
      </c>
      <c r="E2959" s="1" t="s">
        <v>9587</v>
      </c>
      <c r="F2959" s="1" t="s">
        <v>9588</v>
      </c>
      <c r="G2959" s="3">
        <v>1</v>
      </c>
      <c r="H2959" s="20" t="s">
        <v>9589</v>
      </c>
      <c r="I2959" s="20" t="s">
        <v>9590</v>
      </c>
      <c r="J2959" s="20" t="s">
        <v>5199</v>
      </c>
      <c r="K2959" s="20" t="s">
        <v>10013</v>
      </c>
      <c r="L2959" s="3">
        <v>31</v>
      </c>
      <c r="M2959" s="3" t="s">
        <v>9376</v>
      </c>
      <c r="N2959" s="3" t="str">
        <f>HYPERLINK("http://ictvonline.org/taxonomyHistory.asp?taxnode_id=20165382","ICTVonline=20165382")</f>
        <v>ICTVonline=20165382</v>
      </c>
    </row>
    <row r="2960" spans="1:14" x14ac:dyDescent="0.15">
      <c r="A2960" s="3">
        <v>2959</v>
      </c>
      <c r="B2960" s="1" t="s">
        <v>926</v>
      </c>
      <c r="C2960" s="1" t="s">
        <v>5384</v>
      </c>
      <c r="E2960" s="1" t="s">
        <v>9591</v>
      </c>
      <c r="F2960" s="1" t="s">
        <v>9592</v>
      </c>
      <c r="G2960" s="3">
        <v>1</v>
      </c>
      <c r="H2960" s="20" t="s">
        <v>9593</v>
      </c>
      <c r="I2960" s="20" t="s">
        <v>9594</v>
      </c>
      <c r="J2960" s="20" t="s">
        <v>5199</v>
      </c>
      <c r="K2960" s="20" t="s">
        <v>10013</v>
      </c>
      <c r="L2960" s="3">
        <v>31</v>
      </c>
      <c r="M2960" s="3" t="s">
        <v>9376</v>
      </c>
      <c r="N2960" s="3" t="str">
        <f>HYPERLINK("http://ictvonline.org/taxonomyHistory.asp?taxnode_id=20165383","ICTVonline=20165383")</f>
        <v>ICTVonline=20165383</v>
      </c>
    </row>
    <row r="2961" spans="1:14" x14ac:dyDescent="0.15">
      <c r="A2961" s="3">
        <v>2960</v>
      </c>
      <c r="B2961" s="1" t="s">
        <v>926</v>
      </c>
      <c r="C2961" s="1" t="s">
        <v>387</v>
      </c>
      <c r="E2961" s="1" t="s">
        <v>388</v>
      </c>
      <c r="F2961" s="1" t="s">
        <v>389</v>
      </c>
      <c r="G2961" s="3">
        <v>1</v>
      </c>
      <c r="H2961" s="20" t="s">
        <v>5389</v>
      </c>
      <c r="J2961" s="20" t="s">
        <v>2860</v>
      </c>
      <c r="K2961" s="20" t="s">
        <v>10072</v>
      </c>
      <c r="L2961" s="3">
        <v>24</v>
      </c>
      <c r="M2961" s="3" t="s">
        <v>10306</v>
      </c>
      <c r="N2961" s="3" t="str">
        <f>HYPERLINK("http://ictvonline.org/taxonomyHistory.asp?taxnode_id=20162881","ICTVonline=20162881")</f>
        <v>ICTVonline=20162881</v>
      </c>
    </row>
    <row r="2962" spans="1:14" x14ac:dyDescent="0.15">
      <c r="A2962" s="3">
        <v>2961</v>
      </c>
      <c r="B2962" s="1" t="s">
        <v>926</v>
      </c>
      <c r="C2962" s="1" t="s">
        <v>387</v>
      </c>
      <c r="E2962" s="1" t="s">
        <v>388</v>
      </c>
      <c r="F2962" s="1" t="s">
        <v>685</v>
      </c>
      <c r="G2962" s="3">
        <v>0</v>
      </c>
      <c r="H2962" s="20" t="s">
        <v>5390</v>
      </c>
      <c r="J2962" s="20" t="s">
        <v>2860</v>
      </c>
      <c r="K2962" s="20" t="s">
        <v>10013</v>
      </c>
      <c r="L2962" s="3">
        <v>24</v>
      </c>
      <c r="M2962" s="3" t="s">
        <v>10307</v>
      </c>
      <c r="N2962" s="3" t="str">
        <f>HYPERLINK("http://ictvonline.org/taxonomyHistory.asp?taxnode_id=20162882","ICTVonline=20162882")</f>
        <v>ICTVonline=20162882</v>
      </c>
    </row>
    <row r="2963" spans="1:14" x14ac:dyDescent="0.15">
      <c r="A2963" s="3">
        <v>2962</v>
      </c>
      <c r="B2963" s="1" t="s">
        <v>926</v>
      </c>
      <c r="C2963" s="1" t="s">
        <v>1506</v>
      </c>
      <c r="E2963" s="1" t="s">
        <v>2351</v>
      </c>
      <c r="F2963" s="1" t="s">
        <v>249</v>
      </c>
      <c r="G2963" s="3">
        <v>1</v>
      </c>
      <c r="J2963" s="20" t="s">
        <v>2860</v>
      </c>
      <c r="K2963" s="20" t="s">
        <v>10016</v>
      </c>
      <c r="L2963" s="3">
        <v>27</v>
      </c>
      <c r="M2963" s="3" t="s">
        <v>10308</v>
      </c>
      <c r="N2963" s="3" t="str">
        <f>HYPERLINK("http://ictvonline.org/taxonomyHistory.asp?taxnode_id=20162886","ICTVonline=20162886")</f>
        <v>ICTVonline=20162886</v>
      </c>
    </row>
    <row r="2964" spans="1:14" x14ac:dyDescent="0.15">
      <c r="A2964" s="3">
        <v>2963</v>
      </c>
      <c r="B2964" s="1" t="s">
        <v>926</v>
      </c>
      <c r="C2964" s="1" t="s">
        <v>1506</v>
      </c>
      <c r="E2964" s="1" t="s">
        <v>2352</v>
      </c>
      <c r="F2964" s="1" t="s">
        <v>2353</v>
      </c>
      <c r="G2964" s="3">
        <v>1</v>
      </c>
      <c r="H2964" s="20" t="s">
        <v>5391</v>
      </c>
      <c r="J2964" s="20" t="s">
        <v>2860</v>
      </c>
      <c r="K2964" s="20" t="s">
        <v>10072</v>
      </c>
      <c r="L2964" s="3">
        <v>27</v>
      </c>
      <c r="M2964" s="3" t="s">
        <v>10308</v>
      </c>
      <c r="N2964" s="3" t="str">
        <f>HYPERLINK("http://ictvonline.org/taxonomyHistory.asp?taxnode_id=20162888","ICTVonline=20162888")</f>
        <v>ICTVonline=20162888</v>
      </c>
    </row>
    <row r="2965" spans="1:14" x14ac:dyDescent="0.15">
      <c r="A2965" s="3">
        <v>2964</v>
      </c>
      <c r="B2965" s="1" t="s">
        <v>926</v>
      </c>
      <c r="C2965" s="1" t="s">
        <v>250</v>
      </c>
      <c r="E2965" s="1" t="s">
        <v>1273</v>
      </c>
      <c r="F2965" s="1" t="s">
        <v>1274</v>
      </c>
      <c r="G2965" s="3">
        <v>1</v>
      </c>
      <c r="J2965" s="20" t="s">
        <v>5115</v>
      </c>
      <c r="K2965" s="20" t="s">
        <v>10072</v>
      </c>
      <c r="L2965" s="3">
        <v>12</v>
      </c>
      <c r="M2965" s="3" t="s">
        <v>10281</v>
      </c>
      <c r="N2965" s="3" t="str">
        <f>HYPERLINK("http://ictvonline.org/taxonomyHistory.asp?taxnode_id=20162892","ICTVonline=20162892")</f>
        <v>ICTVonline=20162892</v>
      </c>
    </row>
    <row r="2966" spans="1:14" x14ac:dyDescent="0.15">
      <c r="A2966" s="3">
        <v>2965</v>
      </c>
      <c r="B2966" s="1" t="s">
        <v>926</v>
      </c>
      <c r="C2966" s="1" t="s">
        <v>250</v>
      </c>
      <c r="E2966" s="1" t="s">
        <v>1273</v>
      </c>
      <c r="F2966" s="1" t="s">
        <v>1275</v>
      </c>
      <c r="G2966" s="3">
        <v>0</v>
      </c>
      <c r="J2966" s="20" t="s">
        <v>5115</v>
      </c>
      <c r="K2966" s="20" t="s">
        <v>10013</v>
      </c>
      <c r="L2966" s="3">
        <v>12</v>
      </c>
      <c r="M2966" s="3" t="s">
        <v>10281</v>
      </c>
      <c r="N2966" s="3" t="str">
        <f>HYPERLINK("http://ictvonline.org/taxonomyHistory.asp?taxnode_id=20162893","ICTVonline=20162893")</f>
        <v>ICTVonline=20162893</v>
      </c>
    </row>
    <row r="2967" spans="1:14" x14ac:dyDescent="0.15">
      <c r="A2967" s="3">
        <v>2966</v>
      </c>
      <c r="B2967" s="1" t="s">
        <v>926</v>
      </c>
      <c r="C2967" s="1" t="s">
        <v>250</v>
      </c>
      <c r="E2967" s="1" t="s">
        <v>1273</v>
      </c>
      <c r="F2967" s="1" t="s">
        <v>9595</v>
      </c>
      <c r="G2967" s="3">
        <v>0</v>
      </c>
      <c r="H2967" s="20" t="s">
        <v>9596</v>
      </c>
      <c r="I2967" s="20" t="s">
        <v>9597</v>
      </c>
      <c r="J2967" s="20" t="s">
        <v>5115</v>
      </c>
      <c r="K2967" s="20" t="s">
        <v>10013</v>
      </c>
      <c r="L2967" s="3">
        <v>31</v>
      </c>
      <c r="M2967" s="3" t="s">
        <v>9598</v>
      </c>
      <c r="N2967" s="3" t="str">
        <f>HYPERLINK("http://ictvonline.org/taxonomyHistory.asp?taxnode_id=20165384","ICTVonline=20165384")</f>
        <v>ICTVonline=20165384</v>
      </c>
    </row>
    <row r="2968" spans="1:14" x14ac:dyDescent="0.15">
      <c r="A2968" s="3">
        <v>2967</v>
      </c>
      <c r="B2968" s="1" t="s">
        <v>926</v>
      </c>
      <c r="C2968" s="1" t="s">
        <v>250</v>
      </c>
      <c r="E2968" s="1" t="s">
        <v>1276</v>
      </c>
      <c r="F2968" s="1" t="s">
        <v>1277</v>
      </c>
      <c r="G2968" s="3">
        <v>0</v>
      </c>
      <c r="J2968" s="20" t="s">
        <v>5115</v>
      </c>
      <c r="K2968" s="20" t="s">
        <v>10021</v>
      </c>
      <c r="L2968" s="3">
        <v>23</v>
      </c>
      <c r="M2968" s="3" t="s">
        <v>10229</v>
      </c>
      <c r="N2968" s="3" t="str">
        <f>HYPERLINK("http://ictvonline.org/taxonomyHistory.asp?taxnode_id=20162895","ICTVonline=20162895")</f>
        <v>ICTVonline=20162895</v>
      </c>
    </row>
    <row r="2969" spans="1:14" x14ac:dyDescent="0.15">
      <c r="A2969" s="3">
        <v>2968</v>
      </c>
      <c r="B2969" s="1" t="s">
        <v>926</v>
      </c>
      <c r="C2969" s="1" t="s">
        <v>250</v>
      </c>
      <c r="E2969" s="1" t="s">
        <v>1276</v>
      </c>
      <c r="F2969" s="1" t="s">
        <v>1278</v>
      </c>
      <c r="G2969" s="3">
        <v>1</v>
      </c>
      <c r="J2969" s="20" t="s">
        <v>5115</v>
      </c>
      <c r="K2969" s="20" t="s">
        <v>10072</v>
      </c>
      <c r="L2969" s="3">
        <v>12</v>
      </c>
      <c r="M2969" s="3" t="s">
        <v>10281</v>
      </c>
      <c r="N2969" s="3" t="str">
        <f>HYPERLINK("http://ictvonline.org/taxonomyHistory.asp?taxnode_id=20162896","ICTVonline=20162896")</f>
        <v>ICTVonline=20162896</v>
      </c>
    </row>
    <row r="2970" spans="1:14" x14ac:dyDescent="0.15">
      <c r="A2970" s="3">
        <v>2969</v>
      </c>
      <c r="B2970" s="1" t="s">
        <v>926</v>
      </c>
      <c r="C2970" s="1" t="s">
        <v>250</v>
      </c>
      <c r="E2970" s="1" t="s">
        <v>1276</v>
      </c>
      <c r="F2970" s="1" t="s">
        <v>5392</v>
      </c>
      <c r="G2970" s="3">
        <v>0</v>
      </c>
      <c r="H2970" s="20" t="s">
        <v>3187</v>
      </c>
      <c r="J2970" s="20" t="s">
        <v>5115</v>
      </c>
      <c r="K2970" s="20" t="s">
        <v>10021</v>
      </c>
      <c r="L2970" s="3">
        <v>30</v>
      </c>
      <c r="M2970" s="3" t="s">
        <v>10309</v>
      </c>
      <c r="N2970" s="3" t="str">
        <f>HYPERLINK("http://ictvonline.org/taxonomyHistory.asp?taxnode_id=20162897","ICTVonline=20162897")</f>
        <v>ICTVonline=20162897</v>
      </c>
    </row>
    <row r="2971" spans="1:14" x14ac:dyDescent="0.15">
      <c r="A2971" s="3">
        <v>2970</v>
      </c>
      <c r="B2971" s="1" t="s">
        <v>926</v>
      </c>
      <c r="C2971" s="1" t="s">
        <v>250</v>
      </c>
      <c r="E2971" s="1" t="s">
        <v>1276</v>
      </c>
      <c r="F2971" s="1" t="s">
        <v>9599</v>
      </c>
      <c r="G2971" s="3">
        <v>0</v>
      </c>
      <c r="H2971" s="20" t="s">
        <v>9600</v>
      </c>
      <c r="I2971" s="20" t="s">
        <v>9601</v>
      </c>
      <c r="J2971" s="20" t="s">
        <v>5115</v>
      </c>
      <c r="K2971" s="20" t="s">
        <v>10013</v>
      </c>
      <c r="L2971" s="3">
        <v>31</v>
      </c>
      <c r="M2971" s="3" t="s">
        <v>9602</v>
      </c>
      <c r="N2971" s="3" t="str">
        <f>HYPERLINK("http://ictvonline.org/taxonomyHistory.asp?taxnode_id=20165385","ICTVonline=20165385")</f>
        <v>ICTVonline=20165385</v>
      </c>
    </row>
    <row r="2972" spans="1:14" x14ac:dyDescent="0.15">
      <c r="A2972" s="3">
        <v>2971</v>
      </c>
      <c r="B2972" s="1" t="s">
        <v>926</v>
      </c>
      <c r="C2972" s="1" t="s">
        <v>250</v>
      </c>
      <c r="E2972" s="1" t="s">
        <v>1276</v>
      </c>
      <c r="F2972" s="1" t="s">
        <v>5393</v>
      </c>
      <c r="G2972" s="3">
        <v>0</v>
      </c>
      <c r="H2972" s="20" t="s">
        <v>6947</v>
      </c>
      <c r="I2972" s="20" t="s">
        <v>5394</v>
      </c>
      <c r="J2972" s="20" t="s">
        <v>5115</v>
      </c>
      <c r="K2972" s="20" t="s">
        <v>10013</v>
      </c>
      <c r="L2972" s="3">
        <v>30</v>
      </c>
      <c r="M2972" s="3" t="s">
        <v>10309</v>
      </c>
      <c r="N2972" s="3" t="str">
        <f>HYPERLINK("http://ictvonline.org/taxonomyHistory.asp?taxnode_id=20162898","ICTVonline=20162898")</f>
        <v>ICTVonline=20162898</v>
      </c>
    </row>
    <row r="2973" spans="1:14" x14ac:dyDescent="0.15">
      <c r="A2973" s="3">
        <v>2972</v>
      </c>
      <c r="B2973" s="1" t="s">
        <v>926</v>
      </c>
      <c r="C2973" s="1" t="s">
        <v>250</v>
      </c>
      <c r="E2973" s="1" t="s">
        <v>1276</v>
      </c>
      <c r="F2973" s="1" t="s">
        <v>5395</v>
      </c>
      <c r="G2973" s="3">
        <v>0</v>
      </c>
      <c r="H2973" s="20" t="s">
        <v>10553</v>
      </c>
      <c r="I2973" s="20" t="s">
        <v>5396</v>
      </c>
      <c r="J2973" s="20" t="s">
        <v>5115</v>
      </c>
      <c r="K2973" s="20" t="s">
        <v>10013</v>
      </c>
      <c r="L2973" s="3">
        <v>30</v>
      </c>
      <c r="M2973" s="3" t="s">
        <v>10309</v>
      </c>
      <c r="N2973" s="3" t="str">
        <f>HYPERLINK("http://ictvonline.org/taxonomyHistory.asp?taxnode_id=20162899","ICTVonline=20162899")</f>
        <v>ICTVonline=20162899</v>
      </c>
    </row>
    <row r="2974" spans="1:14" x14ac:dyDescent="0.15">
      <c r="A2974" s="3">
        <v>2973</v>
      </c>
      <c r="B2974" s="1" t="s">
        <v>926</v>
      </c>
      <c r="C2974" s="1" t="s">
        <v>250</v>
      </c>
      <c r="E2974" s="1" t="s">
        <v>1276</v>
      </c>
      <c r="F2974" s="1" t="s">
        <v>1279</v>
      </c>
      <c r="G2974" s="3">
        <v>0</v>
      </c>
      <c r="J2974" s="20" t="s">
        <v>5115</v>
      </c>
      <c r="K2974" s="20" t="s">
        <v>10021</v>
      </c>
      <c r="L2974" s="3">
        <v>23</v>
      </c>
      <c r="M2974" s="3" t="s">
        <v>10229</v>
      </c>
      <c r="N2974" s="3" t="str">
        <f>HYPERLINK("http://ictvonline.org/taxonomyHistory.asp?taxnode_id=20162900","ICTVonline=20162900")</f>
        <v>ICTVonline=20162900</v>
      </c>
    </row>
    <row r="2975" spans="1:14" x14ac:dyDescent="0.15">
      <c r="A2975" s="3">
        <v>2974</v>
      </c>
      <c r="B2975" s="1" t="s">
        <v>926</v>
      </c>
      <c r="C2975" s="1" t="s">
        <v>250</v>
      </c>
      <c r="E2975" s="1" t="s">
        <v>1276</v>
      </c>
      <c r="F2975" s="1" t="s">
        <v>257</v>
      </c>
      <c r="G2975" s="3">
        <v>0</v>
      </c>
      <c r="J2975" s="20" t="s">
        <v>5115</v>
      </c>
      <c r="K2975" s="20" t="s">
        <v>10013</v>
      </c>
      <c r="L2975" s="3">
        <v>23</v>
      </c>
      <c r="M2975" s="3" t="s">
        <v>10229</v>
      </c>
      <c r="N2975" s="3" t="str">
        <f>HYPERLINK("http://ictvonline.org/taxonomyHistory.asp?taxnode_id=20162901","ICTVonline=20162901")</f>
        <v>ICTVonline=20162901</v>
      </c>
    </row>
    <row r="2976" spans="1:14" x14ac:dyDescent="0.15">
      <c r="A2976" s="3">
        <v>2975</v>
      </c>
      <c r="B2976" s="1" t="s">
        <v>926</v>
      </c>
      <c r="C2976" s="1" t="s">
        <v>250</v>
      </c>
      <c r="E2976" s="1" t="s">
        <v>926</v>
      </c>
      <c r="F2976" s="1" t="s">
        <v>9603</v>
      </c>
      <c r="G2976" s="3">
        <v>0</v>
      </c>
      <c r="H2976" s="20" t="s">
        <v>9604</v>
      </c>
      <c r="I2976" s="20" t="s">
        <v>9605</v>
      </c>
      <c r="J2976" s="20" t="s">
        <v>5115</v>
      </c>
      <c r="K2976" s="20" t="s">
        <v>10013</v>
      </c>
      <c r="L2976" s="3">
        <v>31</v>
      </c>
      <c r="M2976" s="3" t="s">
        <v>9606</v>
      </c>
      <c r="N2976" s="3" t="str">
        <f>HYPERLINK("http://ictvonline.org/taxonomyHistory.asp?taxnode_id=20165386","ICTVonline=20165386")</f>
        <v>ICTVonline=20165386</v>
      </c>
    </row>
    <row r="2977" spans="1:14" x14ac:dyDescent="0.15">
      <c r="A2977" s="3">
        <v>2976</v>
      </c>
      <c r="B2977" s="1" t="s">
        <v>926</v>
      </c>
      <c r="C2977" s="1" t="s">
        <v>1107</v>
      </c>
      <c r="E2977" s="1" t="s">
        <v>2787</v>
      </c>
      <c r="F2977" s="1" t="s">
        <v>2788</v>
      </c>
      <c r="G2977" s="3">
        <v>1</v>
      </c>
      <c r="J2977" s="20" t="s">
        <v>3160</v>
      </c>
      <c r="K2977" s="20" t="s">
        <v>10014</v>
      </c>
      <c r="L2977" s="3">
        <v>29</v>
      </c>
      <c r="M2977" s="3" t="s">
        <v>10310</v>
      </c>
      <c r="N2977" s="3" t="str">
        <f>HYPERLINK("http://ictvonline.org/taxonomyHistory.asp?taxnode_id=20162905","ICTVonline=20162905")</f>
        <v>ICTVonline=20162905</v>
      </c>
    </row>
    <row r="2978" spans="1:14" x14ac:dyDescent="0.15">
      <c r="A2978" s="3">
        <v>2977</v>
      </c>
      <c r="B2978" s="1" t="s">
        <v>926</v>
      </c>
      <c r="C2978" s="1" t="s">
        <v>1107</v>
      </c>
      <c r="E2978" s="1" t="s">
        <v>2787</v>
      </c>
      <c r="F2978" s="1" t="s">
        <v>2789</v>
      </c>
      <c r="G2978" s="3">
        <v>0</v>
      </c>
      <c r="J2978" s="20" t="s">
        <v>3160</v>
      </c>
      <c r="K2978" s="20" t="s">
        <v>10014</v>
      </c>
      <c r="L2978" s="3">
        <v>29</v>
      </c>
      <c r="M2978" s="3" t="s">
        <v>10310</v>
      </c>
      <c r="N2978" s="3" t="str">
        <f>HYPERLINK("http://ictvonline.org/taxonomyHistory.asp?taxnode_id=20162906","ICTVonline=20162906")</f>
        <v>ICTVonline=20162906</v>
      </c>
    </row>
    <row r="2979" spans="1:14" x14ac:dyDescent="0.15">
      <c r="A2979" s="3">
        <v>2978</v>
      </c>
      <c r="B2979" s="1" t="s">
        <v>926</v>
      </c>
      <c r="C2979" s="1" t="s">
        <v>1107</v>
      </c>
      <c r="E2979" s="1" t="s">
        <v>2787</v>
      </c>
      <c r="F2979" s="1" t="s">
        <v>2790</v>
      </c>
      <c r="G2979" s="3">
        <v>0</v>
      </c>
      <c r="H2979" s="20" t="s">
        <v>3188</v>
      </c>
      <c r="I2979" s="20" t="s">
        <v>3189</v>
      </c>
      <c r="J2979" s="20" t="s">
        <v>3160</v>
      </c>
      <c r="K2979" s="20" t="s">
        <v>10013</v>
      </c>
      <c r="L2979" s="3">
        <v>29</v>
      </c>
      <c r="M2979" s="3" t="s">
        <v>10310</v>
      </c>
      <c r="N2979" s="3" t="str">
        <f>HYPERLINK("http://ictvonline.org/taxonomyHistory.asp?taxnode_id=20162907","ICTVonline=20162907")</f>
        <v>ICTVonline=20162907</v>
      </c>
    </row>
    <row r="2980" spans="1:14" x14ac:dyDescent="0.15">
      <c r="A2980" s="3">
        <v>2979</v>
      </c>
      <c r="B2980" s="1" t="s">
        <v>926</v>
      </c>
      <c r="C2980" s="1" t="s">
        <v>1107</v>
      </c>
      <c r="E2980" s="1" t="s">
        <v>2787</v>
      </c>
      <c r="F2980" s="1" t="s">
        <v>2791</v>
      </c>
      <c r="G2980" s="3">
        <v>0</v>
      </c>
      <c r="H2980" s="20" t="s">
        <v>3190</v>
      </c>
      <c r="I2980" s="20" t="s">
        <v>3191</v>
      </c>
      <c r="J2980" s="20" t="s">
        <v>3160</v>
      </c>
      <c r="K2980" s="20" t="s">
        <v>10013</v>
      </c>
      <c r="L2980" s="3">
        <v>29</v>
      </c>
      <c r="M2980" s="3" t="s">
        <v>10310</v>
      </c>
      <c r="N2980" s="3" t="str">
        <f>HYPERLINK("http://ictvonline.org/taxonomyHistory.asp?taxnode_id=20162908","ICTVonline=20162908")</f>
        <v>ICTVonline=20162908</v>
      </c>
    </row>
    <row r="2981" spans="1:14" x14ac:dyDescent="0.15">
      <c r="A2981" s="3">
        <v>2980</v>
      </c>
      <c r="B2981" s="1" t="s">
        <v>926</v>
      </c>
      <c r="C2981" s="1" t="s">
        <v>1107</v>
      </c>
      <c r="E2981" s="1" t="s">
        <v>2792</v>
      </c>
      <c r="F2981" s="1" t="s">
        <v>2793</v>
      </c>
      <c r="G2981" s="3">
        <v>1</v>
      </c>
      <c r="H2981" s="20" t="s">
        <v>3192</v>
      </c>
      <c r="I2981" s="20" t="s">
        <v>7191</v>
      </c>
      <c r="J2981" s="20" t="s">
        <v>3160</v>
      </c>
      <c r="K2981" s="20" t="s">
        <v>10013</v>
      </c>
      <c r="L2981" s="3">
        <v>29</v>
      </c>
      <c r="M2981" s="3" t="s">
        <v>10310</v>
      </c>
      <c r="N2981" s="3" t="str">
        <f>HYPERLINK("http://ictvonline.org/taxonomyHistory.asp?taxnode_id=20162910","ICTVonline=20162910")</f>
        <v>ICTVonline=20162910</v>
      </c>
    </row>
    <row r="2982" spans="1:14" x14ac:dyDescent="0.15">
      <c r="A2982" s="3">
        <v>2981</v>
      </c>
      <c r="B2982" s="1" t="s">
        <v>926</v>
      </c>
      <c r="C2982" s="1" t="s">
        <v>258</v>
      </c>
      <c r="E2982" s="1" t="s">
        <v>259</v>
      </c>
      <c r="F2982" s="1" t="s">
        <v>260</v>
      </c>
      <c r="G2982" s="3">
        <v>1</v>
      </c>
      <c r="H2982" s="20" t="s">
        <v>5397</v>
      </c>
      <c r="I2982" s="20" t="s">
        <v>5398</v>
      </c>
      <c r="J2982" s="20" t="s">
        <v>3160</v>
      </c>
      <c r="K2982" s="20" t="s">
        <v>10216</v>
      </c>
      <c r="L2982" s="3">
        <v>18</v>
      </c>
      <c r="M2982" s="3" t="s">
        <v>10101</v>
      </c>
      <c r="N2982" s="3" t="str">
        <f>HYPERLINK("http://ictvonline.org/taxonomyHistory.asp?taxnode_id=20162914","ICTVonline=20162914")</f>
        <v>ICTVonline=20162914</v>
      </c>
    </row>
    <row r="2983" spans="1:14" x14ac:dyDescent="0.15">
      <c r="A2983" s="3">
        <v>2982</v>
      </c>
      <c r="B2983" s="1" t="s">
        <v>926</v>
      </c>
      <c r="C2983" s="1" t="s">
        <v>258</v>
      </c>
      <c r="E2983" s="1" t="s">
        <v>259</v>
      </c>
      <c r="F2983" s="1" t="s">
        <v>261</v>
      </c>
      <c r="G2983" s="3">
        <v>0</v>
      </c>
      <c r="H2983" s="20" t="s">
        <v>5399</v>
      </c>
      <c r="I2983" s="20" t="s">
        <v>5400</v>
      </c>
      <c r="J2983" s="20" t="s">
        <v>3160</v>
      </c>
      <c r="K2983" s="20" t="s">
        <v>10021</v>
      </c>
      <c r="L2983" s="3">
        <v>18</v>
      </c>
      <c r="M2983" s="3" t="s">
        <v>10101</v>
      </c>
      <c r="N2983" s="3" t="str">
        <f>HYPERLINK("http://ictvonline.org/taxonomyHistory.asp?taxnode_id=20162915","ICTVonline=20162915")</f>
        <v>ICTVonline=20162915</v>
      </c>
    </row>
    <row r="2984" spans="1:14" x14ac:dyDescent="0.15">
      <c r="A2984" s="3">
        <v>2983</v>
      </c>
      <c r="B2984" s="1" t="s">
        <v>926</v>
      </c>
      <c r="C2984" s="1" t="s">
        <v>258</v>
      </c>
      <c r="E2984" s="1" t="s">
        <v>259</v>
      </c>
      <c r="F2984" s="1" t="s">
        <v>262</v>
      </c>
      <c r="G2984" s="3">
        <v>0</v>
      </c>
      <c r="H2984" s="20" t="s">
        <v>5401</v>
      </c>
      <c r="I2984" s="20" t="s">
        <v>5402</v>
      </c>
      <c r="J2984" s="20" t="s">
        <v>3160</v>
      </c>
      <c r="K2984" s="20" t="s">
        <v>10013</v>
      </c>
      <c r="L2984" s="3">
        <v>20</v>
      </c>
      <c r="M2984" s="3" t="s">
        <v>10115</v>
      </c>
      <c r="N2984" s="3" t="str">
        <f>HYPERLINK("http://ictvonline.org/taxonomyHistory.asp?taxnode_id=20162916","ICTVonline=20162916")</f>
        <v>ICTVonline=20162916</v>
      </c>
    </row>
    <row r="2985" spans="1:14" x14ac:dyDescent="0.15">
      <c r="A2985" s="3">
        <v>2984</v>
      </c>
      <c r="B2985" s="1" t="s">
        <v>926</v>
      </c>
      <c r="C2985" s="1" t="s">
        <v>258</v>
      </c>
      <c r="E2985" s="1" t="s">
        <v>259</v>
      </c>
      <c r="F2985" s="1" t="s">
        <v>1739</v>
      </c>
      <c r="G2985" s="3">
        <v>0</v>
      </c>
      <c r="H2985" s="20" t="s">
        <v>5403</v>
      </c>
      <c r="I2985" s="20" t="s">
        <v>5404</v>
      </c>
      <c r="J2985" s="20" t="s">
        <v>3160</v>
      </c>
      <c r="K2985" s="20" t="s">
        <v>10013</v>
      </c>
      <c r="L2985" s="3">
        <v>20</v>
      </c>
      <c r="M2985" s="3" t="s">
        <v>10115</v>
      </c>
      <c r="N2985" s="3" t="str">
        <f>HYPERLINK("http://ictvonline.org/taxonomyHistory.asp?taxnode_id=20162917","ICTVonline=20162917")</f>
        <v>ICTVonline=20162917</v>
      </c>
    </row>
    <row r="2986" spans="1:14" x14ac:dyDescent="0.15">
      <c r="A2986" s="3">
        <v>2985</v>
      </c>
      <c r="B2986" s="1" t="s">
        <v>926</v>
      </c>
      <c r="C2986" s="1" t="s">
        <v>97</v>
      </c>
      <c r="E2986" s="1" t="s">
        <v>98</v>
      </c>
      <c r="F2986" s="1" t="s">
        <v>99</v>
      </c>
      <c r="G2986" s="3">
        <v>1</v>
      </c>
      <c r="J2986" s="20" t="s">
        <v>2860</v>
      </c>
      <c r="K2986" s="20" t="s">
        <v>10072</v>
      </c>
      <c r="L2986" s="3">
        <v>26</v>
      </c>
      <c r="M2986" s="3" t="s">
        <v>10311</v>
      </c>
      <c r="N2986" s="3" t="str">
        <f>HYPERLINK("http://ictvonline.org/taxonomyHistory.asp?taxnode_id=20162921","ICTVonline=20162921")</f>
        <v>ICTVonline=20162921</v>
      </c>
    </row>
    <row r="2987" spans="1:14" x14ac:dyDescent="0.15">
      <c r="A2987" s="3">
        <v>2986</v>
      </c>
      <c r="B2987" s="1" t="s">
        <v>926</v>
      </c>
      <c r="C2987" s="1" t="s">
        <v>97</v>
      </c>
      <c r="E2987" s="1" t="s">
        <v>100</v>
      </c>
      <c r="F2987" s="1" t="s">
        <v>101</v>
      </c>
      <c r="G2987" s="3">
        <v>1</v>
      </c>
      <c r="J2987" s="20" t="s">
        <v>2860</v>
      </c>
      <c r="K2987" s="20" t="s">
        <v>10072</v>
      </c>
      <c r="L2987" s="3">
        <v>26</v>
      </c>
      <c r="M2987" s="3" t="s">
        <v>10311</v>
      </c>
      <c r="N2987" s="3" t="str">
        <f>HYPERLINK("http://ictvonline.org/taxonomyHistory.asp?taxnode_id=20162923","ICTVonline=20162923")</f>
        <v>ICTVonline=20162923</v>
      </c>
    </row>
    <row r="2988" spans="1:14" x14ac:dyDescent="0.15">
      <c r="A2988" s="3">
        <v>2987</v>
      </c>
      <c r="B2988" s="1" t="s">
        <v>926</v>
      </c>
      <c r="C2988" s="1" t="s">
        <v>1740</v>
      </c>
      <c r="E2988" s="1" t="s">
        <v>7505</v>
      </c>
      <c r="F2988" s="1" t="s">
        <v>5413</v>
      </c>
      <c r="G2988" s="3">
        <v>1</v>
      </c>
      <c r="H2988" s="20" t="s">
        <v>7506</v>
      </c>
      <c r="I2988" s="20" t="s">
        <v>7507</v>
      </c>
      <c r="J2988" s="20" t="s">
        <v>5405</v>
      </c>
      <c r="K2988" s="20" t="s">
        <v>10016</v>
      </c>
      <c r="L2988" s="3">
        <v>31</v>
      </c>
      <c r="M2988" s="3" t="s">
        <v>7508</v>
      </c>
      <c r="N2988" s="3" t="str">
        <f>HYPERLINK("http://ictvonline.org/taxonomyHistory.asp?taxnode_id=20162949","ICTVonline=20162949")</f>
        <v>ICTVonline=20162949</v>
      </c>
    </row>
    <row r="2989" spans="1:14" x14ac:dyDescent="0.15">
      <c r="A2989" s="3">
        <v>2988</v>
      </c>
      <c r="B2989" s="1" t="s">
        <v>926</v>
      </c>
      <c r="C2989" s="1" t="s">
        <v>1740</v>
      </c>
      <c r="E2989" s="1" t="s">
        <v>7505</v>
      </c>
      <c r="F2989" s="1" t="s">
        <v>9607</v>
      </c>
      <c r="G2989" s="3">
        <v>0</v>
      </c>
      <c r="H2989" s="20" t="s">
        <v>9608</v>
      </c>
      <c r="I2989" s="20" t="s">
        <v>9609</v>
      </c>
      <c r="J2989" s="20" t="s">
        <v>5405</v>
      </c>
      <c r="K2989" s="20" t="s">
        <v>10013</v>
      </c>
      <c r="L2989" s="3">
        <v>31</v>
      </c>
      <c r="M2989" s="3" t="s">
        <v>7508</v>
      </c>
      <c r="N2989" s="3" t="str">
        <f>HYPERLINK("http://ictvonline.org/taxonomyHistory.asp?taxnode_id=20165387","ICTVonline=20165387")</f>
        <v>ICTVonline=20165387</v>
      </c>
    </row>
    <row r="2990" spans="1:14" x14ac:dyDescent="0.15">
      <c r="A2990" s="3">
        <v>2989</v>
      </c>
      <c r="B2990" s="1" t="s">
        <v>926</v>
      </c>
      <c r="C2990" s="1" t="s">
        <v>1740</v>
      </c>
      <c r="E2990" s="1" t="s">
        <v>9610</v>
      </c>
      <c r="F2990" s="1" t="s">
        <v>9611</v>
      </c>
      <c r="G2990" s="3">
        <v>0</v>
      </c>
      <c r="H2990" s="20" t="s">
        <v>9612</v>
      </c>
      <c r="I2990" s="20" t="s">
        <v>9613</v>
      </c>
      <c r="J2990" s="20" t="s">
        <v>5405</v>
      </c>
      <c r="K2990" s="20" t="s">
        <v>10013</v>
      </c>
      <c r="L2990" s="3">
        <v>31</v>
      </c>
      <c r="M2990" s="3" t="s">
        <v>7508</v>
      </c>
      <c r="N2990" s="3" t="str">
        <f>HYPERLINK("http://ictvonline.org/taxonomyHistory.asp?taxnode_id=20165388","ICTVonline=20165388")</f>
        <v>ICTVonline=20165388</v>
      </c>
    </row>
    <row r="2991" spans="1:14" x14ac:dyDescent="0.15">
      <c r="A2991" s="3">
        <v>2990</v>
      </c>
      <c r="B2991" s="1" t="s">
        <v>926</v>
      </c>
      <c r="C2991" s="1" t="s">
        <v>1740</v>
      </c>
      <c r="E2991" s="1" t="s">
        <v>9610</v>
      </c>
      <c r="F2991" s="1" t="s">
        <v>9614</v>
      </c>
      <c r="G2991" s="3">
        <v>1</v>
      </c>
      <c r="H2991" s="20" t="s">
        <v>9615</v>
      </c>
      <c r="I2991" s="20" t="s">
        <v>9616</v>
      </c>
      <c r="J2991" s="20" t="s">
        <v>5405</v>
      </c>
      <c r="K2991" s="20" t="s">
        <v>10013</v>
      </c>
      <c r="L2991" s="3">
        <v>31</v>
      </c>
      <c r="M2991" s="3" t="s">
        <v>7508</v>
      </c>
      <c r="N2991" s="3" t="str">
        <f>HYPERLINK("http://ictvonline.org/taxonomyHistory.asp?taxnode_id=20165389","ICTVonline=20165389")</f>
        <v>ICTVonline=20165389</v>
      </c>
    </row>
    <row r="2992" spans="1:14" x14ac:dyDescent="0.15">
      <c r="A2992" s="3">
        <v>2991</v>
      </c>
      <c r="B2992" s="1" t="s">
        <v>926</v>
      </c>
      <c r="C2992" s="1" t="s">
        <v>1740</v>
      </c>
      <c r="E2992" s="1" t="s">
        <v>9610</v>
      </c>
      <c r="F2992" s="1" t="s">
        <v>9617</v>
      </c>
      <c r="G2992" s="3">
        <v>0</v>
      </c>
      <c r="H2992" s="20" t="s">
        <v>9618</v>
      </c>
      <c r="I2992" s="20" t="s">
        <v>9619</v>
      </c>
      <c r="J2992" s="20" t="s">
        <v>5405</v>
      </c>
      <c r="K2992" s="20" t="s">
        <v>10013</v>
      </c>
      <c r="L2992" s="3">
        <v>31</v>
      </c>
      <c r="M2992" s="3" t="s">
        <v>7508</v>
      </c>
      <c r="N2992" s="3" t="str">
        <f>HYPERLINK("http://ictvonline.org/taxonomyHistory.asp?taxnode_id=20165390","ICTVonline=20165390")</f>
        <v>ICTVonline=20165390</v>
      </c>
    </row>
    <row r="2993" spans="1:14" x14ac:dyDescent="0.15">
      <c r="A2993" s="3">
        <v>2992</v>
      </c>
      <c r="B2993" s="1" t="s">
        <v>926</v>
      </c>
      <c r="C2993" s="1" t="s">
        <v>1740</v>
      </c>
      <c r="E2993" s="1" t="s">
        <v>1741</v>
      </c>
      <c r="F2993" s="1" t="s">
        <v>5408</v>
      </c>
      <c r="G2993" s="3">
        <v>1</v>
      </c>
      <c r="J2993" s="20" t="s">
        <v>5405</v>
      </c>
      <c r="K2993" s="20" t="s">
        <v>10021</v>
      </c>
      <c r="L2993" s="3">
        <v>30</v>
      </c>
      <c r="M2993" s="3" t="s">
        <v>10017</v>
      </c>
      <c r="N2993" s="3" t="str">
        <f>HYPERLINK("http://ictvonline.org/taxonomyHistory.asp?taxnode_id=20162935","ICTVonline=20162935")</f>
        <v>ICTVonline=20162935</v>
      </c>
    </row>
    <row r="2994" spans="1:14" x14ac:dyDescent="0.15">
      <c r="A2994" s="3">
        <v>2993</v>
      </c>
      <c r="B2994" s="1" t="s">
        <v>926</v>
      </c>
      <c r="C2994" s="1" t="s">
        <v>1740</v>
      </c>
      <c r="E2994" s="1" t="s">
        <v>7509</v>
      </c>
      <c r="F2994" s="1" t="s">
        <v>5406</v>
      </c>
      <c r="G2994" s="3">
        <v>0</v>
      </c>
      <c r="H2994" s="20" t="s">
        <v>7510</v>
      </c>
      <c r="I2994" s="20" t="s">
        <v>7511</v>
      </c>
      <c r="J2994" s="20" t="s">
        <v>5405</v>
      </c>
      <c r="K2994" s="20" t="s">
        <v>10016</v>
      </c>
      <c r="L2994" s="3">
        <v>31</v>
      </c>
      <c r="M2994" s="3" t="s">
        <v>7508</v>
      </c>
      <c r="N2994" s="3" t="str">
        <f>HYPERLINK("http://ictvonline.org/taxonomyHistory.asp?taxnode_id=20162933","ICTVonline=20162933")</f>
        <v>ICTVonline=20162933</v>
      </c>
    </row>
    <row r="2995" spans="1:14" x14ac:dyDescent="0.15">
      <c r="A2995" s="3">
        <v>2994</v>
      </c>
      <c r="B2995" s="1" t="s">
        <v>926</v>
      </c>
      <c r="C2995" s="1" t="s">
        <v>1740</v>
      </c>
      <c r="E2995" s="1" t="s">
        <v>7509</v>
      </c>
      <c r="F2995" s="1" t="s">
        <v>5411</v>
      </c>
      <c r="G2995" s="3">
        <v>1</v>
      </c>
      <c r="H2995" s="20" t="s">
        <v>7512</v>
      </c>
      <c r="I2995" s="20" t="s">
        <v>7513</v>
      </c>
      <c r="J2995" s="20" t="s">
        <v>5405</v>
      </c>
      <c r="K2995" s="20" t="s">
        <v>10016</v>
      </c>
      <c r="L2995" s="3">
        <v>31</v>
      </c>
      <c r="M2995" s="3" t="s">
        <v>7508</v>
      </c>
      <c r="N2995" s="3" t="str">
        <f>HYPERLINK("http://ictvonline.org/taxonomyHistory.asp?taxnode_id=20162946","ICTVonline=20162946")</f>
        <v>ICTVonline=20162946</v>
      </c>
    </row>
    <row r="2996" spans="1:14" x14ac:dyDescent="0.15">
      <c r="A2996" s="3">
        <v>2995</v>
      </c>
      <c r="B2996" s="1" t="s">
        <v>926</v>
      </c>
      <c r="C2996" s="1" t="s">
        <v>1740</v>
      </c>
      <c r="E2996" s="1" t="s">
        <v>1037</v>
      </c>
      <c r="F2996" s="1" t="s">
        <v>5417</v>
      </c>
      <c r="G2996" s="3">
        <v>1</v>
      </c>
      <c r="J2996" s="20" t="s">
        <v>5405</v>
      </c>
      <c r="K2996" s="20" t="s">
        <v>10021</v>
      </c>
      <c r="L2996" s="3">
        <v>30</v>
      </c>
      <c r="M2996" s="3" t="s">
        <v>10017</v>
      </c>
      <c r="N2996" s="3" t="str">
        <f>HYPERLINK("http://ictvonline.org/taxonomyHistory.asp?taxnode_id=20162964","ICTVonline=20162964")</f>
        <v>ICTVonline=20162964</v>
      </c>
    </row>
    <row r="2997" spans="1:14" x14ac:dyDescent="0.15">
      <c r="A2997" s="3">
        <v>2996</v>
      </c>
      <c r="B2997" s="1" t="s">
        <v>926</v>
      </c>
      <c r="C2997" s="1" t="s">
        <v>1740</v>
      </c>
      <c r="E2997" s="1" t="s">
        <v>7514</v>
      </c>
      <c r="F2997" s="1" t="s">
        <v>5414</v>
      </c>
      <c r="G2997" s="3">
        <v>1</v>
      </c>
      <c r="H2997" s="20" t="s">
        <v>7515</v>
      </c>
      <c r="I2997" s="20" t="s">
        <v>7516</v>
      </c>
      <c r="J2997" s="20" t="s">
        <v>5405</v>
      </c>
      <c r="K2997" s="20" t="s">
        <v>10016</v>
      </c>
      <c r="L2997" s="3">
        <v>31</v>
      </c>
      <c r="M2997" s="3" t="s">
        <v>7508</v>
      </c>
      <c r="N2997" s="3" t="str">
        <f>HYPERLINK("http://ictvonline.org/taxonomyHistory.asp?taxnode_id=20162950","ICTVonline=20162950")</f>
        <v>ICTVonline=20162950</v>
      </c>
    </row>
    <row r="2998" spans="1:14" x14ac:dyDescent="0.15">
      <c r="A2998" s="3">
        <v>2997</v>
      </c>
      <c r="B2998" s="1" t="s">
        <v>926</v>
      </c>
      <c r="C2998" s="1" t="s">
        <v>1740</v>
      </c>
      <c r="E2998" s="1" t="s">
        <v>7514</v>
      </c>
      <c r="F2998" s="1" t="s">
        <v>9620</v>
      </c>
      <c r="G2998" s="3">
        <v>0</v>
      </c>
      <c r="H2998" s="20" t="s">
        <v>9621</v>
      </c>
      <c r="I2998" s="20" t="s">
        <v>9622</v>
      </c>
      <c r="J2998" s="20" t="s">
        <v>5405</v>
      </c>
      <c r="K2998" s="20" t="s">
        <v>10013</v>
      </c>
      <c r="L2998" s="3">
        <v>31</v>
      </c>
      <c r="M2998" s="3" t="s">
        <v>7508</v>
      </c>
      <c r="N2998" s="3" t="str">
        <f>HYPERLINK("http://ictvonline.org/taxonomyHistory.asp?taxnode_id=20165391","ICTVonline=20165391")</f>
        <v>ICTVonline=20165391</v>
      </c>
    </row>
    <row r="2999" spans="1:14" x14ac:dyDescent="0.15">
      <c r="A2999" s="3">
        <v>2998</v>
      </c>
      <c r="B2999" s="1" t="s">
        <v>926</v>
      </c>
      <c r="C2999" s="1" t="s">
        <v>1740</v>
      </c>
      <c r="E2999" s="1" t="s">
        <v>926</v>
      </c>
      <c r="F2999" s="1" t="s">
        <v>5407</v>
      </c>
      <c r="G2999" s="3">
        <v>0</v>
      </c>
      <c r="H2999" s="20" t="s">
        <v>7517</v>
      </c>
      <c r="I2999" s="20" t="s">
        <v>7518</v>
      </c>
      <c r="J2999" s="20" t="s">
        <v>5405</v>
      </c>
      <c r="K2999" s="20" t="s">
        <v>10016</v>
      </c>
      <c r="L2999" s="3">
        <v>31</v>
      </c>
      <c r="M2999" s="3" t="s">
        <v>7508</v>
      </c>
      <c r="N2999" s="3" t="str">
        <f>HYPERLINK("http://ictvonline.org/taxonomyHistory.asp?taxnode_id=20162934","ICTVonline=20162934")</f>
        <v>ICTVonline=20162934</v>
      </c>
    </row>
    <row r="3000" spans="1:14" x14ac:dyDescent="0.15">
      <c r="A3000" s="3">
        <v>2999</v>
      </c>
      <c r="B3000" s="1" t="s">
        <v>926</v>
      </c>
      <c r="C3000" s="1" t="s">
        <v>1740</v>
      </c>
      <c r="E3000" s="1" t="s">
        <v>926</v>
      </c>
      <c r="F3000" s="1" t="s">
        <v>9623</v>
      </c>
      <c r="G3000" s="3">
        <v>0</v>
      </c>
      <c r="H3000" s="20" t="s">
        <v>9624</v>
      </c>
      <c r="I3000" s="20" t="s">
        <v>9625</v>
      </c>
      <c r="J3000" s="20" t="s">
        <v>5405</v>
      </c>
      <c r="K3000" s="20" t="s">
        <v>10013</v>
      </c>
      <c r="L3000" s="3">
        <v>31</v>
      </c>
      <c r="M3000" s="3" t="s">
        <v>7508</v>
      </c>
      <c r="N3000" s="3" t="str">
        <f>HYPERLINK("http://ictvonline.org/taxonomyHistory.asp?taxnode_id=20165392","ICTVonline=20165392")</f>
        <v>ICTVonline=20165392</v>
      </c>
    </row>
    <row r="3001" spans="1:14" x14ac:dyDescent="0.15">
      <c r="A3001" s="3">
        <v>3000</v>
      </c>
      <c r="B3001" s="1" t="s">
        <v>926</v>
      </c>
      <c r="C3001" s="1" t="s">
        <v>1740</v>
      </c>
      <c r="E3001" s="1" t="s">
        <v>926</v>
      </c>
      <c r="F3001" s="1" t="s">
        <v>5409</v>
      </c>
      <c r="G3001" s="3">
        <v>0</v>
      </c>
      <c r="H3001" s="20" t="s">
        <v>7519</v>
      </c>
      <c r="I3001" s="20" t="s">
        <v>7520</v>
      </c>
      <c r="J3001" s="20" t="s">
        <v>5405</v>
      </c>
      <c r="K3001" s="20" t="s">
        <v>10016</v>
      </c>
      <c r="L3001" s="3">
        <v>31</v>
      </c>
      <c r="M3001" s="3" t="s">
        <v>7508</v>
      </c>
      <c r="N3001" s="3" t="str">
        <f>HYPERLINK("http://ictvonline.org/taxonomyHistory.asp?taxnode_id=20162942","ICTVonline=20162942")</f>
        <v>ICTVonline=20162942</v>
      </c>
    </row>
    <row r="3002" spans="1:14" x14ac:dyDescent="0.15">
      <c r="A3002" s="3">
        <v>3001</v>
      </c>
      <c r="B3002" s="1" t="s">
        <v>926</v>
      </c>
      <c r="C3002" s="1" t="s">
        <v>1740</v>
      </c>
      <c r="E3002" s="1" t="s">
        <v>926</v>
      </c>
      <c r="F3002" s="1" t="s">
        <v>5410</v>
      </c>
      <c r="G3002" s="3">
        <v>0</v>
      </c>
      <c r="H3002" s="20" t="s">
        <v>7521</v>
      </c>
      <c r="I3002" s="20" t="s">
        <v>7522</v>
      </c>
      <c r="J3002" s="20" t="s">
        <v>5405</v>
      </c>
      <c r="K3002" s="20" t="s">
        <v>10016</v>
      </c>
      <c r="L3002" s="3">
        <v>31</v>
      </c>
      <c r="M3002" s="3" t="s">
        <v>7508</v>
      </c>
      <c r="N3002" s="3" t="str">
        <f>HYPERLINK("http://ictvonline.org/taxonomyHistory.asp?taxnode_id=20162944","ICTVonline=20162944")</f>
        <v>ICTVonline=20162944</v>
      </c>
    </row>
    <row r="3003" spans="1:14" x14ac:dyDescent="0.15">
      <c r="A3003" s="3">
        <v>3002</v>
      </c>
      <c r="B3003" s="1" t="s">
        <v>926</v>
      </c>
      <c r="C3003" s="1" t="s">
        <v>1740</v>
      </c>
      <c r="E3003" s="1" t="s">
        <v>926</v>
      </c>
      <c r="F3003" s="1" t="s">
        <v>9626</v>
      </c>
      <c r="G3003" s="3">
        <v>0</v>
      </c>
      <c r="H3003" s="20" t="s">
        <v>9627</v>
      </c>
      <c r="I3003" s="20" t="s">
        <v>9628</v>
      </c>
      <c r="J3003" s="20" t="s">
        <v>5405</v>
      </c>
      <c r="K3003" s="20" t="s">
        <v>10013</v>
      </c>
      <c r="L3003" s="3">
        <v>31</v>
      </c>
      <c r="M3003" s="3" t="s">
        <v>7508</v>
      </c>
      <c r="N3003" s="3" t="str">
        <f>HYPERLINK("http://ictvonline.org/taxonomyHistory.asp?taxnode_id=20165393","ICTVonline=20165393")</f>
        <v>ICTVonline=20165393</v>
      </c>
    </row>
    <row r="3004" spans="1:14" x14ac:dyDescent="0.15">
      <c r="A3004" s="3">
        <v>3003</v>
      </c>
      <c r="B3004" s="1" t="s">
        <v>926</v>
      </c>
      <c r="C3004" s="1" t="s">
        <v>1740</v>
      </c>
      <c r="E3004" s="1" t="s">
        <v>926</v>
      </c>
      <c r="F3004" s="1" t="s">
        <v>9629</v>
      </c>
      <c r="G3004" s="3">
        <v>0</v>
      </c>
      <c r="H3004" s="20" t="s">
        <v>9630</v>
      </c>
      <c r="I3004" s="20" t="s">
        <v>9631</v>
      </c>
      <c r="J3004" s="20" t="s">
        <v>5405</v>
      </c>
      <c r="K3004" s="20" t="s">
        <v>10013</v>
      </c>
      <c r="L3004" s="3">
        <v>31</v>
      </c>
      <c r="M3004" s="3" t="s">
        <v>7508</v>
      </c>
      <c r="N3004" s="3" t="str">
        <f>HYPERLINK("http://ictvonline.org/taxonomyHistory.asp?taxnode_id=20165394","ICTVonline=20165394")</f>
        <v>ICTVonline=20165394</v>
      </c>
    </row>
    <row r="3005" spans="1:14" x14ac:dyDescent="0.15">
      <c r="A3005" s="3">
        <v>3004</v>
      </c>
      <c r="B3005" s="1" t="s">
        <v>926</v>
      </c>
      <c r="C3005" s="1" t="s">
        <v>1740</v>
      </c>
      <c r="E3005" s="1" t="s">
        <v>926</v>
      </c>
      <c r="F3005" s="1" t="s">
        <v>9632</v>
      </c>
      <c r="G3005" s="3">
        <v>0</v>
      </c>
      <c r="H3005" s="20" t="s">
        <v>9633</v>
      </c>
      <c r="I3005" s="20" t="s">
        <v>9634</v>
      </c>
      <c r="J3005" s="20" t="s">
        <v>5405</v>
      </c>
      <c r="K3005" s="20" t="s">
        <v>10013</v>
      </c>
      <c r="L3005" s="3">
        <v>31</v>
      </c>
      <c r="M3005" s="3" t="s">
        <v>7508</v>
      </c>
      <c r="N3005" s="3" t="str">
        <f>HYPERLINK("http://ictvonline.org/taxonomyHistory.asp?taxnode_id=20165395","ICTVonline=20165395")</f>
        <v>ICTVonline=20165395</v>
      </c>
    </row>
    <row r="3006" spans="1:14" x14ac:dyDescent="0.15">
      <c r="A3006" s="3">
        <v>3005</v>
      </c>
      <c r="B3006" s="1" t="s">
        <v>926</v>
      </c>
      <c r="C3006" s="1" t="s">
        <v>1740</v>
      </c>
      <c r="E3006" s="1" t="s">
        <v>926</v>
      </c>
      <c r="F3006" s="1" t="s">
        <v>9635</v>
      </c>
      <c r="G3006" s="3">
        <v>0</v>
      </c>
      <c r="H3006" s="20" t="s">
        <v>9636</v>
      </c>
      <c r="I3006" s="20" t="s">
        <v>9637</v>
      </c>
      <c r="J3006" s="20" t="s">
        <v>5405</v>
      </c>
      <c r="K3006" s="20" t="s">
        <v>10013</v>
      </c>
      <c r="L3006" s="3">
        <v>31</v>
      </c>
      <c r="M3006" s="3" t="s">
        <v>7508</v>
      </c>
      <c r="N3006" s="3" t="str">
        <f>HYPERLINK("http://ictvonline.org/taxonomyHistory.asp?taxnode_id=20165396","ICTVonline=20165396")</f>
        <v>ICTVonline=20165396</v>
      </c>
    </row>
    <row r="3007" spans="1:14" x14ac:dyDescent="0.15">
      <c r="A3007" s="3">
        <v>3006</v>
      </c>
      <c r="B3007" s="1" t="s">
        <v>926</v>
      </c>
      <c r="C3007" s="1" t="s">
        <v>1740</v>
      </c>
      <c r="E3007" s="1" t="s">
        <v>926</v>
      </c>
      <c r="F3007" s="1" t="s">
        <v>9638</v>
      </c>
      <c r="G3007" s="3">
        <v>0</v>
      </c>
      <c r="H3007" s="20" t="s">
        <v>9639</v>
      </c>
      <c r="I3007" s="20" t="s">
        <v>9640</v>
      </c>
      <c r="J3007" s="20" t="s">
        <v>5405</v>
      </c>
      <c r="K3007" s="20" t="s">
        <v>10013</v>
      </c>
      <c r="L3007" s="3">
        <v>31</v>
      </c>
      <c r="M3007" s="3" t="s">
        <v>7508</v>
      </c>
      <c r="N3007" s="3" t="str">
        <f>HYPERLINK("http://ictvonline.org/taxonomyHistory.asp?taxnode_id=20165397","ICTVonline=20165397")</f>
        <v>ICTVonline=20165397</v>
      </c>
    </row>
    <row r="3008" spans="1:14" x14ac:dyDescent="0.15">
      <c r="A3008" s="3">
        <v>3007</v>
      </c>
      <c r="B3008" s="1" t="s">
        <v>926</v>
      </c>
      <c r="C3008" s="1" t="s">
        <v>1740</v>
      </c>
      <c r="E3008" s="1" t="s">
        <v>926</v>
      </c>
      <c r="F3008" s="1" t="s">
        <v>9641</v>
      </c>
      <c r="G3008" s="3">
        <v>0</v>
      </c>
      <c r="H3008" s="20" t="s">
        <v>9642</v>
      </c>
      <c r="I3008" s="20" t="s">
        <v>9643</v>
      </c>
      <c r="J3008" s="20" t="s">
        <v>5405</v>
      </c>
      <c r="K3008" s="20" t="s">
        <v>10013</v>
      </c>
      <c r="L3008" s="3">
        <v>31</v>
      </c>
      <c r="M3008" s="3" t="s">
        <v>7508</v>
      </c>
      <c r="N3008" s="3" t="str">
        <f>HYPERLINK("http://ictvonline.org/taxonomyHistory.asp?taxnode_id=20165398","ICTVonline=20165398")</f>
        <v>ICTVonline=20165398</v>
      </c>
    </row>
    <row r="3009" spans="1:14" x14ac:dyDescent="0.15">
      <c r="A3009" s="3">
        <v>3008</v>
      </c>
      <c r="B3009" s="1" t="s">
        <v>926</v>
      </c>
      <c r="C3009" s="1" t="s">
        <v>1740</v>
      </c>
      <c r="E3009" s="1" t="s">
        <v>926</v>
      </c>
      <c r="F3009" s="1" t="s">
        <v>9644</v>
      </c>
      <c r="G3009" s="3">
        <v>0</v>
      </c>
      <c r="H3009" s="20" t="s">
        <v>9645</v>
      </c>
      <c r="I3009" s="20" t="s">
        <v>9646</v>
      </c>
      <c r="J3009" s="20" t="s">
        <v>5405</v>
      </c>
      <c r="K3009" s="20" t="s">
        <v>10013</v>
      </c>
      <c r="L3009" s="3">
        <v>31</v>
      </c>
      <c r="M3009" s="3" t="s">
        <v>7508</v>
      </c>
      <c r="N3009" s="3" t="str">
        <f>HYPERLINK("http://ictvonline.org/taxonomyHistory.asp?taxnode_id=20165399","ICTVonline=20165399")</f>
        <v>ICTVonline=20165399</v>
      </c>
    </row>
    <row r="3010" spans="1:14" x14ac:dyDescent="0.15">
      <c r="A3010" s="3">
        <v>3009</v>
      </c>
      <c r="B3010" s="1" t="s">
        <v>926</v>
      </c>
      <c r="C3010" s="1" t="s">
        <v>1740</v>
      </c>
      <c r="E3010" s="1" t="s">
        <v>926</v>
      </c>
      <c r="F3010" s="1" t="s">
        <v>5412</v>
      </c>
      <c r="G3010" s="3">
        <v>0</v>
      </c>
      <c r="H3010" s="20" t="s">
        <v>7523</v>
      </c>
      <c r="I3010" s="20" t="s">
        <v>7524</v>
      </c>
      <c r="J3010" s="20" t="s">
        <v>5405</v>
      </c>
      <c r="K3010" s="20" t="s">
        <v>10016</v>
      </c>
      <c r="L3010" s="3">
        <v>31</v>
      </c>
      <c r="M3010" s="3" t="s">
        <v>7508</v>
      </c>
      <c r="N3010" s="3" t="str">
        <f>HYPERLINK("http://ictvonline.org/taxonomyHistory.asp?taxnode_id=20162948","ICTVonline=20162948")</f>
        <v>ICTVonline=20162948</v>
      </c>
    </row>
    <row r="3011" spans="1:14" x14ac:dyDescent="0.15">
      <c r="A3011" s="3">
        <v>3010</v>
      </c>
      <c r="B3011" s="1" t="s">
        <v>926</v>
      </c>
      <c r="C3011" s="1" t="s">
        <v>1740</v>
      </c>
      <c r="E3011" s="1" t="s">
        <v>926</v>
      </c>
      <c r="F3011" s="1" t="s">
        <v>9647</v>
      </c>
      <c r="G3011" s="3">
        <v>0</v>
      </c>
      <c r="H3011" s="20" t="s">
        <v>9648</v>
      </c>
      <c r="I3011" s="20" t="s">
        <v>9649</v>
      </c>
      <c r="J3011" s="20" t="s">
        <v>5405</v>
      </c>
      <c r="K3011" s="20" t="s">
        <v>10013</v>
      </c>
      <c r="L3011" s="3">
        <v>31</v>
      </c>
      <c r="M3011" s="3" t="s">
        <v>7508</v>
      </c>
      <c r="N3011" s="3" t="str">
        <f>HYPERLINK("http://ictvonline.org/taxonomyHistory.asp?taxnode_id=20165400","ICTVonline=20165400")</f>
        <v>ICTVonline=20165400</v>
      </c>
    </row>
    <row r="3012" spans="1:14" x14ac:dyDescent="0.15">
      <c r="A3012" s="3">
        <v>3011</v>
      </c>
      <c r="B3012" s="1" t="s">
        <v>926</v>
      </c>
      <c r="C3012" s="1" t="s">
        <v>1740</v>
      </c>
      <c r="E3012" s="1" t="s">
        <v>926</v>
      </c>
      <c r="F3012" s="1" t="s">
        <v>9650</v>
      </c>
      <c r="G3012" s="3">
        <v>0</v>
      </c>
      <c r="H3012" s="20" t="s">
        <v>9651</v>
      </c>
      <c r="I3012" s="20" t="s">
        <v>9652</v>
      </c>
      <c r="J3012" s="20" t="s">
        <v>5405</v>
      </c>
      <c r="K3012" s="20" t="s">
        <v>10013</v>
      </c>
      <c r="L3012" s="3">
        <v>31</v>
      </c>
      <c r="M3012" s="3" t="s">
        <v>7508</v>
      </c>
      <c r="N3012" s="3" t="str">
        <f>HYPERLINK("http://ictvonline.org/taxonomyHistory.asp?taxnode_id=20165401","ICTVonline=20165401")</f>
        <v>ICTVonline=20165401</v>
      </c>
    </row>
    <row r="3013" spans="1:14" x14ac:dyDescent="0.15">
      <c r="A3013" s="3">
        <v>3012</v>
      </c>
      <c r="B3013" s="1" t="s">
        <v>926</v>
      </c>
      <c r="C3013" s="1" t="s">
        <v>1740</v>
      </c>
      <c r="E3013" s="1" t="s">
        <v>926</v>
      </c>
      <c r="F3013" s="1" t="s">
        <v>5415</v>
      </c>
      <c r="G3013" s="3">
        <v>0</v>
      </c>
      <c r="H3013" s="20" t="s">
        <v>7525</v>
      </c>
      <c r="I3013" s="20" t="s">
        <v>7526</v>
      </c>
      <c r="J3013" s="20" t="s">
        <v>5405</v>
      </c>
      <c r="K3013" s="20" t="s">
        <v>10016</v>
      </c>
      <c r="L3013" s="3">
        <v>31</v>
      </c>
      <c r="M3013" s="3" t="s">
        <v>7508</v>
      </c>
      <c r="N3013" s="3" t="str">
        <f>HYPERLINK("http://ictvonline.org/taxonomyHistory.asp?taxnode_id=20162953","ICTVonline=20162953")</f>
        <v>ICTVonline=20162953</v>
      </c>
    </row>
    <row r="3014" spans="1:14" x14ac:dyDescent="0.15">
      <c r="A3014" s="3">
        <v>3013</v>
      </c>
      <c r="B3014" s="1" t="s">
        <v>926</v>
      </c>
      <c r="C3014" s="1" t="s">
        <v>1740</v>
      </c>
      <c r="E3014" s="1" t="s">
        <v>926</v>
      </c>
      <c r="F3014" s="1" t="s">
        <v>9653</v>
      </c>
      <c r="G3014" s="3">
        <v>0</v>
      </c>
      <c r="H3014" s="20" t="s">
        <v>9654</v>
      </c>
      <c r="I3014" s="20" t="s">
        <v>9655</v>
      </c>
      <c r="J3014" s="20" t="s">
        <v>5405</v>
      </c>
      <c r="K3014" s="20" t="s">
        <v>10013</v>
      </c>
      <c r="L3014" s="3">
        <v>31</v>
      </c>
      <c r="M3014" s="3" t="s">
        <v>7508</v>
      </c>
      <c r="N3014" s="3" t="str">
        <f>HYPERLINK("http://ictvonline.org/taxonomyHistory.asp?taxnode_id=20165402","ICTVonline=20165402")</f>
        <v>ICTVonline=20165402</v>
      </c>
    </row>
    <row r="3015" spans="1:14" x14ac:dyDescent="0.15">
      <c r="A3015" s="3">
        <v>3014</v>
      </c>
      <c r="B3015" s="1" t="s">
        <v>926</v>
      </c>
      <c r="C3015" s="1" t="s">
        <v>1740</v>
      </c>
      <c r="E3015" s="1" t="s">
        <v>926</v>
      </c>
      <c r="F3015" s="1" t="s">
        <v>5416</v>
      </c>
      <c r="G3015" s="3">
        <v>0</v>
      </c>
      <c r="H3015" s="20" t="s">
        <v>7527</v>
      </c>
      <c r="I3015" s="20" t="s">
        <v>7528</v>
      </c>
      <c r="J3015" s="20" t="s">
        <v>5405</v>
      </c>
      <c r="K3015" s="20" t="s">
        <v>10016</v>
      </c>
      <c r="L3015" s="3">
        <v>31</v>
      </c>
      <c r="M3015" s="3" t="s">
        <v>7508</v>
      </c>
      <c r="N3015" s="3" t="str">
        <f>HYPERLINK("http://ictvonline.org/taxonomyHistory.asp?taxnode_id=20162956","ICTVonline=20162956")</f>
        <v>ICTVonline=20162956</v>
      </c>
    </row>
    <row r="3016" spans="1:14" x14ac:dyDescent="0.15">
      <c r="A3016" s="3">
        <v>3015</v>
      </c>
      <c r="B3016" s="1" t="s">
        <v>926</v>
      </c>
      <c r="C3016" s="1" t="s">
        <v>1740</v>
      </c>
      <c r="E3016" s="1" t="s">
        <v>7529</v>
      </c>
      <c r="F3016" s="1" t="s">
        <v>5418</v>
      </c>
      <c r="G3016" s="3">
        <v>0</v>
      </c>
      <c r="H3016" s="20" t="s">
        <v>7530</v>
      </c>
      <c r="I3016" s="20" t="s">
        <v>7531</v>
      </c>
      <c r="J3016" s="20" t="s">
        <v>5405</v>
      </c>
      <c r="K3016" s="20" t="s">
        <v>10016</v>
      </c>
      <c r="L3016" s="3">
        <v>31</v>
      </c>
      <c r="M3016" s="3" t="s">
        <v>7508</v>
      </c>
      <c r="N3016" s="3" t="str">
        <f>HYPERLINK("http://ictvonline.org/taxonomyHistory.asp?taxnode_id=20162966","ICTVonline=20162966")</f>
        <v>ICTVonline=20162966</v>
      </c>
    </row>
    <row r="3017" spans="1:14" x14ac:dyDescent="0.15">
      <c r="A3017" s="3">
        <v>3016</v>
      </c>
      <c r="B3017" s="1" t="s">
        <v>926</v>
      </c>
      <c r="C3017" s="1" t="s">
        <v>1740</v>
      </c>
      <c r="E3017" s="1" t="s">
        <v>7529</v>
      </c>
      <c r="F3017" s="1" t="s">
        <v>5419</v>
      </c>
      <c r="G3017" s="3">
        <v>1</v>
      </c>
      <c r="H3017" s="20" t="s">
        <v>7532</v>
      </c>
      <c r="I3017" s="20" t="s">
        <v>7533</v>
      </c>
      <c r="J3017" s="20" t="s">
        <v>5405</v>
      </c>
      <c r="K3017" s="20" t="s">
        <v>10016</v>
      </c>
      <c r="L3017" s="3">
        <v>31</v>
      </c>
      <c r="M3017" s="3" t="s">
        <v>7508</v>
      </c>
      <c r="N3017" s="3" t="str">
        <f>HYPERLINK("http://ictvonline.org/taxonomyHistory.asp?taxnode_id=20162968","ICTVonline=20162968")</f>
        <v>ICTVonline=20162968</v>
      </c>
    </row>
    <row r="3018" spans="1:14" x14ac:dyDescent="0.15">
      <c r="A3018" s="3">
        <v>3017</v>
      </c>
      <c r="B3018" s="1" t="s">
        <v>926</v>
      </c>
      <c r="C3018" s="1" t="s">
        <v>1740</v>
      </c>
      <c r="E3018" s="1" t="s">
        <v>7529</v>
      </c>
      <c r="F3018" s="1" t="s">
        <v>9656</v>
      </c>
      <c r="G3018" s="3">
        <v>0</v>
      </c>
      <c r="H3018" s="20" t="s">
        <v>9657</v>
      </c>
      <c r="I3018" s="20" t="s">
        <v>9658</v>
      </c>
      <c r="J3018" s="20" t="s">
        <v>5405</v>
      </c>
      <c r="K3018" s="20" t="s">
        <v>10013</v>
      </c>
      <c r="L3018" s="3">
        <v>31</v>
      </c>
      <c r="M3018" s="3" t="s">
        <v>7508</v>
      </c>
      <c r="N3018" s="3" t="str">
        <f>HYPERLINK("http://ictvonline.org/taxonomyHistory.asp?taxnode_id=20165403","ICTVonline=20165403")</f>
        <v>ICTVonline=20165403</v>
      </c>
    </row>
    <row r="3019" spans="1:14" x14ac:dyDescent="0.15">
      <c r="A3019" s="3">
        <v>3018</v>
      </c>
      <c r="B3019" s="1" t="s">
        <v>926</v>
      </c>
      <c r="C3019" s="1" t="s">
        <v>1462</v>
      </c>
      <c r="D3019" s="1" t="s">
        <v>7534</v>
      </c>
      <c r="E3019" s="1" t="s">
        <v>1046</v>
      </c>
      <c r="F3019" s="1" t="s">
        <v>1047</v>
      </c>
      <c r="G3019" s="3">
        <v>1</v>
      </c>
      <c r="H3019" s="20" t="s">
        <v>7535</v>
      </c>
      <c r="I3019" s="20" t="s">
        <v>7536</v>
      </c>
      <c r="J3019" s="20" t="s">
        <v>2860</v>
      </c>
      <c r="K3019" s="20" t="s">
        <v>10016</v>
      </c>
      <c r="L3019" s="3">
        <v>31</v>
      </c>
      <c r="M3019" s="3" t="s">
        <v>7537</v>
      </c>
      <c r="N3019" s="3" t="str">
        <f>HYPERLINK("http://ictvonline.org/taxonomyHistory.asp?taxnode_id=20162979","ICTVonline=20162979")</f>
        <v>ICTVonline=20162979</v>
      </c>
    </row>
    <row r="3020" spans="1:14" x14ac:dyDescent="0.15">
      <c r="A3020" s="3">
        <v>3019</v>
      </c>
      <c r="B3020" s="1" t="s">
        <v>926</v>
      </c>
      <c r="C3020" s="1" t="s">
        <v>1462</v>
      </c>
      <c r="D3020" s="1" t="s">
        <v>7534</v>
      </c>
      <c r="E3020" s="1" t="s">
        <v>1048</v>
      </c>
      <c r="F3020" s="1" t="s">
        <v>1049</v>
      </c>
      <c r="G3020" s="3">
        <v>1</v>
      </c>
      <c r="H3020" s="20" t="s">
        <v>7538</v>
      </c>
      <c r="I3020" s="20" t="s">
        <v>7539</v>
      </c>
      <c r="J3020" s="20" t="s">
        <v>2860</v>
      </c>
      <c r="K3020" s="20" t="s">
        <v>10016</v>
      </c>
      <c r="L3020" s="3">
        <v>31</v>
      </c>
      <c r="M3020" s="3" t="s">
        <v>7537</v>
      </c>
      <c r="N3020" s="3" t="str">
        <f>HYPERLINK("http://ictvonline.org/taxonomyHistory.asp?taxnode_id=20162981","ICTVonline=20162981")</f>
        <v>ICTVonline=20162981</v>
      </c>
    </row>
    <row r="3021" spans="1:14" x14ac:dyDescent="0.15">
      <c r="A3021" s="3">
        <v>3020</v>
      </c>
      <c r="B3021" s="1" t="s">
        <v>926</v>
      </c>
      <c r="C3021" s="1" t="s">
        <v>1462</v>
      </c>
      <c r="D3021" s="1" t="s">
        <v>7534</v>
      </c>
      <c r="E3021" s="1" t="s">
        <v>1050</v>
      </c>
      <c r="F3021" s="1" t="s">
        <v>1051</v>
      </c>
      <c r="G3021" s="3">
        <v>0</v>
      </c>
      <c r="H3021" s="20" t="s">
        <v>7540</v>
      </c>
      <c r="I3021" s="20" t="s">
        <v>7541</v>
      </c>
      <c r="J3021" s="20" t="s">
        <v>2860</v>
      </c>
      <c r="K3021" s="20" t="s">
        <v>10016</v>
      </c>
      <c r="L3021" s="3">
        <v>31</v>
      </c>
      <c r="M3021" s="3" t="s">
        <v>7537</v>
      </c>
      <c r="N3021" s="3" t="str">
        <f>HYPERLINK("http://ictvonline.org/taxonomyHistory.asp?taxnode_id=20162983","ICTVonline=20162983")</f>
        <v>ICTVonline=20162983</v>
      </c>
    </row>
    <row r="3022" spans="1:14" x14ac:dyDescent="0.15">
      <c r="A3022" s="3">
        <v>3021</v>
      </c>
      <c r="B3022" s="1" t="s">
        <v>926</v>
      </c>
      <c r="C3022" s="1" t="s">
        <v>1462</v>
      </c>
      <c r="D3022" s="1" t="s">
        <v>7534</v>
      </c>
      <c r="E3022" s="1" t="s">
        <v>1050</v>
      </c>
      <c r="F3022" s="1" t="s">
        <v>1052</v>
      </c>
      <c r="G3022" s="3">
        <v>0</v>
      </c>
      <c r="H3022" s="20" t="s">
        <v>7542</v>
      </c>
      <c r="I3022" s="20" t="s">
        <v>1052</v>
      </c>
      <c r="J3022" s="20" t="s">
        <v>2860</v>
      </c>
      <c r="K3022" s="20" t="s">
        <v>10016</v>
      </c>
      <c r="L3022" s="3">
        <v>31</v>
      </c>
      <c r="M3022" s="3" t="s">
        <v>7537</v>
      </c>
      <c r="N3022" s="3" t="str">
        <f>HYPERLINK("http://ictvonline.org/taxonomyHistory.asp?taxnode_id=20162984","ICTVonline=20162984")</f>
        <v>ICTVonline=20162984</v>
      </c>
    </row>
    <row r="3023" spans="1:14" x14ac:dyDescent="0.15">
      <c r="A3023" s="3">
        <v>3022</v>
      </c>
      <c r="B3023" s="1" t="s">
        <v>926</v>
      </c>
      <c r="C3023" s="1" t="s">
        <v>1462</v>
      </c>
      <c r="D3023" s="1" t="s">
        <v>7534</v>
      </c>
      <c r="E3023" s="1" t="s">
        <v>1050</v>
      </c>
      <c r="F3023" s="1" t="s">
        <v>1131</v>
      </c>
      <c r="G3023" s="3">
        <v>0</v>
      </c>
      <c r="H3023" s="20" t="s">
        <v>7543</v>
      </c>
      <c r="I3023" s="20" t="s">
        <v>7544</v>
      </c>
      <c r="J3023" s="20" t="s">
        <v>2860</v>
      </c>
      <c r="K3023" s="20" t="s">
        <v>10016</v>
      </c>
      <c r="L3023" s="3">
        <v>31</v>
      </c>
      <c r="M3023" s="3" t="s">
        <v>7537</v>
      </c>
      <c r="N3023" s="3" t="str">
        <f>HYPERLINK("http://ictvonline.org/taxonomyHistory.asp?taxnode_id=20162985","ICTVonline=20162985")</f>
        <v>ICTVonline=20162985</v>
      </c>
    </row>
    <row r="3024" spans="1:14" x14ac:dyDescent="0.15">
      <c r="A3024" s="3">
        <v>3023</v>
      </c>
      <c r="B3024" s="1" t="s">
        <v>926</v>
      </c>
      <c r="C3024" s="1" t="s">
        <v>1462</v>
      </c>
      <c r="D3024" s="1" t="s">
        <v>7534</v>
      </c>
      <c r="E3024" s="1" t="s">
        <v>1050</v>
      </c>
      <c r="F3024" s="1" t="s">
        <v>1132</v>
      </c>
      <c r="G3024" s="3">
        <v>0</v>
      </c>
      <c r="H3024" s="20" t="s">
        <v>7545</v>
      </c>
      <c r="I3024" s="20" t="s">
        <v>7546</v>
      </c>
      <c r="J3024" s="20" t="s">
        <v>2860</v>
      </c>
      <c r="K3024" s="20" t="s">
        <v>10016</v>
      </c>
      <c r="L3024" s="3">
        <v>31</v>
      </c>
      <c r="M3024" s="3" t="s">
        <v>7537</v>
      </c>
      <c r="N3024" s="3" t="str">
        <f>HYPERLINK("http://ictvonline.org/taxonomyHistory.asp?taxnode_id=20162986","ICTVonline=20162986")</f>
        <v>ICTVonline=20162986</v>
      </c>
    </row>
    <row r="3025" spans="1:14" x14ac:dyDescent="0.15">
      <c r="A3025" s="3">
        <v>3024</v>
      </c>
      <c r="B3025" s="1" t="s">
        <v>926</v>
      </c>
      <c r="C3025" s="1" t="s">
        <v>1462</v>
      </c>
      <c r="D3025" s="1" t="s">
        <v>7534</v>
      </c>
      <c r="E3025" s="1" t="s">
        <v>1050</v>
      </c>
      <c r="F3025" s="1" t="s">
        <v>1133</v>
      </c>
      <c r="G3025" s="3">
        <v>1</v>
      </c>
      <c r="H3025" s="20" t="s">
        <v>7547</v>
      </c>
      <c r="I3025" s="20" t="s">
        <v>7548</v>
      </c>
      <c r="J3025" s="20" t="s">
        <v>2860</v>
      </c>
      <c r="K3025" s="20" t="s">
        <v>10016</v>
      </c>
      <c r="L3025" s="3">
        <v>31</v>
      </c>
      <c r="M3025" s="3" t="s">
        <v>7537</v>
      </c>
      <c r="N3025" s="3" t="str">
        <f>HYPERLINK("http://ictvonline.org/taxonomyHistory.asp?taxnode_id=20162987","ICTVonline=20162987")</f>
        <v>ICTVonline=20162987</v>
      </c>
    </row>
    <row r="3026" spans="1:14" x14ac:dyDescent="0.15">
      <c r="A3026" s="3">
        <v>3025</v>
      </c>
      <c r="B3026" s="1" t="s">
        <v>926</v>
      </c>
      <c r="C3026" s="1" t="s">
        <v>1462</v>
      </c>
      <c r="D3026" s="1" t="s">
        <v>7534</v>
      </c>
      <c r="E3026" s="1" t="s">
        <v>1050</v>
      </c>
      <c r="F3026" s="1" t="s">
        <v>1134</v>
      </c>
      <c r="G3026" s="3">
        <v>0</v>
      </c>
      <c r="H3026" s="20" t="s">
        <v>7549</v>
      </c>
      <c r="I3026" s="20" t="s">
        <v>7550</v>
      </c>
      <c r="J3026" s="20" t="s">
        <v>2860</v>
      </c>
      <c r="K3026" s="20" t="s">
        <v>10016</v>
      </c>
      <c r="L3026" s="3">
        <v>31</v>
      </c>
      <c r="M3026" s="3" t="s">
        <v>7537</v>
      </c>
      <c r="N3026" s="3" t="str">
        <f>HYPERLINK("http://ictvonline.org/taxonomyHistory.asp?taxnode_id=20162988","ICTVonline=20162988")</f>
        <v>ICTVonline=20162988</v>
      </c>
    </row>
    <row r="3027" spans="1:14" x14ac:dyDescent="0.15">
      <c r="A3027" s="3">
        <v>3026</v>
      </c>
      <c r="B3027" s="1" t="s">
        <v>926</v>
      </c>
      <c r="C3027" s="1" t="s">
        <v>1462</v>
      </c>
      <c r="D3027" s="1" t="s">
        <v>7534</v>
      </c>
      <c r="E3027" s="1" t="s">
        <v>1050</v>
      </c>
      <c r="F3027" s="1" t="s">
        <v>9659</v>
      </c>
      <c r="G3027" s="3">
        <v>0</v>
      </c>
      <c r="H3027" s="20" t="s">
        <v>9660</v>
      </c>
      <c r="I3027" s="20" t="s">
        <v>9661</v>
      </c>
      <c r="J3027" s="20" t="s">
        <v>2860</v>
      </c>
      <c r="K3027" s="20" t="s">
        <v>10013</v>
      </c>
      <c r="L3027" s="3">
        <v>31</v>
      </c>
      <c r="M3027" s="3" t="s">
        <v>7537</v>
      </c>
      <c r="N3027" s="3" t="str">
        <f>HYPERLINK("http://ictvonline.org/taxonomyHistory.asp?taxnode_id=20165404","ICTVonline=20165404")</f>
        <v>ICTVonline=20165404</v>
      </c>
    </row>
    <row r="3028" spans="1:14" x14ac:dyDescent="0.15">
      <c r="A3028" s="3">
        <v>3027</v>
      </c>
      <c r="B3028" s="1" t="s">
        <v>926</v>
      </c>
      <c r="C3028" s="1" t="s">
        <v>1462</v>
      </c>
      <c r="D3028" s="1" t="s">
        <v>7551</v>
      </c>
      <c r="E3028" s="1" t="s">
        <v>1463</v>
      </c>
      <c r="F3028" s="1" t="s">
        <v>1464</v>
      </c>
      <c r="G3028" s="3">
        <v>1</v>
      </c>
      <c r="H3028" s="20" t="s">
        <v>7552</v>
      </c>
      <c r="I3028" s="20" t="s">
        <v>7553</v>
      </c>
      <c r="J3028" s="20" t="s">
        <v>2860</v>
      </c>
      <c r="K3028" s="20" t="s">
        <v>10016</v>
      </c>
      <c r="L3028" s="3">
        <v>31</v>
      </c>
      <c r="M3028" s="3" t="s">
        <v>7537</v>
      </c>
      <c r="N3028" s="3" t="str">
        <f>HYPERLINK("http://ictvonline.org/taxonomyHistory.asp?taxnode_id=20162974","ICTVonline=20162974")</f>
        <v>ICTVonline=20162974</v>
      </c>
    </row>
    <row r="3029" spans="1:14" x14ac:dyDescent="0.15">
      <c r="A3029" s="3">
        <v>3028</v>
      </c>
      <c r="B3029" s="1" t="s">
        <v>926</v>
      </c>
      <c r="C3029" s="1" t="s">
        <v>1462</v>
      </c>
      <c r="D3029" s="1" t="s">
        <v>7551</v>
      </c>
      <c r="E3029" s="1" t="s">
        <v>1053</v>
      </c>
      <c r="F3029" s="1" t="s">
        <v>1054</v>
      </c>
      <c r="G3029" s="3">
        <v>0</v>
      </c>
      <c r="H3029" s="20" t="s">
        <v>7554</v>
      </c>
      <c r="I3029" s="20" t="s">
        <v>7555</v>
      </c>
      <c r="J3029" s="20" t="s">
        <v>2860</v>
      </c>
      <c r="K3029" s="20" t="s">
        <v>10016</v>
      </c>
      <c r="L3029" s="3">
        <v>31</v>
      </c>
      <c r="M3029" s="3" t="s">
        <v>7537</v>
      </c>
      <c r="N3029" s="3" t="str">
        <f>HYPERLINK("http://ictvonline.org/taxonomyHistory.asp?taxnode_id=20162976","ICTVonline=20162976")</f>
        <v>ICTVonline=20162976</v>
      </c>
    </row>
    <row r="3030" spans="1:14" x14ac:dyDescent="0.15">
      <c r="A3030" s="3">
        <v>3029</v>
      </c>
      <c r="B3030" s="1" t="s">
        <v>926</v>
      </c>
      <c r="C3030" s="1" t="s">
        <v>1462</v>
      </c>
      <c r="D3030" s="1" t="s">
        <v>7551</v>
      </c>
      <c r="E3030" s="1" t="s">
        <v>1053</v>
      </c>
      <c r="F3030" s="1" t="s">
        <v>1045</v>
      </c>
      <c r="G3030" s="3">
        <v>1</v>
      </c>
      <c r="H3030" s="20" t="s">
        <v>7556</v>
      </c>
      <c r="I3030" s="20" t="s">
        <v>7557</v>
      </c>
      <c r="J3030" s="20" t="s">
        <v>2860</v>
      </c>
      <c r="K3030" s="20" t="s">
        <v>10016</v>
      </c>
      <c r="L3030" s="3">
        <v>31</v>
      </c>
      <c r="M3030" s="3" t="s">
        <v>7537</v>
      </c>
      <c r="N3030" s="3" t="str">
        <f>HYPERLINK("http://ictvonline.org/taxonomyHistory.asp?taxnode_id=20162977","ICTVonline=20162977")</f>
        <v>ICTVonline=20162977</v>
      </c>
    </row>
    <row r="3031" spans="1:14" x14ac:dyDescent="0.15">
      <c r="A3031" s="3">
        <v>3030</v>
      </c>
      <c r="B3031" s="1" t="s">
        <v>926</v>
      </c>
      <c r="C3031" s="1" t="s">
        <v>5420</v>
      </c>
      <c r="E3031" s="1" t="s">
        <v>5421</v>
      </c>
      <c r="F3031" s="1" t="s">
        <v>5422</v>
      </c>
      <c r="G3031" s="3">
        <v>1</v>
      </c>
      <c r="H3031" s="20" t="s">
        <v>5423</v>
      </c>
      <c r="I3031" s="20" t="s">
        <v>5424</v>
      </c>
      <c r="J3031" s="20" t="s">
        <v>2860</v>
      </c>
      <c r="K3031" s="20" t="s">
        <v>10013</v>
      </c>
      <c r="L3031" s="3">
        <v>30</v>
      </c>
      <c r="M3031" s="3" t="s">
        <v>10312</v>
      </c>
      <c r="N3031" s="3" t="str">
        <f>HYPERLINK("http://ictvonline.org/taxonomyHistory.asp?taxnode_id=20162991","ICTVonline=20162991")</f>
        <v>ICTVonline=20162991</v>
      </c>
    </row>
    <row r="3032" spans="1:14" x14ac:dyDescent="0.15">
      <c r="A3032" s="3">
        <v>3031</v>
      </c>
      <c r="B3032" s="1" t="s">
        <v>926</v>
      </c>
      <c r="C3032" s="1" t="s">
        <v>5420</v>
      </c>
      <c r="E3032" s="1" t="s">
        <v>5425</v>
      </c>
      <c r="F3032" s="1" t="s">
        <v>5426</v>
      </c>
      <c r="G3032" s="3">
        <v>1</v>
      </c>
      <c r="H3032" s="20" t="s">
        <v>5427</v>
      </c>
      <c r="I3032" s="20" t="s">
        <v>5428</v>
      </c>
      <c r="J3032" s="20" t="s">
        <v>2860</v>
      </c>
      <c r="K3032" s="20" t="s">
        <v>10013</v>
      </c>
      <c r="L3032" s="3">
        <v>30</v>
      </c>
      <c r="M3032" s="3" t="s">
        <v>10312</v>
      </c>
      <c r="N3032" s="3" t="str">
        <f>HYPERLINK("http://ictvonline.org/taxonomyHistory.asp?taxnode_id=20162993","ICTVonline=20162993")</f>
        <v>ICTVonline=20162993</v>
      </c>
    </row>
    <row r="3033" spans="1:14" x14ac:dyDescent="0.15">
      <c r="A3033" s="3">
        <v>3032</v>
      </c>
      <c r="B3033" s="1" t="s">
        <v>926</v>
      </c>
      <c r="C3033" s="1" t="s">
        <v>5420</v>
      </c>
      <c r="E3033" s="1" t="s">
        <v>5425</v>
      </c>
      <c r="F3033" s="1" t="s">
        <v>5429</v>
      </c>
      <c r="G3033" s="3">
        <v>0</v>
      </c>
      <c r="H3033" s="20" t="s">
        <v>5430</v>
      </c>
      <c r="I3033" s="20" t="s">
        <v>5431</v>
      </c>
      <c r="J3033" s="20" t="s">
        <v>2860</v>
      </c>
      <c r="K3033" s="20" t="s">
        <v>10013</v>
      </c>
      <c r="L3033" s="3">
        <v>30</v>
      </c>
      <c r="M3033" s="3" t="s">
        <v>10312</v>
      </c>
      <c r="N3033" s="3" t="str">
        <f>HYPERLINK("http://ictvonline.org/taxonomyHistory.asp?taxnode_id=20162994","ICTVonline=20162994")</f>
        <v>ICTVonline=20162994</v>
      </c>
    </row>
    <row r="3034" spans="1:14" x14ac:dyDescent="0.15">
      <c r="A3034" s="3">
        <v>3033</v>
      </c>
      <c r="B3034" s="1" t="s">
        <v>926</v>
      </c>
      <c r="C3034" s="1" t="s">
        <v>1135</v>
      </c>
      <c r="E3034" s="1" t="s">
        <v>1136</v>
      </c>
      <c r="F3034" s="1" t="s">
        <v>5432</v>
      </c>
      <c r="G3034" s="3">
        <v>0</v>
      </c>
      <c r="J3034" s="20" t="s">
        <v>3160</v>
      </c>
      <c r="K3034" s="20" t="s">
        <v>10021</v>
      </c>
      <c r="L3034" s="3">
        <v>30</v>
      </c>
      <c r="M3034" s="3" t="s">
        <v>10017</v>
      </c>
      <c r="N3034" s="3" t="str">
        <f>HYPERLINK("http://ictvonline.org/taxonomyHistory.asp?taxnode_id=20162998","ICTVonline=20162998")</f>
        <v>ICTVonline=20162998</v>
      </c>
    </row>
    <row r="3035" spans="1:14" x14ac:dyDescent="0.15">
      <c r="A3035" s="3">
        <v>3034</v>
      </c>
      <c r="B3035" s="1" t="s">
        <v>926</v>
      </c>
      <c r="C3035" s="1" t="s">
        <v>1135</v>
      </c>
      <c r="E3035" s="1" t="s">
        <v>1136</v>
      </c>
      <c r="F3035" s="1" t="s">
        <v>5433</v>
      </c>
      <c r="G3035" s="3">
        <v>1</v>
      </c>
      <c r="J3035" s="20" t="s">
        <v>3160</v>
      </c>
      <c r="K3035" s="20" t="s">
        <v>10021</v>
      </c>
      <c r="L3035" s="3">
        <v>30</v>
      </c>
      <c r="M3035" s="3" t="s">
        <v>10017</v>
      </c>
      <c r="N3035" s="3" t="str">
        <f>HYPERLINK("http://ictvonline.org/taxonomyHistory.asp?taxnode_id=20162999","ICTVonline=20162999")</f>
        <v>ICTVonline=20162999</v>
      </c>
    </row>
    <row r="3036" spans="1:14" x14ac:dyDescent="0.15">
      <c r="A3036" s="3">
        <v>3035</v>
      </c>
      <c r="B3036" s="1" t="s">
        <v>926</v>
      </c>
      <c r="C3036" s="1" t="s">
        <v>1135</v>
      </c>
      <c r="E3036" s="1" t="s">
        <v>1685</v>
      </c>
      <c r="F3036" s="1" t="s">
        <v>5434</v>
      </c>
      <c r="G3036" s="3">
        <v>0</v>
      </c>
      <c r="J3036" s="20" t="s">
        <v>3160</v>
      </c>
      <c r="K3036" s="20" t="s">
        <v>10021</v>
      </c>
      <c r="L3036" s="3">
        <v>30</v>
      </c>
      <c r="M3036" s="3" t="s">
        <v>10017</v>
      </c>
      <c r="N3036" s="3" t="str">
        <f>HYPERLINK("http://ictvonline.org/taxonomyHistory.asp?taxnode_id=20163001","ICTVonline=20163001")</f>
        <v>ICTVonline=20163001</v>
      </c>
    </row>
    <row r="3037" spans="1:14" x14ac:dyDescent="0.15">
      <c r="A3037" s="3">
        <v>3036</v>
      </c>
      <c r="B3037" s="1" t="s">
        <v>926</v>
      </c>
      <c r="C3037" s="1" t="s">
        <v>1135</v>
      </c>
      <c r="E3037" s="1" t="s">
        <v>1685</v>
      </c>
      <c r="F3037" s="1" t="s">
        <v>5435</v>
      </c>
      <c r="G3037" s="3">
        <v>1</v>
      </c>
      <c r="J3037" s="20" t="s">
        <v>3160</v>
      </c>
      <c r="K3037" s="20" t="s">
        <v>10021</v>
      </c>
      <c r="L3037" s="3">
        <v>30</v>
      </c>
      <c r="M3037" s="3" t="s">
        <v>10017</v>
      </c>
      <c r="N3037" s="3" t="str">
        <f>HYPERLINK("http://ictvonline.org/taxonomyHistory.asp?taxnode_id=20163002","ICTVonline=20163002")</f>
        <v>ICTVonline=20163002</v>
      </c>
    </row>
    <row r="3038" spans="1:14" x14ac:dyDescent="0.15">
      <c r="A3038" s="3">
        <v>3037</v>
      </c>
      <c r="B3038" s="1" t="s">
        <v>926</v>
      </c>
      <c r="C3038" s="1" t="s">
        <v>2045</v>
      </c>
      <c r="E3038" s="1" t="s">
        <v>1154</v>
      </c>
      <c r="F3038" s="1" t="s">
        <v>9662</v>
      </c>
      <c r="G3038" s="3">
        <v>0</v>
      </c>
      <c r="H3038" s="20" t="s">
        <v>9663</v>
      </c>
      <c r="I3038" s="20" t="s">
        <v>9664</v>
      </c>
      <c r="J3038" s="20" t="s">
        <v>3160</v>
      </c>
      <c r="K3038" s="20" t="s">
        <v>10013</v>
      </c>
      <c r="L3038" s="3">
        <v>31</v>
      </c>
      <c r="M3038" s="3" t="s">
        <v>9665</v>
      </c>
      <c r="N3038" s="3" t="str">
        <f>HYPERLINK("http://ictvonline.org/taxonomyHistory.asp?taxnode_id=20165405","ICTVonline=20165405")</f>
        <v>ICTVonline=20165405</v>
      </c>
    </row>
    <row r="3039" spans="1:14" x14ac:dyDescent="0.15">
      <c r="A3039" s="3">
        <v>3038</v>
      </c>
      <c r="B3039" s="1" t="s">
        <v>926</v>
      </c>
      <c r="C3039" s="1" t="s">
        <v>2045</v>
      </c>
      <c r="E3039" s="1" t="s">
        <v>1154</v>
      </c>
      <c r="F3039" s="1" t="s">
        <v>2561</v>
      </c>
      <c r="G3039" s="3">
        <v>1</v>
      </c>
      <c r="H3039" s="20" t="s">
        <v>7192</v>
      </c>
      <c r="I3039" s="20" t="s">
        <v>7193</v>
      </c>
      <c r="J3039" s="20" t="s">
        <v>3160</v>
      </c>
      <c r="K3039" s="20" t="s">
        <v>10016</v>
      </c>
      <c r="L3039" s="3">
        <v>29</v>
      </c>
      <c r="M3039" s="3" t="s">
        <v>10313</v>
      </c>
      <c r="N3039" s="3" t="str">
        <f>HYPERLINK("http://ictvonline.org/taxonomyHistory.asp?taxnode_id=20163006","ICTVonline=20163006")</f>
        <v>ICTVonline=20163006</v>
      </c>
    </row>
    <row r="3040" spans="1:14" x14ac:dyDescent="0.15">
      <c r="A3040" s="3">
        <v>3039</v>
      </c>
      <c r="B3040" s="1" t="s">
        <v>926</v>
      </c>
      <c r="C3040" s="1" t="s">
        <v>2045</v>
      </c>
      <c r="E3040" s="1" t="s">
        <v>1155</v>
      </c>
      <c r="F3040" s="1" t="s">
        <v>2562</v>
      </c>
      <c r="G3040" s="3">
        <v>0</v>
      </c>
      <c r="H3040" s="20" t="s">
        <v>5436</v>
      </c>
      <c r="I3040" s="20" t="s">
        <v>5437</v>
      </c>
      <c r="J3040" s="20" t="s">
        <v>3160</v>
      </c>
      <c r="K3040" s="20" t="s">
        <v>10013</v>
      </c>
      <c r="L3040" s="3">
        <v>28</v>
      </c>
      <c r="M3040" s="3" t="s">
        <v>10314</v>
      </c>
      <c r="N3040" s="3" t="str">
        <f>HYPERLINK("http://ictvonline.org/taxonomyHistory.asp?taxnode_id=20163008","ICTVonline=20163008")</f>
        <v>ICTVonline=20163008</v>
      </c>
    </row>
    <row r="3041" spans="1:14" x14ac:dyDescent="0.15">
      <c r="A3041" s="3">
        <v>3040</v>
      </c>
      <c r="B3041" s="1" t="s">
        <v>926</v>
      </c>
      <c r="C3041" s="1" t="s">
        <v>2045</v>
      </c>
      <c r="E3041" s="1" t="s">
        <v>1155</v>
      </c>
      <c r="F3041" s="1" t="s">
        <v>2563</v>
      </c>
      <c r="G3041" s="3">
        <v>0</v>
      </c>
      <c r="J3041" s="20" t="s">
        <v>3160</v>
      </c>
      <c r="K3041" s="20" t="s">
        <v>10013</v>
      </c>
      <c r="L3041" s="3">
        <v>28</v>
      </c>
      <c r="M3041" s="3" t="s">
        <v>10314</v>
      </c>
      <c r="N3041" s="3" t="str">
        <f>HYPERLINK("http://ictvonline.org/taxonomyHistory.asp?taxnode_id=20163009","ICTVonline=20163009")</f>
        <v>ICTVonline=20163009</v>
      </c>
    </row>
    <row r="3042" spans="1:14" x14ac:dyDescent="0.15">
      <c r="A3042" s="3">
        <v>3041</v>
      </c>
      <c r="B3042" s="1" t="s">
        <v>926</v>
      </c>
      <c r="C3042" s="1" t="s">
        <v>2045</v>
      </c>
      <c r="E3042" s="1" t="s">
        <v>1155</v>
      </c>
      <c r="F3042" s="1" t="s">
        <v>1560</v>
      </c>
      <c r="G3042" s="3">
        <v>0</v>
      </c>
      <c r="H3042" s="20" t="s">
        <v>7194</v>
      </c>
      <c r="I3042" s="20" t="s">
        <v>7195</v>
      </c>
      <c r="J3042" s="20" t="s">
        <v>3160</v>
      </c>
      <c r="K3042" s="20" t="s">
        <v>10014</v>
      </c>
      <c r="L3042" s="3">
        <v>28</v>
      </c>
      <c r="M3042" s="3" t="s">
        <v>10315</v>
      </c>
      <c r="N3042" s="3" t="str">
        <f>HYPERLINK("http://ictvonline.org/taxonomyHistory.asp?taxnode_id=20163010","ICTVonline=20163010")</f>
        <v>ICTVonline=20163010</v>
      </c>
    </row>
    <row r="3043" spans="1:14" x14ac:dyDescent="0.15">
      <c r="A3043" s="3">
        <v>3042</v>
      </c>
      <c r="B3043" s="1" t="s">
        <v>926</v>
      </c>
      <c r="C3043" s="1" t="s">
        <v>2045</v>
      </c>
      <c r="E3043" s="1" t="s">
        <v>1155</v>
      </c>
      <c r="F3043" s="1" t="s">
        <v>1561</v>
      </c>
      <c r="G3043" s="3">
        <v>0</v>
      </c>
      <c r="H3043" s="20" t="s">
        <v>5438</v>
      </c>
      <c r="I3043" s="20" t="s">
        <v>5439</v>
      </c>
      <c r="J3043" s="20" t="s">
        <v>3160</v>
      </c>
      <c r="K3043" s="20" t="s">
        <v>10013</v>
      </c>
      <c r="L3043" s="3">
        <v>21</v>
      </c>
      <c r="M3043" s="3" t="s">
        <v>10316</v>
      </c>
      <c r="N3043" s="3" t="str">
        <f>HYPERLINK("http://ictvonline.org/taxonomyHistory.asp?taxnode_id=20163011","ICTVonline=20163011")</f>
        <v>ICTVonline=20163011</v>
      </c>
    </row>
    <row r="3044" spans="1:14" x14ac:dyDescent="0.15">
      <c r="A3044" s="3">
        <v>3043</v>
      </c>
      <c r="B3044" s="1" t="s">
        <v>926</v>
      </c>
      <c r="C3044" s="1" t="s">
        <v>2045</v>
      </c>
      <c r="E3044" s="1" t="s">
        <v>1155</v>
      </c>
      <c r="F3044" s="1" t="s">
        <v>1562</v>
      </c>
      <c r="G3044" s="3">
        <v>1</v>
      </c>
      <c r="H3044" s="20" t="s">
        <v>7445</v>
      </c>
      <c r="I3044" s="20" t="s">
        <v>4747</v>
      </c>
      <c r="J3044" s="20" t="s">
        <v>3160</v>
      </c>
      <c r="K3044" s="20" t="s">
        <v>10014</v>
      </c>
      <c r="L3044" s="3">
        <v>28</v>
      </c>
      <c r="M3044" s="3" t="s">
        <v>10315</v>
      </c>
      <c r="N3044" s="3" t="str">
        <f>HYPERLINK("http://ictvonline.org/taxonomyHistory.asp?taxnode_id=20163012","ICTVonline=20163012")</f>
        <v>ICTVonline=20163012</v>
      </c>
    </row>
    <row r="3045" spans="1:14" x14ac:dyDescent="0.15">
      <c r="A3045" s="3">
        <v>3044</v>
      </c>
      <c r="B3045" s="1" t="s">
        <v>926</v>
      </c>
      <c r="C3045" s="1" t="s">
        <v>2045</v>
      </c>
      <c r="E3045" s="1" t="s">
        <v>1155</v>
      </c>
      <c r="F3045" s="1" t="s">
        <v>1690</v>
      </c>
      <c r="G3045" s="3">
        <v>0</v>
      </c>
      <c r="H3045" s="20" t="s">
        <v>5440</v>
      </c>
      <c r="I3045" s="20" t="s">
        <v>5441</v>
      </c>
      <c r="J3045" s="20" t="s">
        <v>3160</v>
      </c>
      <c r="K3045" s="20" t="s">
        <v>10016</v>
      </c>
      <c r="L3045" s="3">
        <v>22</v>
      </c>
      <c r="M3045" s="3" t="s">
        <v>10317</v>
      </c>
      <c r="N3045" s="3" t="str">
        <f>HYPERLINK("http://ictvonline.org/taxonomyHistory.asp?taxnode_id=20163013","ICTVonline=20163013")</f>
        <v>ICTVonline=20163013</v>
      </c>
    </row>
    <row r="3046" spans="1:14" x14ac:dyDescent="0.15">
      <c r="A3046" s="3">
        <v>3045</v>
      </c>
      <c r="B3046" s="1" t="s">
        <v>926</v>
      </c>
      <c r="C3046" s="1" t="s">
        <v>2045</v>
      </c>
      <c r="E3046" s="1" t="s">
        <v>1155</v>
      </c>
      <c r="F3046" s="1" t="s">
        <v>558</v>
      </c>
      <c r="G3046" s="3">
        <v>0</v>
      </c>
      <c r="H3046" s="20" t="s">
        <v>5442</v>
      </c>
      <c r="I3046" s="20" t="s">
        <v>5274</v>
      </c>
      <c r="J3046" s="20" t="s">
        <v>3160</v>
      </c>
      <c r="K3046" s="20" t="s">
        <v>10013</v>
      </c>
      <c r="L3046" s="3">
        <v>25</v>
      </c>
      <c r="M3046" s="3" t="s">
        <v>10318</v>
      </c>
      <c r="N3046" s="3" t="str">
        <f>HYPERLINK("http://ictvonline.org/taxonomyHistory.asp?taxnode_id=20163014","ICTVonline=20163014")</f>
        <v>ICTVonline=20163014</v>
      </c>
    </row>
    <row r="3047" spans="1:14" x14ac:dyDescent="0.15">
      <c r="A3047" s="3">
        <v>3046</v>
      </c>
      <c r="B3047" s="1" t="s">
        <v>926</v>
      </c>
      <c r="C3047" s="1" t="s">
        <v>2045</v>
      </c>
      <c r="E3047" s="1" t="s">
        <v>1155</v>
      </c>
      <c r="F3047" s="1" t="s">
        <v>1156</v>
      </c>
      <c r="G3047" s="3">
        <v>0</v>
      </c>
      <c r="H3047" s="20" t="s">
        <v>5443</v>
      </c>
      <c r="I3047" s="20" t="s">
        <v>5444</v>
      </c>
      <c r="J3047" s="20" t="s">
        <v>3160</v>
      </c>
      <c r="K3047" s="20" t="s">
        <v>10016</v>
      </c>
      <c r="L3047" s="3">
        <v>22</v>
      </c>
      <c r="M3047" s="3" t="s">
        <v>10317</v>
      </c>
      <c r="N3047" s="3" t="str">
        <f>HYPERLINK("http://ictvonline.org/taxonomyHistory.asp?taxnode_id=20163015","ICTVonline=20163015")</f>
        <v>ICTVonline=20163015</v>
      </c>
    </row>
    <row r="3048" spans="1:14" x14ac:dyDescent="0.15">
      <c r="A3048" s="3">
        <v>3047</v>
      </c>
      <c r="B3048" s="1" t="s">
        <v>926</v>
      </c>
      <c r="C3048" s="1" t="s">
        <v>2045</v>
      </c>
      <c r="E3048" s="1" t="s">
        <v>1692</v>
      </c>
      <c r="F3048" s="1" t="s">
        <v>1693</v>
      </c>
      <c r="G3048" s="3">
        <v>0</v>
      </c>
      <c r="H3048" s="20" t="s">
        <v>5445</v>
      </c>
      <c r="I3048" s="20" t="s">
        <v>5446</v>
      </c>
      <c r="J3048" s="20" t="s">
        <v>3160</v>
      </c>
      <c r="K3048" s="20" t="s">
        <v>10013</v>
      </c>
      <c r="L3048" s="3">
        <v>20</v>
      </c>
      <c r="M3048" s="3" t="s">
        <v>10115</v>
      </c>
      <c r="N3048" s="3" t="str">
        <f>HYPERLINK("http://ictvonline.org/taxonomyHistory.asp?taxnode_id=20163017","ICTVonline=20163017")</f>
        <v>ICTVonline=20163017</v>
      </c>
    </row>
    <row r="3049" spans="1:14" x14ac:dyDescent="0.15">
      <c r="A3049" s="3">
        <v>3048</v>
      </c>
      <c r="B3049" s="1" t="s">
        <v>926</v>
      </c>
      <c r="C3049" s="1" t="s">
        <v>2045</v>
      </c>
      <c r="E3049" s="1" t="s">
        <v>1692</v>
      </c>
      <c r="F3049" s="1" t="s">
        <v>2050</v>
      </c>
      <c r="G3049" s="3">
        <v>0</v>
      </c>
      <c r="H3049" s="20" t="s">
        <v>5447</v>
      </c>
      <c r="I3049" s="20" t="s">
        <v>5448</v>
      </c>
      <c r="J3049" s="20" t="s">
        <v>3160</v>
      </c>
      <c r="K3049" s="20" t="s">
        <v>10013</v>
      </c>
      <c r="L3049" s="3">
        <v>17</v>
      </c>
      <c r="M3049" s="3" t="s">
        <v>10208</v>
      </c>
      <c r="N3049" s="3" t="str">
        <f>HYPERLINK("http://ictvonline.org/taxonomyHistory.asp?taxnode_id=20163018","ICTVonline=20163018")</f>
        <v>ICTVonline=20163018</v>
      </c>
    </row>
    <row r="3050" spans="1:14" x14ac:dyDescent="0.15">
      <c r="A3050" s="3">
        <v>3049</v>
      </c>
      <c r="B3050" s="1" t="s">
        <v>926</v>
      </c>
      <c r="C3050" s="1" t="s">
        <v>2045</v>
      </c>
      <c r="E3050" s="1" t="s">
        <v>1692</v>
      </c>
      <c r="F3050" s="1" t="s">
        <v>1694</v>
      </c>
      <c r="G3050" s="3">
        <v>0</v>
      </c>
      <c r="H3050" s="20" t="s">
        <v>5449</v>
      </c>
      <c r="I3050" s="20" t="s">
        <v>4610</v>
      </c>
      <c r="J3050" s="20" t="s">
        <v>3160</v>
      </c>
      <c r="K3050" s="20" t="s">
        <v>10016</v>
      </c>
      <c r="L3050" s="3">
        <v>17</v>
      </c>
      <c r="M3050" s="3" t="s">
        <v>10208</v>
      </c>
      <c r="N3050" s="3" t="str">
        <f>HYPERLINK("http://ictvonline.org/taxonomyHistory.asp?taxnode_id=20163019","ICTVonline=20163019")</f>
        <v>ICTVonline=20163019</v>
      </c>
    </row>
    <row r="3051" spans="1:14" x14ac:dyDescent="0.15">
      <c r="A3051" s="3">
        <v>3050</v>
      </c>
      <c r="B3051" s="1" t="s">
        <v>926</v>
      </c>
      <c r="C3051" s="1" t="s">
        <v>2045</v>
      </c>
      <c r="E3051" s="1" t="s">
        <v>1692</v>
      </c>
      <c r="F3051" s="1" t="s">
        <v>1695</v>
      </c>
      <c r="G3051" s="3">
        <v>0</v>
      </c>
      <c r="H3051" s="20" t="s">
        <v>5450</v>
      </c>
      <c r="I3051" s="20" t="s">
        <v>5451</v>
      </c>
      <c r="J3051" s="20" t="s">
        <v>3160</v>
      </c>
      <c r="K3051" s="20" t="s">
        <v>10016</v>
      </c>
      <c r="L3051" s="3">
        <v>24</v>
      </c>
      <c r="M3051" s="3" t="s">
        <v>10319</v>
      </c>
      <c r="N3051" s="3" t="str">
        <f>HYPERLINK("http://ictvonline.org/taxonomyHistory.asp?taxnode_id=20163020","ICTVonline=20163020")</f>
        <v>ICTVonline=20163020</v>
      </c>
    </row>
    <row r="3052" spans="1:14" x14ac:dyDescent="0.15">
      <c r="A3052" s="3">
        <v>3051</v>
      </c>
      <c r="B3052" s="1" t="s">
        <v>926</v>
      </c>
      <c r="C3052" s="1" t="s">
        <v>2045</v>
      </c>
      <c r="E3052" s="1" t="s">
        <v>1692</v>
      </c>
      <c r="F3052" s="1" t="s">
        <v>1563</v>
      </c>
      <c r="G3052" s="3">
        <v>0</v>
      </c>
      <c r="H3052" s="20" t="s">
        <v>5452</v>
      </c>
      <c r="I3052" s="20" t="s">
        <v>5453</v>
      </c>
      <c r="J3052" s="20" t="s">
        <v>3160</v>
      </c>
      <c r="K3052" s="20" t="s">
        <v>10013</v>
      </c>
      <c r="L3052" s="3">
        <v>20</v>
      </c>
      <c r="M3052" s="3" t="s">
        <v>10115</v>
      </c>
      <c r="N3052" s="3" t="str">
        <f>HYPERLINK("http://ictvonline.org/taxonomyHistory.asp?taxnode_id=20163021","ICTVonline=20163021")</f>
        <v>ICTVonline=20163021</v>
      </c>
    </row>
    <row r="3053" spans="1:14" x14ac:dyDescent="0.15">
      <c r="A3053" s="3">
        <v>3052</v>
      </c>
      <c r="B3053" s="1" t="s">
        <v>926</v>
      </c>
      <c r="C3053" s="1" t="s">
        <v>2045</v>
      </c>
      <c r="E3053" s="1" t="s">
        <v>1692</v>
      </c>
      <c r="F3053" s="1" t="s">
        <v>1564</v>
      </c>
      <c r="G3053" s="3">
        <v>0</v>
      </c>
      <c r="H3053" s="20" t="s">
        <v>7446</v>
      </c>
      <c r="I3053" s="20" t="s">
        <v>5459</v>
      </c>
      <c r="J3053" s="20" t="s">
        <v>3160</v>
      </c>
      <c r="K3053" s="20" t="s">
        <v>10014</v>
      </c>
      <c r="L3053" s="3">
        <v>28</v>
      </c>
      <c r="M3053" s="3" t="s">
        <v>10315</v>
      </c>
      <c r="N3053" s="3" t="str">
        <f>HYPERLINK("http://ictvonline.org/taxonomyHistory.asp?taxnode_id=20163022","ICTVonline=20163022")</f>
        <v>ICTVonline=20163022</v>
      </c>
    </row>
    <row r="3054" spans="1:14" x14ac:dyDescent="0.15">
      <c r="A3054" s="3">
        <v>3053</v>
      </c>
      <c r="B3054" s="1" t="s">
        <v>926</v>
      </c>
      <c r="C3054" s="1" t="s">
        <v>2045</v>
      </c>
      <c r="E3054" s="1" t="s">
        <v>1692</v>
      </c>
      <c r="F3054" s="1" t="s">
        <v>559</v>
      </c>
      <c r="G3054" s="3">
        <v>0</v>
      </c>
      <c r="H3054" s="20" t="s">
        <v>5454</v>
      </c>
      <c r="I3054" s="20" t="s">
        <v>5455</v>
      </c>
      <c r="J3054" s="20" t="s">
        <v>3160</v>
      </c>
      <c r="K3054" s="20" t="s">
        <v>10013</v>
      </c>
      <c r="L3054" s="3">
        <v>25</v>
      </c>
      <c r="M3054" s="3" t="s">
        <v>10318</v>
      </c>
      <c r="N3054" s="3" t="str">
        <f>HYPERLINK("http://ictvonline.org/taxonomyHistory.asp?taxnode_id=20163023","ICTVonline=20163023")</f>
        <v>ICTVonline=20163023</v>
      </c>
    </row>
    <row r="3055" spans="1:14" x14ac:dyDescent="0.15">
      <c r="A3055" s="3">
        <v>3054</v>
      </c>
      <c r="B3055" s="1" t="s">
        <v>926</v>
      </c>
      <c r="C3055" s="1" t="s">
        <v>2045</v>
      </c>
      <c r="E3055" s="1" t="s">
        <v>1692</v>
      </c>
      <c r="F3055" s="1" t="s">
        <v>2564</v>
      </c>
      <c r="G3055" s="3">
        <v>0</v>
      </c>
      <c r="H3055" s="20" t="s">
        <v>5456</v>
      </c>
      <c r="I3055" s="20" t="s">
        <v>5457</v>
      </c>
      <c r="J3055" s="20" t="s">
        <v>3160</v>
      </c>
      <c r="K3055" s="20" t="s">
        <v>10013</v>
      </c>
      <c r="L3055" s="3">
        <v>28</v>
      </c>
      <c r="M3055" s="3" t="s">
        <v>10320</v>
      </c>
      <c r="N3055" s="3" t="str">
        <f>HYPERLINK("http://ictvonline.org/taxonomyHistory.asp?taxnode_id=20163024","ICTVonline=20163024")</f>
        <v>ICTVonline=20163024</v>
      </c>
    </row>
    <row r="3056" spans="1:14" x14ac:dyDescent="0.15">
      <c r="A3056" s="3">
        <v>3055</v>
      </c>
      <c r="B3056" s="1" t="s">
        <v>926</v>
      </c>
      <c r="C3056" s="1" t="s">
        <v>2045</v>
      </c>
      <c r="E3056" s="1" t="s">
        <v>1692</v>
      </c>
      <c r="F3056" s="1" t="s">
        <v>1696</v>
      </c>
      <c r="G3056" s="3">
        <v>0</v>
      </c>
      <c r="H3056" s="20" t="s">
        <v>5458</v>
      </c>
      <c r="I3056" s="20" t="s">
        <v>5459</v>
      </c>
      <c r="J3056" s="20" t="s">
        <v>3160</v>
      </c>
      <c r="K3056" s="20" t="s">
        <v>10013</v>
      </c>
      <c r="L3056" s="3">
        <v>17</v>
      </c>
      <c r="M3056" s="3" t="s">
        <v>10208</v>
      </c>
      <c r="N3056" s="3" t="str">
        <f>HYPERLINK("http://ictvonline.org/taxonomyHistory.asp?taxnode_id=20163025","ICTVonline=20163025")</f>
        <v>ICTVonline=20163025</v>
      </c>
    </row>
    <row r="3057" spans="1:14" x14ac:dyDescent="0.15">
      <c r="A3057" s="3">
        <v>3056</v>
      </c>
      <c r="B3057" s="1" t="s">
        <v>926</v>
      </c>
      <c r="C3057" s="1" t="s">
        <v>2045</v>
      </c>
      <c r="E3057" s="1" t="s">
        <v>1692</v>
      </c>
      <c r="F3057" s="1" t="s">
        <v>2565</v>
      </c>
      <c r="G3057" s="3">
        <v>0</v>
      </c>
      <c r="H3057" s="20" t="s">
        <v>7447</v>
      </c>
      <c r="I3057" s="20" t="s">
        <v>7301</v>
      </c>
      <c r="J3057" s="20" t="s">
        <v>3160</v>
      </c>
      <c r="K3057" s="20" t="s">
        <v>10014</v>
      </c>
      <c r="L3057" s="3">
        <v>28</v>
      </c>
      <c r="M3057" s="3" t="s">
        <v>10315</v>
      </c>
      <c r="N3057" s="3" t="str">
        <f>HYPERLINK("http://ictvonline.org/taxonomyHistory.asp?taxnode_id=20163026","ICTVonline=20163026")</f>
        <v>ICTVonline=20163026</v>
      </c>
    </row>
    <row r="3058" spans="1:14" x14ac:dyDescent="0.15">
      <c r="A3058" s="3">
        <v>3057</v>
      </c>
      <c r="B3058" s="1" t="s">
        <v>926</v>
      </c>
      <c r="C3058" s="1" t="s">
        <v>2045</v>
      </c>
      <c r="E3058" s="1" t="s">
        <v>1692</v>
      </c>
      <c r="F3058" s="1" t="s">
        <v>560</v>
      </c>
      <c r="G3058" s="3">
        <v>0</v>
      </c>
      <c r="H3058" s="20" t="s">
        <v>5460</v>
      </c>
      <c r="I3058" s="20" t="s">
        <v>5461</v>
      </c>
      <c r="J3058" s="20" t="s">
        <v>3160</v>
      </c>
      <c r="K3058" s="20" t="s">
        <v>10013</v>
      </c>
      <c r="L3058" s="3">
        <v>25</v>
      </c>
      <c r="M3058" s="3" t="s">
        <v>10318</v>
      </c>
      <c r="N3058" s="3" t="str">
        <f>HYPERLINK("http://ictvonline.org/taxonomyHistory.asp?taxnode_id=20163027","ICTVonline=20163027")</f>
        <v>ICTVonline=20163027</v>
      </c>
    </row>
    <row r="3059" spans="1:14" x14ac:dyDescent="0.15">
      <c r="A3059" s="3">
        <v>3058</v>
      </c>
      <c r="B3059" s="1" t="s">
        <v>926</v>
      </c>
      <c r="C3059" s="1" t="s">
        <v>2045</v>
      </c>
      <c r="E3059" s="1" t="s">
        <v>1692</v>
      </c>
      <c r="F3059" s="1" t="s">
        <v>2566</v>
      </c>
      <c r="G3059" s="3">
        <v>0</v>
      </c>
      <c r="H3059" s="20" t="s">
        <v>5462</v>
      </c>
      <c r="I3059" s="20" t="s">
        <v>4576</v>
      </c>
      <c r="J3059" s="20" t="s">
        <v>3160</v>
      </c>
      <c r="K3059" s="20" t="s">
        <v>10013</v>
      </c>
      <c r="L3059" s="3">
        <v>28</v>
      </c>
      <c r="M3059" s="3" t="s">
        <v>10320</v>
      </c>
      <c r="N3059" s="3" t="str">
        <f>HYPERLINK("http://ictvonline.org/taxonomyHistory.asp?taxnode_id=20163028","ICTVonline=20163028")</f>
        <v>ICTVonline=20163028</v>
      </c>
    </row>
    <row r="3060" spans="1:14" x14ac:dyDescent="0.15">
      <c r="A3060" s="3">
        <v>3059</v>
      </c>
      <c r="B3060" s="1" t="s">
        <v>926</v>
      </c>
      <c r="C3060" s="1" t="s">
        <v>2045</v>
      </c>
      <c r="E3060" s="1" t="s">
        <v>1692</v>
      </c>
      <c r="F3060" s="1" t="s">
        <v>1697</v>
      </c>
      <c r="G3060" s="3">
        <v>1</v>
      </c>
      <c r="H3060" s="20" t="s">
        <v>5463</v>
      </c>
      <c r="I3060" s="20" t="s">
        <v>6445</v>
      </c>
      <c r="J3060" s="20" t="s">
        <v>3160</v>
      </c>
      <c r="K3060" s="20" t="s">
        <v>10239</v>
      </c>
      <c r="L3060" s="3">
        <v>18</v>
      </c>
      <c r="M3060" s="3" t="s">
        <v>10101</v>
      </c>
      <c r="N3060" s="3" t="str">
        <f>HYPERLINK("http://ictvonline.org/taxonomyHistory.asp?taxnode_id=20163029","ICTVonline=20163029")</f>
        <v>ICTVonline=20163029</v>
      </c>
    </row>
    <row r="3061" spans="1:14" x14ac:dyDescent="0.15">
      <c r="A3061" s="3">
        <v>3060</v>
      </c>
      <c r="B3061" s="1" t="s">
        <v>926</v>
      </c>
      <c r="C3061" s="1" t="s">
        <v>2045</v>
      </c>
      <c r="E3061" s="1" t="s">
        <v>1692</v>
      </c>
      <c r="F3061" s="1" t="s">
        <v>2567</v>
      </c>
      <c r="G3061" s="3">
        <v>0</v>
      </c>
      <c r="H3061" s="20" t="s">
        <v>5464</v>
      </c>
      <c r="I3061" s="20" t="s">
        <v>5465</v>
      </c>
      <c r="J3061" s="20" t="s">
        <v>3160</v>
      </c>
      <c r="K3061" s="20" t="s">
        <v>10013</v>
      </c>
      <c r="L3061" s="3">
        <v>28</v>
      </c>
      <c r="M3061" s="3" t="s">
        <v>10320</v>
      </c>
      <c r="N3061" s="3" t="str">
        <f>HYPERLINK("http://ictvonline.org/taxonomyHistory.asp?taxnode_id=20163030","ICTVonline=20163030")</f>
        <v>ICTVonline=20163030</v>
      </c>
    </row>
    <row r="3062" spans="1:14" x14ac:dyDescent="0.15">
      <c r="A3062" s="3">
        <v>3061</v>
      </c>
      <c r="B3062" s="1" t="s">
        <v>926</v>
      </c>
      <c r="C3062" s="1" t="s">
        <v>2045</v>
      </c>
      <c r="E3062" s="1" t="s">
        <v>1692</v>
      </c>
      <c r="F3062" s="1" t="s">
        <v>1698</v>
      </c>
      <c r="G3062" s="3">
        <v>0</v>
      </c>
      <c r="H3062" s="20" t="s">
        <v>5466</v>
      </c>
      <c r="I3062" s="20" t="s">
        <v>5467</v>
      </c>
      <c r="J3062" s="20" t="s">
        <v>3160</v>
      </c>
      <c r="K3062" s="20" t="s">
        <v>10016</v>
      </c>
      <c r="L3062" s="3">
        <v>22</v>
      </c>
      <c r="M3062" s="3" t="s">
        <v>10321</v>
      </c>
      <c r="N3062" s="3" t="str">
        <f>HYPERLINK("http://ictvonline.org/taxonomyHistory.asp?taxnode_id=20163031","ICTVonline=20163031")</f>
        <v>ICTVonline=20163031</v>
      </c>
    </row>
    <row r="3063" spans="1:14" x14ac:dyDescent="0.15">
      <c r="A3063" s="3">
        <v>3062</v>
      </c>
      <c r="B3063" s="1" t="s">
        <v>926</v>
      </c>
      <c r="C3063" s="1" t="s">
        <v>2045</v>
      </c>
      <c r="E3063" s="1" t="s">
        <v>1692</v>
      </c>
      <c r="F3063" s="1" t="s">
        <v>1701</v>
      </c>
      <c r="G3063" s="3">
        <v>0</v>
      </c>
      <c r="H3063" s="20" t="s">
        <v>5468</v>
      </c>
      <c r="I3063" s="20" t="s">
        <v>5469</v>
      </c>
      <c r="J3063" s="20" t="s">
        <v>3160</v>
      </c>
      <c r="K3063" s="20" t="s">
        <v>10016</v>
      </c>
      <c r="L3063" s="3">
        <v>25</v>
      </c>
      <c r="M3063" s="3" t="s">
        <v>10318</v>
      </c>
      <c r="N3063" s="3" t="str">
        <f>HYPERLINK("http://ictvonline.org/taxonomyHistory.asp?taxnode_id=20163032","ICTVonline=20163032")</f>
        <v>ICTVonline=20163032</v>
      </c>
    </row>
    <row r="3064" spans="1:14" x14ac:dyDescent="0.15">
      <c r="A3064" s="3">
        <v>3063</v>
      </c>
      <c r="B3064" s="1" t="s">
        <v>926</v>
      </c>
      <c r="C3064" s="1" t="s">
        <v>2045</v>
      </c>
      <c r="E3064" s="1" t="s">
        <v>1692</v>
      </c>
      <c r="F3064" s="1" t="s">
        <v>1699</v>
      </c>
      <c r="G3064" s="3">
        <v>0</v>
      </c>
      <c r="H3064" s="20" t="s">
        <v>5470</v>
      </c>
      <c r="I3064" s="20" t="s">
        <v>5471</v>
      </c>
      <c r="J3064" s="20" t="s">
        <v>3160</v>
      </c>
      <c r="K3064" s="20" t="s">
        <v>10013</v>
      </c>
      <c r="L3064" s="3">
        <v>21</v>
      </c>
      <c r="M3064" s="3" t="s">
        <v>10316</v>
      </c>
      <c r="N3064" s="3" t="str">
        <f>HYPERLINK("http://ictvonline.org/taxonomyHistory.asp?taxnode_id=20163033","ICTVonline=20163033")</f>
        <v>ICTVonline=20163033</v>
      </c>
    </row>
    <row r="3065" spans="1:14" x14ac:dyDescent="0.15">
      <c r="A3065" s="3">
        <v>3064</v>
      </c>
      <c r="B3065" s="1" t="s">
        <v>926</v>
      </c>
      <c r="C3065" s="1" t="s">
        <v>2045</v>
      </c>
      <c r="E3065" s="1" t="s">
        <v>926</v>
      </c>
      <c r="F3065" s="1" t="s">
        <v>1565</v>
      </c>
      <c r="G3065" s="3">
        <v>0</v>
      </c>
      <c r="J3065" s="20" t="s">
        <v>3160</v>
      </c>
      <c r="K3065" s="20" t="s">
        <v>10013</v>
      </c>
      <c r="L3065" s="3">
        <v>18</v>
      </c>
      <c r="M3065" s="3" t="s">
        <v>10101</v>
      </c>
      <c r="N3065" s="3" t="str">
        <f>HYPERLINK("http://ictvonline.org/taxonomyHistory.asp?taxnode_id=20163035","ICTVonline=20163035")</f>
        <v>ICTVonline=20163035</v>
      </c>
    </row>
    <row r="3066" spans="1:14" x14ac:dyDescent="0.15">
      <c r="A3066" s="3">
        <v>3065</v>
      </c>
      <c r="B3066" s="1" t="s">
        <v>926</v>
      </c>
      <c r="C3066" s="1" t="s">
        <v>2045</v>
      </c>
      <c r="E3066" s="1" t="s">
        <v>926</v>
      </c>
      <c r="F3066" s="1" t="s">
        <v>1566</v>
      </c>
      <c r="G3066" s="3">
        <v>0</v>
      </c>
      <c r="H3066" s="20" t="s">
        <v>7447</v>
      </c>
      <c r="I3066" s="20" t="s">
        <v>7301</v>
      </c>
      <c r="J3066" s="20" t="s">
        <v>3160</v>
      </c>
      <c r="K3066" s="20" t="s">
        <v>10014</v>
      </c>
      <c r="L3066" s="3">
        <v>28</v>
      </c>
      <c r="M3066" s="3" t="s">
        <v>10315</v>
      </c>
      <c r="N3066" s="3" t="str">
        <f>HYPERLINK("http://ictvonline.org/taxonomyHistory.asp?taxnode_id=20163036","ICTVonline=20163036")</f>
        <v>ICTVonline=20163036</v>
      </c>
    </row>
    <row r="3067" spans="1:14" x14ac:dyDescent="0.15">
      <c r="A3067" s="3">
        <v>3066</v>
      </c>
      <c r="B3067" s="1" t="s">
        <v>926</v>
      </c>
      <c r="C3067" s="1" t="s">
        <v>2045</v>
      </c>
      <c r="E3067" s="1" t="s">
        <v>926</v>
      </c>
      <c r="F3067" s="1" t="s">
        <v>1157</v>
      </c>
      <c r="G3067" s="3">
        <v>0</v>
      </c>
      <c r="J3067" s="20" t="s">
        <v>3160</v>
      </c>
      <c r="K3067" s="20" t="s">
        <v>10021</v>
      </c>
      <c r="L3067" s="3">
        <v>18</v>
      </c>
      <c r="M3067" s="3" t="s">
        <v>10101</v>
      </c>
      <c r="N3067" s="3" t="str">
        <f>HYPERLINK("http://ictvonline.org/taxonomyHistory.asp?taxnode_id=20163037","ICTVonline=20163037")</f>
        <v>ICTVonline=20163037</v>
      </c>
    </row>
    <row r="3068" spans="1:14" x14ac:dyDescent="0.15">
      <c r="A3068" s="3">
        <v>3067</v>
      </c>
      <c r="B3068" s="1" t="s">
        <v>926</v>
      </c>
      <c r="C3068" s="1" t="s">
        <v>2045</v>
      </c>
      <c r="E3068" s="1" t="s">
        <v>926</v>
      </c>
      <c r="F3068" s="1" t="s">
        <v>2052</v>
      </c>
      <c r="G3068" s="3">
        <v>0</v>
      </c>
      <c r="J3068" s="20" t="s">
        <v>3160</v>
      </c>
      <c r="K3068" s="20" t="s">
        <v>10016</v>
      </c>
      <c r="L3068" s="3">
        <v>17</v>
      </c>
      <c r="M3068" s="3" t="s">
        <v>10208</v>
      </c>
      <c r="N3068" s="3" t="str">
        <f>HYPERLINK("http://ictvonline.org/taxonomyHistory.asp?taxnode_id=20163038","ICTVonline=20163038")</f>
        <v>ICTVonline=20163038</v>
      </c>
    </row>
    <row r="3069" spans="1:14" x14ac:dyDescent="0.15">
      <c r="A3069" s="3">
        <v>3068</v>
      </c>
      <c r="B3069" s="1" t="s">
        <v>926</v>
      </c>
      <c r="C3069" s="1" t="s">
        <v>2045</v>
      </c>
      <c r="E3069" s="1" t="s">
        <v>926</v>
      </c>
      <c r="F3069" s="1" t="s">
        <v>2053</v>
      </c>
      <c r="G3069" s="3">
        <v>0</v>
      </c>
      <c r="J3069" s="20" t="s">
        <v>3160</v>
      </c>
      <c r="K3069" s="20" t="s">
        <v>10016</v>
      </c>
      <c r="L3069" s="3">
        <v>17</v>
      </c>
      <c r="M3069" s="3" t="s">
        <v>10208</v>
      </c>
      <c r="N3069" s="3" t="str">
        <f>HYPERLINK("http://ictvonline.org/taxonomyHistory.asp?taxnode_id=20163039","ICTVonline=20163039")</f>
        <v>ICTVonline=20163039</v>
      </c>
    </row>
    <row r="3070" spans="1:14" x14ac:dyDescent="0.15">
      <c r="A3070" s="3">
        <v>3069</v>
      </c>
      <c r="B3070" s="1" t="s">
        <v>926</v>
      </c>
      <c r="C3070" s="1" t="s">
        <v>2045</v>
      </c>
      <c r="E3070" s="1" t="s">
        <v>926</v>
      </c>
      <c r="F3070" s="1" t="s">
        <v>2054</v>
      </c>
      <c r="G3070" s="3">
        <v>0</v>
      </c>
      <c r="J3070" s="20" t="s">
        <v>3160</v>
      </c>
      <c r="K3070" s="20" t="s">
        <v>10013</v>
      </c>
      <c r="L3070" s="3">
        <v>17</v>
      </c>
      <c r="M3070" s="3" t="s">
        <v>10208</v>
      </c>
      <c r="N3070" s="3" t="str">
        <f>HYPERLINK("http://ictvonline.org/taxonomyHistory.asp?taxnode_id=20163040","ICTVonline=20163040")</f>
        <v>ICTVonline=20163040</v>
      </c>
    </row>
    <row r="3071" spans="1:14" x14ac:dyDescent="0.15">
      <c r="A3071" s="3">
        <v>3070</v>
      </c>
      <c r="B3071" s="1" t="s">
        <v>926</v>
      </c>
      <c r="C3071" s="1" t="s">
        <v>2045</v>
      </c>
      <c r="E3071" s="1" t="s">
        <v>926</v>
      </c>
      <c r="F3071" s="1" t="s">
        <v>2055</v>
      </c>
      <c r="G3071" s="3">
        <v>0</v>
      </c>
      <c r="J3071" s="20" t="s">
        <v>3160</v>
      </c>
      <c r="K3071" s="20" t="s">
        <v>10016</v>
      </c>
      <c r="L3071" s="3">
        <v>18</v>
      </c>
      <c r="M3071" s="3" t="s">
        <v>10101</v>
      </c>
      <c r="N3071" s="3" t="str">
        <f>HYPERLINK("http://ictvonline.org/taxonomyHistory.asp?taxnode_id=20163041","ICTVonline=20163041")</f>
        <v>ICTVonline=20163041</v>
      </c>
    </row>
    <row r="3072" spans="1:14" x14ac:dyDescent="0.15">
      <c r="A3072" s="3">
        <v>3071</v>
      </c>
      <c r="B3072" s="1" t="s">
        <v>926</v>
      </c>
      <c r="C3072" s="1" t="s">
        <v>2568</v>
      </c>
      <c r="E3072" s="1" t="s">
        <v>2569</v>
      </c>
      <c r="F3072" s="1" t="s">
        <v>2570</v>
      </c>
      <c r="G3072" s="3">
        <v>1</v>
      </c>
      <c r="J3072" s="20" t="s">
        <v>2860</v>
      </c>
      <c r="K3072" s="20" t="s">
        <v>10013</v>
      </c>
      <c r="L3072" s="3">
        <v>28</v>
      </c>
      <c r="M3072" s="3" t="s">
        <v>10322</v>
      </c>
      <c r="N3072" s="3" t="str">
        <f>HYPERLINK("http://ictvonline.org/taxonomyHistory.asp?taxnode_id=20163045","ICTVonline=20163045")</f>
        <v>ICTVonline=20163045</v>
      </c>
    </row>
    <row r="3073" spans="1:14" x14ac:dyDescent="0.15">
      <c r="A3073" s="3">
        <v>3072</v>
      </c>
      <c r="B3073" s="1" t="s">
        <v>926</v>
      </c>
      <c r="C3073" s="1" t="s">
        <v>2568</v>
      </c>
      <c r="E3073" s="1" t="s">
        <v>2569</v>
      </c>
      <c r="F3073" s="1" t="s">
        <v>2571</v>
      </c>
      <c r="G3073" s="3">
        <v>0</v>
      </c>
      <c r="J3073" s="20" t="s">
        <v>2860</v>
      </c>
      <c r="K3073" s="20" t="s">
        <v>10013</v>
      </c>
      <c r="L3073" s="3">
        <v>28</v>
      </c>
      <c r="M3073" s="3" t="s">
        <v>10322</v>
      </c>
      <c r="N3073" s="3" t="str">
        <f>HYPERLINK("http://ictvonline.org/taxonomyHistory.asp?taxnode_id=20163046","ICTVonline=20163046")</f>
        <v>ICTVonline=20163046</v>
      </c>
    </row>
    <row r="3074" spans="1:14" x14ac:dyDescent="0.15">
      <c r="A3074" s="3">
        <v>3073</v>
      </c>
      <c r="B3074" s="1" t="s">
        <v>926</v>
      </c>
      <c r="C3074" s="1" t="s">
        <v>2568</v>
      </c>
      <c r="E3074" s="1" t="s">
        <v>926</v>
      </c>
      <c r="F3074" s="1" t="s">
        <v>2572</v>
      </c>
      <c r="G3074" s="3">
        <v>0</v>
      </c>
      <c r="J3074" s="20" t="s">
        <v>2860</v>
      </c>
      <c r="K3074" s="20" t="s">
        <v>10013</v>
      </c>
      <c r="L3074" s="3">
        <v>28</v>
      </c>
      <c r="M3074" s="3" t="s">
        <v>10322</v>
      </c>
      <c r="N3074" s="3" t="str">
        <f>HYPERLINK("http://ictvonline.org/taxonomyHistory.asp?taxnode_id=20163048","ICTVonline=20163048")</f>
        <v>ICTVonline=20163048</v>
      </c>
    </row>
    <row r="3075" spans="1:14" x14ac:dyDescent="0.15">
      <c r="A3075" s="3">
        <v>3074</v>
      </c>
      <c r="B3075" s="1" t="s">
        <v>926</v>
      </c>
      <c r="C3075" s="1" t="s">
        <v>2568</v>
      </c>
      <c r="E3075" s="1" t="s">
        <v>926</v>
      </c>
      <c r="F3075" s="1" t="s">
        <v>2573</v>
      </c>
      <c r="G3075" s="3">
        <v>0</v>
      </c>
      <c r="J3075" s="20" t="s">
        <v>2860</v>
      </c>
      <c r="K3075" s="20" t="s">
        <v>10013</v>
      </c>
      <c r="L3075" s="3">
        <v>28</v>
      </c>
      <c r="M3075" s="3" t="s">
        <v>10322</v>
      </c>
      <c r="N3075" s="3" t="str">
        <f>HYPERLINK("http://ictvonline.org/taxonomyHistory.asp?taxnode_id=20163049","ICTVonline=20163049")</f>
        <v>ICTVonline=20163049</v>
      </c>
    </row>
    <row r="3076" spans="1:14" x14ac:dyDescent="0.15">
      <c r="A3076" s="3">
        <v>3075</v>
      </c>
      <c r="B3076" s="1" t="s">
        <v>926</v>
      </c>
      <c r="C3076" s="1" t="s">
        <v>102</v>
      </c>
      <c r="E3076" s="1" t="s">
        <v>103</v>
      </c>
      <c r="F3076" s="1" t="s">
        <v>104</v>
      </c>
      <c r="G3076" s="3">
        <v>1</v>
      </c>
      <c r="H3076" s="20" t="s">
        <v>7196</v>
      </c>
      <c r="I3076" s="20" t="s">
        <v>5472</v>
      </c>
      <c r="J3076" s="20" t="s">
        <v>3176</v>
      </c>
      <c r="K3076" s="20" t="s">
        <v>10072</v>
      </c>
      <c r="L3076" s="3">
        <v>26</v>
      </c>
      <c r="M3076" s="3" t="s">
        <v>10323</v>
      </c>
      <c r="N3076" s="3" t="str">
        <f>HYPERLINK("http://ictvonline.org/taxonomyHistory.asp?taxnode_id=20163053","ICTVonline=20163053")</f>
        <v>ICTVonline=20163053</v>
      </c>
    </row>
    <row r="3077" spans="1:14" x14ac:dyDescent="0.15">
      <c r="A3077" s="3">
        <v>3076</v>
      </c>
      <c r="B3077" s="1" t="s">
        <v>926</v>
      </c>
      <c r="C3077" s="1" t="s">
        <v>1702</v>
      </c>
      <c r="E3077" s="1" t="s">
        <v>1074</v>
      </c>
      <c r="F3077" s="1" t="s">
        <v>1075</v>
      </c>
      <c r="G3077" s="3">
        <v>0</v>
      </c>
      <c r="J3077" s="20" t="s">
        <v>3178</v>
      </c>
      <c r="K3077" s="20" t="s">
        <v>10013</v>
      </c>
      <c r="L3077" s="3">
        <v>23</v>
      </c>
      <c r="M3077" s="3" t="s">
        <v>10229</v>
      </c>
      <c r="N3077" s="3" t="str">
        <f>HYPERLINK("http://ictvonline.org/taxonomyHistory.asp?taxnode_id=20163057","ICTVonline=20163057")</f>
        <v>ICTVonline=20163057</v>
      </c>
    </row>
    <row r="3078" spans="1:14" x14ac:dyDescent="0.15">
      <c r="A3078" s="3">
        <v>3077</v>
      </c>
      <c r="B3078" s="1" t="s">
        <v>926</v>
      </c>
      <c r="C3078" s="1" t="s">
        <v>1702</v>
      </c>
      <c r="E3078" s="1" t="s">
        <v>1074</v>
      </c>
      <c r="F3078" s="1" t="s">
        <v>1076</v>
      </c>
      <c r="G3078" s="3">
        <v>0</v>
      </c>
      <c r="J3078" s="20" t="s">
        <v>3178</v>
      </c>
      <c r="K3078" s="20" t="s">
        <v>10013</v>
      </c>
      <c r="L3078" s="3">
        <v>18</v>
      </c>
      <c r="M3078" s="3" t="s">
        <v>10101</v>
      </c>
      <c r="N3078" s="3" t="str">
        <f>HYPERLINK("http://ictvonline.org/taxonomyHistory.asp?taxnode_id=20163058","ICTVonline=20163058")</f>
        <v>ICTVonline=20163058</v>
      </c>
    </row>
    <row r="3079" spans="1:14" x14ac:dyDescent="0.15">
      <c r="A3079" s="3">
        <v>3078</v>
      </c>
      <c r="B3079" s="1" t="s">
        <v>926</v>
      </c>
      <c r="C3079" s="1" t="s">
        <v>1702</v>
      </c>
      <c r="E3079" s="1" t="s">
        <v>1074</v>
      </c>
      <c r="F3079" s="1" t="s">
        <v>6478</v>
      </c>
      <c r="G3079" s="3">
        <v>0</v>
      </c>
      <c r="J3079" s="20" t="s">
        <v>3178</v>
      </c>
      <c r="K3079" s="20" t="s">
        <v>10013</v>
      </c>
      <c r="L3079" s="3">
        <v>18</v>
      </c>
      <c r="M3079" s="3" t="s">
        <v>10101</v>
      </c>
      <c r="N3079" s="3" t="str">
        <f>HYPERLINK("http://ictvonline.org/taxonomyHistory.asp?taxnode_id=20163059","ICTVonline=20163059")</f>
        <v>ICTVonline=20163059</v>
      </c>
    </row>
    <row r="3080" spans="1:14" x14ac:dyDescent="0.15">
      <c r="A3080" s="3">
        <v>3079</v>
      </c>
      <c r="B3080" s="1" t="s">
        <v>926</v>
      </c>
      <c r="C3080" s="1" t="s">
        <v>1702</v>
      </c>
      <c r="E3080" s="1" t="s">
        <v>1074</v>
      </c>
      <c r="F3080" s="1" t="s">
        <v>1077</v>
      </c>
      <c r="G3080" s="3">
        <v>0</v>
      </c>
      <c r="J3080" s="20" t="s">
        <v>3178</v>
      </c>
      <c r="K3080" s="20" t="s">
        <v>10013</v>
      </c>
      <c r="L3080" s="3">
        <v>18</v>
      </c>
      <c r="M3080" s="3" t="s">
        <v>10101</v>
      </c>
      <c r="N3080" s="3" t="str">
        <f>HYPERLINK("http://ictvonline.org/taxonomyHistory.asp?taxnode_id=20163060","ICTVonline=20163060")</f>
        <v>ICTVonline=20163060</v>
      </c>
    </row>
    <row r="3081" spans="1:14" x14ac:dyDescent="0.15">
      <c r="A3081" s="3">
        <v>3080</v>
      </c>
      <c r="B3081" s="1" t="s">
        <v>926</v>
      </c>
      <c r="C3081" s="1" t="s">
        <v>1702</v>
      </c>
      <c r="E3081" s="1" t="s">
        <v>1074</v>
      </c>
      <c r="F3081" s="1" t="s">
        <v>688</v>
      </c>
      <c r="G3081" s="3">
        <v>1</v>
      </c>
      <c r="J3081" s="20" t="s">
        <v>3178</v>
      </c>
      <c r="K3081" s="20" t="s">
        <v>10072</v>
      </c>
      <c r="L3081" s="3">
        <v>17</v>
      </c>
      <c r="M3081" s="3" t="s">
        <v>10208</v>
      </c>
      <c r="N3081" s="3" t="str">
        <f>HYPERLINK("http://ictvonline.org/taxonomyHistory.asp?taxnode_id=20163061","ICTVonline=20163061")</f>
        <v>ICTVonline=20163061</v>
      </c>
    </row>
    <row r="3082" spans="1:14" x14ac:dyDescent="0.15">
      <c r="A3082" s="3">
        <v>3081</v>
      </c>
      <c r="B3082" s="1" t="s">
        <v>926</v>
      </c>
      <c r="C3082" s="1" t="s">
        <v>1702</v>
      </c>
      <c r="E3082" s="1" t="s">
        <v>1074</v>
      </c>
      <c r="F3082" s="1" t="s">
        <v>689</v>
      </c>
      <c r="G3082" s="3">
        <v>0</v>
      </c>
      <c r="J3082" s="20" t="s">
        <v>3178</v>
      </c>
      <c r="K3082" s="20" t="s">
        <v>10013</v>
      </c>
      <c r="L3082" s="3">
        <v>23</v>
      </c>
      <c r="M3082" s="3" t="s">
        <v>10229</v>
      </c>
      <c r="N3082" s="3" t="str">
        <f>HYPERLINK("http://ictvonline.org/taxonomyHistory.asp?taxnode_id=20163062","ICTVonline=20163062")</f>
        <v>ICTVonline=20163062</v>
      </c>
    </row>
    <row r="3083" spans="1:14" x14ac:dyDescent="0.15">
      <c r="A3083" s="3">
        <v>3082</v>
      </c>
      <c r="B3083" s="1" t="s">
        <v>926</v>
      </c>
      <c r="C3083" s="1" t="s">
        <v>1702</v>
      </c>
      <c r="E3083" s="1" t="s">
        <v>1074</v>
      </c>
      <c r="F3083" s="1" t="s">
        <v>690</v>
      </c>
      <c r="G3083" s="3">
        <v>0</v>
      </c>
      <c r="J3083" s="20" t="s">
        <v>3178</v>
      </c>
      <c r="K3083" s="20" t="s">
        <v>10013</v>
      </c>
      <c r="L3083" s="3">
        <v>23</v>
      </c>
      <c r="M3083" s="3" t="s">
        <v>10229</v>
      </c>
      <c r="N3083" s="3" t="str">
        <f>HYPERLINK("http://ictvonline.org/taxonomyHistory.asp?taxnode_id=20163063","ICTVonline=20163063")</f>
        <v>ICTVonline=20163063</v>
      </c>
    </row>
    <row r="3084" spans="1:14" x14ac:dyDescent="0.15">
      <c r="A3084" s="3">
        <v>3083</v>
      </c>
      <c r="B3084" s="1" t="s">
        <v>926</v>
      </c>
      <c r="C3084" s="1" t="s">
        <v>1702</v>
      </c>
      <c r="E3084" s="1" t="s">
        <v>1074</v>
      </c>
      <c r="F3084" s="1" t="s">
        <v>691</v>
      </c>
      <c r="G3084" s="3">
        <v>0</v>
      </c>
      <c r="J3084" s="20" t="s">
        <v>3178</v>
      </c>
      <c r="K3084" s="20" t="s">
        <v>10013</v>
      </c>
      <c r="L3084" s="3">
        <v>23</v>
      </c>
      <c r="M3084" s="3" t="s">
        <v>10229</v>
      </c>
      <c r="N3084" s="3" t="str">
        <f>HYPERLINK("http://ictvonline.org/taxonomyHistory.asp?taxnode_id=20163064","ICTVonline=20163064")</f>
        <v>ICTVonline=20163064</v>
      </c>
    </row>
    <row r="3085" spans="1:14" x14ac:dyDescent="0.15">
      <c r="A3085" s="3">
        <v>3084</v>
      </c>
      <c r="B3085" s="1" t="s">
        <v>926</v>
      </c>
      <c r="C3085" s="1" t="s">
        <v>1702</v>
      </c>
      <c r="E3085" s="1" t="s">
        <v>1074</v>
      </c>
      <c r="F3085" s="1" t="s">
        <v>692</v>
      </c>
      <c r="G3085" s="3">
        <v>0</v>
      </c>
      <c r="J3085" s="20" t="s">
        <v>3178</v>
      </c>
      <c r="K3085" s="20" t="s">
        <v>10013</v>
      </c>
      <c r="L3085" s="3">
        <v>23</v>
      </c>
      <c r="M3085" s="3" t="s">
        <v>10229</v>
      </c>
      <c r="N3085" s="3" t="str">
        <f>HYPERLINK("http://ictvonline.org/taxonomyHistory.asp?taxnode_id=20163065","ICTVonline=20163065")</f>
        <v>ICTVonline=20163065</v>
      </c>
    </row>
    <row r="3086" spans="1:14" x14ac:dyDescent="0.15">
      <c r="A3086" s="3">
        <v>3085</v>
      </c>
      <c r="B3086" s="1" t="s">
        <v>926</v>
      </c>
      <c r="C3086" s="1" t="s">
        <v>1702</v>
      </c>
      <c r="E3086" s="1" t="s">
        <v>1074</v>
      </c>
      <c r="F3086" s="1" t="s">
        <v>1079</v>
      </c>
      <c r="G3086" s="3">
        <v>0</v>
      </c>
      <c r="J3086" s="20" t="s">
        <v>3178</v>
      </c>
      <c r="K3086" s="20" t="s">
        <v>10013</v>
      </c>
      <c r="L3086" s="3">
        <v>18</v>
      </c>
      <c r="M3086" s="3" t="s">
        <v>10101</v>
      </c>
      <c r="N3086" s="3" t="str">
        <f>HYPERLINK("http://ictvonline.org/taxonomyHistory.asp?taxnode_id=20163066","ICTVonline=20163066")</f>
        <v>ICTVonline=20163066</v>
      </c>
    </row>
    <row r="3087" spans="1:14" x14ac:dyDescent="0.15">
      <c r="A3087" s="3">
        <v>3086</v>
      </c>
      <c r="B3087" s="1" t="s">
        <v>926</v>
      </c>
      <c r="C3087" s="1" t="s">
        <v>1702</v>
      </c>
      <c r="E3087" s="1" t="s">
        <v>1080</v>
      </c>
      <c r="F3087" s="1" t="s">
        <v>1081</v>
      </c>
      <c r="G3087" s="3">
        <v>0</v>
      </c>
      <c r="J3087" s="20" t="s">
        <v>3178</v>
      </c>
      <c r="K3087" s="20" t="s">
        <v>10013</v>
      </c>
      <c r="L3087" s="3">
        <v>23</v>
      </c>
      <c r="M3087" s="3" t="s">
        <v>10229</v>
      </c>
      <c r="N3087" s="3" t="str">
        <f>HYPERLINK("http://ictvonline.org/taxonomyHistory.asp?taxnode_id=20163068","ICTVonline=20163068")</f>
        <v>ICTVonline=20163068</v>
      </c>
    </row>
    <row r="3088" spans="1:14" x14ac:dyDescent="0.15">
      <c r="A3088" s="3">
        <v>3087</v>
      </c>
      <c r="B3088" s="1" t="s">
        <v>926</v>
      </c>
      <c r="C3088" s="1" t="s">
        <v>1702</v>
      </c>
      <c r="E3088" s="1" t="s">
        <v>1080</v>
      </c>
      <c r="F3088" s="1" t="s">
        <v>1082</v>
      </c>
      <c r="G3088" s="3">
        <v>0</v>
      </c>
      <c r="J3088" s="20" t="s">
        <v>3178</v>
      </c>
      <c r="K3088" s="20" t="s">
        <v>10013</v>
      </c>
      <c r="L3088" s="3">
        <v>23</v>
      </c>
      <c r="M3088" s="3" t="s">
        <v>10229</v>
      </c>
      <c r="N3088" s="3" t="str">
        <f>HYPERLINK("http://ictvonline.org/taxonomyHistory.asp?taxnode_id=20163069","ICTVonline=20163069")</f>
        <v>ICTVonline=20163069</v>
      </c>
    </row>
    <row r="3089" spans="1:14" x14ac:dyDescent="0.15">
      <c r="A3089" s="3">
        <v>3088</v>
      </c>
      <c r="B3089" s="1" t="s">
        <v>926</v>
      </c>
      <c r="C3089" s="1" t="s">
        <v>1702</v>
      </c>
      <c r="E3089" s="1" t="s">
        <v>1080</v>
      </c>
      <c r="F3089" s="1" t="s">
        <v>1083</v>
      </c>
      <c r="G3089" s="3">
        <v>0</v>
      </c>
      <c r="J3089" s="20" t="s">
        <v>3178</v>
      </c>
      <c r="K3089" s="20" t="s">
        <v>10013</v>
      </c>
      <c r="L3089" s="3">
        <v>18</v>
      </c>
      <c r="M3089" s="3" t="s">
        <v>10101</v>
      </c>
      <c r="N3089" s="3" t="str">
        <f>HYPERLINK("http://ictvonline.org/taxonomyHistory.asp?taxnode_id=20163070","ICTVonline=20163070")</f>
        <v>ICTVonline=20163070</v>
      </c>
    </row>
    <row r="3090" spans="1:14" x14ac:dyDescent="0.15">
      <c r="A3090" s="3">
        <v>3089</v>
      </c>
      <c r="B3090" s="1" t="s">
        <v>926</v>
      </c>
      <c r="C3090" s="1" t="s">
        <v>1702</v>
      </c>
      <c r="E3090" s="1" t="s">
        <v>1080</v>
      </c>
      <c r="F3090" s="1" t="s">
        <v>1084</v>
      </c>
      <c r="G3090" s="3">
        <v>0</v>
      </c>
      <c r="J3090" s="20" t="s">
        <v>3178</v>
      </c>
      <c r="K3090" s="20" t="s">
        <v>10016</v>
      </c>
      <c r="L3090" s="3">
        <v>23</v>
      </c>
      <c r="M3090" s="3" t="s">
        <v>10229</v>
      </c>
      <c r="N3090" s="3" t="str">
        <f>HYPERLINK("http://ictvonline.org/taxonomyHistory.asp?taxnode_id=20163071","ICTVonline=20163071")</f>
        <v>ICTVonline=20163071</v>
      </c>
    </row>
    <row r="3091" spans="1:14" x14ac:dyDescent="0.15">
      <c r="A3091" s="3">
        <v>3090</v>
      </c>
      <c r="B3091" s="1" t="s">
        <v>926</v>
      </c>
      <c r="C3091" s="1" t="s">
        <v>1702</v>
      </c>
      <c r="E3091" s="1" t="s">
        <v>1080</v>
      </c>
      <c r="F3091" s="1" t="s">
        <v>1085</v>
      </c>
      <c r="G3091" s="3">
        <v>0</v>
      </c>
      <c r="H3091" s="20" t="s">
        <v>5473</v>
      </c>
      <c r="I3091" s="20" t="s">
        <v>5474</v>
      </c>
      <c r="J3091" s="20" t="s">
        <v>3178</v>
      </c>
      <c r="K3091" s="20" t="s">
        <v>10013</v>
      </c>
      <c r="L3091" s="3">
        <v>18</v>
      </c>
      <c r="M3091" s="3" t="s">
        <v>10101</v>
      </c>
      <c r="N3091" s="3" t="str">
        <f>HYPERLINK("http://ictvonline.org/taxonomyHistory.asp?taxnode_id=20163072","ICTVonline=20163072")</f>
        <v>ICTVonline=20163072</v>
      </c>
    </row>
    <row r="3092" spans="1:14" x14ac:dyDescent="0.15">
      <c r="A3092" s="3">
        <v>3091</v>
      </c>
      <c r="B3092" s="1" t="s">
        <v>926</v>
      </c>
      <c r="C3092" s="1" t="s">
        <v>1702</v>
      </c>
      <c r="E3092" s="1" t="s">
        <v>1080</v>
      </c>
      <c r="F3092" s="1" t="s">
        <v>1086</v>
      </c>
      <c r="G3092" s="3">
        <v>0</v>
      </c>
      <c r="J3092" s="20" t="s">
        <v>3178</v>
      </c>
      <c r="K3092" s="20" t="s">
        <v>10013</v>
      </c>
      <c r="L3092" s="3">
        <v>23</v>
      </c>
      <c r="M3092" s="3" t="s">
        <v>10229</v>
      </c>
      <c r="N3092" s="3" t="str">
        <f>HYPERLINK("http://ictvonline.org/taxonomyHistory.asp?taxnode_id=20163073","ICTVonline=20163073")</f>
        <v>ICTVonline=20163073</v>
      </c>
    </row>
    <row r="3093" spans="1:14" x14ac:dyDescent="0.15">
      <c r="A3093" s="3">
        <v>3092</v>
      </c>
      <c r="B3093" s="1" t="s">
        <v>926</v>
      </c>
      <c r="C3093" s="1" t="s">
        <v>1702</v>
      </c>
      <c r="E3093" s="1" t="s">
        <v>1080</v>
      </c>
      <c r="F3093" s="1" t="s">
        <v>1176</v>
      </c>
      <c r="G3093" s="3">
        <v>0</v>
      </c>
      <c r="J3093" s="20" t="s">
        <v>3178</v>
      </c>
      <c r="K3093" s="20" t="s">
        <v>10013</v>
      </c>
      <c r="L3093" s="3">
        <v>23</v>
      </c>
      <c r="M3093" s="3" t="s">
        <v>10229</v>
      </c>
      <c r="N3093" s="3" t="str">
        <f>HYPERLINK("http://ictvonline.org/taxonomyHistory.asp?taxnode_id=20163074","ICTVonline=20163074")</f>
        <v>ICTVonline=20163074</v>
      </c>
    </row>
    <row r="3094" spans="1:14" x14ac:dyDescent="0.15">
      <c r="A3094" s="3">
        <v>3093</v>
      </c>
      <c r="B3094" s="1" t="s">
        <v>926</v>
      </c>
      <c r="C3094" s="1" t="s">
        <v>1702</v>
      </c>
      <c r="E3094" s="1" t="s">
        <v>1080</v>
      </c>
      <c r="F3094" s="1" t="s">
        <v>1177</v>
      </c>
      <c r="G3094" s="3">
        <v>0</v>
      </c>
      <c r="J3094" s="20" t="s">
        <v>3178</v>
      </c>
      <c r="K3094" s="20" t="s">
        <v>10013</v>
      </c>
      <c r="L3094" s="3">
        <v>18</v>
      </c>
      <c r="M3094" s="3" t="s">
        <v>10101</v>
      </c>
      <c r="N3094" s="3" t="str">
        <f>HYPERLINK("http://ictvonline.org/taxonomyHistory.asp?taxnode_id=20163075","ICTVonline=20163075")</f>
        <v>ICTVonline=20163075</v>
      </c>
    </row>
    <row r="3095" spans="1:14" x14ac:dyDescent="0.15">
      <c r="A3095" s="3">
        <v>3094</v>
      </c>
      <c r="B3095" s="1" t="s">
        <v>926</v>
      </c>
      <c r="C3095" s="1" t="s">
        <v>1702</v>
      </c>
      <c r="E3095" s="1" t="s">
        <v>1080</v>
      </c>
      <c r="F3095" s="1" t="s">
        <v>1178</v>
      </c>
      <c r="G3095" s="3">
        <v>0</v>
      </c>
      <c r="J3095" s="20" t="s">
        <v>3178</v>
      </c>
      <c r="K3095" s="20" t="s">
        <v>10013</v>
      </c>
      <c r="L3095" s="3">
        <v>23</v>
      </c>
      <c r="M3095" s="3" t="s">
        <v>10229</v>
      </c>
      <c r="N3095" s="3" t="str">
        <f>HYPERLINK("http://ictvonline.org/taxonomyHistory.asp?taxnode_id=20163076","ICTVonline=20163076")</f>
        <v>ICTVonline=20163076</v>
      </c>
    </row>
    <row r="3096" spans="1:14" x14ac:dyDescent="0.15">
      <c r="A3096" s="3">
        <v>3095</v>
      </c>
      <c r="B3096" s="1" t="s">
        <v>926</v>
      </c>
      <c r="C3096" s="1" t="s">
        <v>1702</v>
      </c>
      <c r="E3096" s="1" t="s">
        <v>1080</v>
      </c>
      <c r="F3096" s="1" t="s">
        <v>1179</v>
      </c>
      <c r="G3096" s="3">
        <v>0</v>
      </c>
      <c r="J3096" s="20" t="s">
        <v>3178</v>
      </c>
      <c r="K3096" s="20" t="s">
        <v>10013</v>
      </c>
      <c r="L3096" s="3">
        <v>18</v>
      </c>
      <c r="M3096" s="3" t="s">
        <v>10101</v>
      </c>
      <c r="N3096" s="3" t="str">
        <f>HYPERLINK("http://ictvonline.org/taxonomyHistory.asp?taxnode_id=20163077","ICTVonline=20163077")</f>
        <v>ICTVonline=20163077</v>
      </c>
    </row>
    <row r="3097" spans="1:14" x14ac:dyDescent="0.15">
      <c r="A3097" s="3">
        <v>3096</v>
      </c>
      <c r="B3097" s="1" t="s">
        <v>926</v>
      </c>
      <c r="C3097" s="1" t="s">
        <v>1702</v>
      </c>
      <c r="E3097" s="1" t="s">
        <v>1080</v>
      </c>
      <c r="F3097" s="1" t="s">
        <v>1180</v>
      </c>
      <c r="G3097" s="3">
        <v>0</v>
      </c>
      <c r="J3097" s="20" t="s">
        <v>3178</v>
      </c>
      <c r="K3097" s="20" t="s">
        <v>10013</v>
      </c>
      <c r="L3097" s="3">
        <v>23</v>
      </c>
      <c r="M3097" s="3" t="s">
        <v>10229</v>
      </c>
      <c r="N3097" s="3" t="str">
        <f>HYPERLINK("http://ictvonline.org/taxonomyHistory.asp?taxnode_id=20163078","ICTVonline=20163078")</f>
        <v>ICTVonline=20163078</v>
      </c>
    </row>
    <row r="3098" spans="1:14" x14ac:dyDescent="0.15">
      <c r="A3098" s="3">
        <v>3097</v>
      </c>
      <c r="B3098" s="1" t="s">
        <v>926</v>
      </c>
      <c r="C3098" s="1" t="s">
        <v>1702</v>
      </c>
      <c r="E3098" s="1" t="s">
        <v>1080</v>
      </c>
      <c r="F3098" s="1" t="s">
        <v>1181</v>
      </c>
      <c r="G3098" s="3">
        <v>0</v>
      </c>
      <c r="J3098" s="20" t="s">
        <v>3178</v>
      </c>
      <c r="K3098" s="20" t="s">
        <v>10013</v>
      </c>
      <c r="L3098" s="3">
        <v>18</v>
      </c>
      <c r="M3098" s="3" t="s">
        <v>10101</v>
      </c>
      <c r="N3098" s="3" t="str">
        <f>HYPERLINK("http://ictvonline.org/taxonomyHistory.asp?taxnode_id=20163079","ICTVonline=20163079")</f>
        <v>ICTVonline=20163079</v>
      </c>
    </row>
    <row r="3099" spans="1:14" x14ac:dyDescent="0.15">
      <c r="A3099" s="3">
        <v>3098</v>
      </c>
      <c r="B3099" s="1" t="s">
        <v>926</v>
      </c>
      <c r="C3099" s="1" t="s">
        <v>1702</v>
      </c>
      <c r="E3099" s="1" t="s">
        <v>1080</v>
      </c>
      <c r="F3099" s="1" t="s">
        <v>1734</v>
      </c>
      <c r="G3099" s="3">
        <v>0</v>
      </c>
      <c r="J3099" s="20" t="s">
        <v>3178</v>
      </c>
      <c r="K3099" s="20" t="s">
        <v>10013</v>
      </c>
      <c r="L3099" s="3">
        <v>18</v>
      </c>
      <c r="M3099" s="3" t="s">
        <v>10101</v>
      </c>
      <c r="N3099" s="3" t="str">
        <f>HYPERLINK("http://ictvonline.org/taxonomyHistory.asp?taxnode_id=20163080","ICTVonline=20163080")</f>
        <v>ICTVonline=20163080</v>
      </c>
    </row>
    <row r="3100" spans="1:14" x14ac:dyDescent="0.15">
      <c r="A3100" s="3">
        <v>3099</v>
      </c>
      <c r="B3100" s="1" t="s">
        <v>926</v>
      </c>
      <c r="C3100" s="1" t="s">
        <v>1702</v>
      </c>
      <c r="E3100" s="1" t="s">
        <v>1080</v>
      </c>
      <c r="F3100" s="1" t="s">
        <v>1735</v>
      </c>
      <c r="G3100" s="3">
        <v>0</v>
      </c>
      <c r="J3100" s="20" t="s">
        <v>3178</v>
      </c>
      <c r="K3100" s="20" t="s">
        <v>10013</v>
      </c>
      <c r="L3100" s="3">
        <v>23</v>
      </c>
      <c r="M3100" s="3" t="s">
        <v>10229</v>
      </c>
      <c r="N3100" s="3" t="str">
        <f>HYPERLINK("http://ictvonline.org/taxonomyHistory.asp?taxnode_id=20163081","ICTVonline=20163081")</f>
        <v>ICTVonline=20163081</v>
      </c>
    </row>
    <row r="3101" spans="1:14" x14ac:dyDescent="0.15">
      <c r="A3101" s="3">
        <v>3100</v>
      </c>
      <c r="B3101" s="1" t="s">
        <v>926</v>
      </c>
      <c r="C3101" s="1" t="s">
        <v>1702</v>
      </c>
      <c r="E3101" s="1" t="s">
        <v>1080</v>
      </c>
      <c r="F3101" s="1" t="s">
        <v>1736</v>
      </c>
      <c r="G3101" s="3">
        <v>0</v>
      </c>
      <c r="H3101" s="20" t="s">
        <v>5475</v>
      </c>
      <c r="I3101" s="20" t="s">
        <v>5476</v>
      </c>
      <c r="J3101" s="20" t="s">
        <v>3178</v>
      </c>
      <c r="K3101" s="20" t="s">
        <v>10013</v>
      </c>
      <c r="L3101" s="3">
        <v>18</v>
      </c>
      <c r="M3101" s="3" t="s">
        <v>10101</v>
      </c>
      <c r="N3101" s="3" t="str">
        <f>HYPERLINK("http://ictvonline.org/taxonomyHistory.asp?taxnode_id=20163082","ICTVonline=20163082")</f>
        <v>ICTVonline=20163082</v>
      </c>
    </row>
    <row r="3102" spans="1:14" x14ac:dyDescent="0.15">
      <c r="A3102" s="3">
        <v>3101</v>
      </c>
      <c r="B3102" s="1" t="s">
        <v>926</v>
      </c>
      <c r="C3102" s="1" t="s">
        <v>1702</v>
      </c>
      <c r="E3102" s="1" t="s">
        <v>1080</v>
      </c>
      <c r="F3102" s="1" t="s">
        <v>1737</v>
      </c>
      <c r="G3102" s="3">
        <v>1</v>
      </c>
      <c r="H3102" s="20" t="s">
        <v>5477</v>
      </c>
      <c r="I3102" s="20" t="s">
        <v>5478</v>
      </c>
      <c r="J3102" s="20" t="s">
        <v>3178</v>
      </c>
      <c r="K3102" s="20" t="s">
        <v>10072</v>
      </c>
      <c r="L3102" s="3">
        <v>17</v>
      </c>
      <c r="M3102" s="3" t="s">
        <v>10208</v>
      </c>
      <c r="N3102" s="3" t="str">
        <f>HYPERLINK("http://ictvonline.org/taxonomyHistory.asp?taxnode_id=20163083","ICTVonline=20163083")</f>
        <v>ICTVonline=20163083</v>
      </c>
    </row>
    <row r="3103" spans="1:14" x14ac:dyDescent="0.15">
      <c r="A3103" s="3">
        <v>3102</v>
      </c>
      <c r="B3103" s="1" t="s">
        <v>926</v>
      </c>
      <c r="C3103" s="1" t="s">
        <v>1702</v>
      </c>
      <c r="E3103" s="1" t="s">
        <v>1080</v>
      </c>
      <c r="F3103" s="1" t="s">
        <v>1738</v>
      </c>
      <c r="G3103" s="3">
        <v>0</v>
      </c>
      <c r="H3103" s="20" t="s">
        <v>5479</v>
      </c>
      <c r="I3103" s="20" t="s">
        <v>5480</v>
      </c>
      <c r="J3103" s="20" t="s">
        <v>3178</v>
      </c>
      <c r="K3103" s="20" t="s">
        <v>10013</v>
      </c>
      <c r="L3103" s="3">
        <v>18</v>
      </c>
      <c r="M3103" s="3" t="s">
        <v>10101</v>
      </c>
      <c r="N3103" s="3" t="str">
        <f>HYPERLINK("http://ictvonline.org/taxonomyHistory.asp?taxnode_id=20163084","ICTVonline=20163084")</f>
        <v>ICTVonline=20163084</v>
      </c>
    </row>
    <row r="3104" spans="1:14" x14ac:dyDescent="0.15">
      <c r="A3104" s="3">
        <v>3103</v>
      </c>
      <c r="B3104" s="1" t="s">
        <v>926</v>
      </c>
      <c r="C3104" s="1" t="s">
        <v>1702</v>
      </c>
      <c r="E3104" s="1" t="s">
        <v>1080</v>
      </c>
      <c r="F3104" s="1" t="s">
        <v>1730</v>
      </c>
      <c r="G3104" s="3">
        <v>0</v>
      </c>
      <c r="H3104" s="20" t="s">
        <v>5481</v>
      </c>
      <c r="I3104" s="20" t="s">
        <v>5482</v>
      </c>
      <c r="J3104" s="20" t="s">
        <v>3178</v>
      </c>
      <c r="K3104" s="20" t="s">
        <v>10013</v>
      </c>
      <c r="L3104" s="3">
        <v>18</v>
      </c>
      <c r="M3104" s="3" t="s">
        <v>10101</v>
      </c>
      <c r="N3104" s="3" t="str">
        <f>HYPERLINK("http://ictvonline.org/taxonomyHistory.asp?taxnode_id=20163085","ICTVonline=20163085")</f>
        <v>ICTVonline=20163085</v>
      </c>
    </row>
    <row r="3105" spans="1:14" x14ac:dyDescent="0.15">
      <c r="A3105" s="3">
        <v>3104</v>
      </c>
      <c r="B3105" s="1" t="s">
        <v>926</v>
      </c>
      <c r="C3105" s="1" t="s">
        <v>1702</v>
      </c>
      <c r="E3105" s="1" t="s">
        <v>1080</v>
      </c>
      <c r="F3105" s="1" t="s">
        <v>1731</v>
      </c>
      <c r="G3105" s="3">
        <v>0</v>
      </c>
      <c r="J3105" s="20" t="s">
        <v>3178</v>
      </c>
      <c r="K3105" s="20" t="s">
        <v>10013</v>
      </c>
      <c r="L3105" s="3">
        <v>23</v>
      </c>
      <c r="M3105" s="3" t="s">
        <v>10229</v>
      </c>
      <c r="N3105" s="3" t="str">
        <f>HYPERLINK("http://ictvonline.org/taxonomyHistory.asp?taxnode_id=20163086","ICTVonline=20163086")</f>
        <v>ICTVonline=20163086</v>
      </c>
    </row>
    <row r="3106" spans="1:14" x14ac:dyDescent="0.15">
      <c r="A3106" s="3">
        <v>3105</v>
      </c>
      <c r="B3106" s="1" t="s">
        <v>926</v>
      </c>
      <c r="C3106" s="1" t="s">
        <v>1702</v>
      </c>
      <c r="E3106" s="1" t="s">
        <v>1080</v>
      </c>
      <c r="F3106" s="1" t="s">
        <v>1732</v>
      </c>
      <c r="G3106" s="3">
        <v>0</v>
      </c>
      <c r="J3106" s="20" t="s">
        <v>3178</v>
      </c>
      <c r="K3106" s="20" t="s">
        <v>10013</v>
      </c>
      <c r="L3106" s="3">
        <v>18</v>
      </c>
      <c r="M3106" s="3" t="s">
        <v>10101</v>
      </c>
      <c r="N3106" s="3" t="str">
        <f>HYPERLINK("http://ictvonline.org/taxonomyHistory.asp?taxnode_id=20163087","ICTVonline=20163087")</f>
        <v>ICTVonline=20163087</v>
      </c>
    </row>
    <row r="3107" spans="1:14" x14ac:dyDescent="0.15">
      <c r="A3107" s="3">
        <v>3106</v>
      </c>
      <c r="B3107" s="1" t="s">
        <v>926</v>
      </c>
      <c r="C3107" s="1" t="s">
        <v>1702</v>
      </c>
      <c r="E3107" s="1" t="s">
        <v>1080</v>
      </c>
      <c r="F3107" s="1" t="s">
        <v>1733</v>
      </c>
      <c r="G3107" s="3">
        <v>0</v>
      </c>
      <c r="J3107" s="20" t="s">
        <v>3178</v>
      </c>
      <c r="K3107" s="20" t="s">
        <v>10013</v>
      </c>
      <c r="L3107" s="3">
        <v>18</v>
      </c>
      <c r="M3107" s="3" t="s">
        <v>10101</v>
      </c>
      <c r="N3107" s="3" t="str">
        <f>HYPERLINK("http://ictvonline.org/taxonomyHistory.asp?taxnode_id=20163088","ICTVonline=20163088")</f>
        <v>ICTVonline=20163088</v>
      </c>
    </row>
    <row r="3108" spans="1:14" x14ac:dyDescent="0.15">
      <c r="A3108" s="3">
        <v>3107</v>
      </c>
      <c r="B3108" s="1" t="s">
        <v>926</v>
      </c>
      <c r="C3108" s="1" t="s">
        <v>1702</v>
      </c>
      <c r="E3108" s="1" t="s">
        <v>2092</v>
      </c>
      <c r="F3108" s="1" t="s">
        <v>2093</v>
      </c>
      <c r="G3108" s="3">
        <v>0</v>
      </c>
      <c r="J3108" s="20" t="s">
        <v>3178</v>
      </c>
      <c r="K3108" s="20" t="s">
        <v>10013</v>
      </c>
      <c r="L3108" s="3">
        <v>22</v>
      </c>
      <c r="M3108" s="3" t="s">
        <v>10324</v>
      </c>
      <c r="N3108" s="3" t="str">
        <f>HYPERLINK("http://ictvonline.org/taxonomyHistory.asp?taxnode_id=20163090","ICTVonline=20163090")</f>
        <v>ICTVonline=20163090</v>
      </c>
    </row>
    <row r="3109" spans="1:14" x14ac:dyDescent="0.15">
      <c r="A3109" s="3">
        <v>3108</v>
      </c>
      <c r="B3109" s="1" t="s">
        <v>926</v>
      </c>
      <c r="C3109" s="1" t="s">
        <v>1702</v>
      </c>
      <c r="E3109" s="1" t="s">
        <v>2092</v>
      </c>
      <c r="F3109" s="1" t="s">
        <v>2094</v>
      </c>
      <c r="G3109" s="3">
        <v>1</v>
      </c>
      <c r="J3109" s="20" t="s">
        <v>3178</v>
      </c>
      <c r="K3109" s="20" t="s">
        <v>10072</v>
      </c>
      <c r="L3109" s="3">
        <v>22</v>
      </c>
      <c r="M3109" s="3" t="s">
        <v>10324</v>
      </c>
      <c r="N3109" s="3" t="str">
        <f>HYPERLINK("http://ictvonline.org/taxonomyHistory.asp?taxnode_id=20163091","ICTVonline=20163091")</f>
        <v>ICTVonline=20163091</v>
      </c>
    </row>
    <row r="3110" spans="1:14" x14ac:dyDescent="0.15">
      <c r="A3110" s="3">
        <v>3109</v>
      </c>
      <c r="B3110" s="1" t="s">
        <v>926</v>
      </c>
      <c r="C3110" s="1" t="s">
        <v>1702</v>
      </c>
      <c r="E3110" s="1" t="s">
        <v>2092</v>
      </c>
      <c r="F3110" s="1" t="s">
        <v>2095</v>
      </c>
      <c r="G3110" s="3">
        <v>0</v>
      </c>
      <c r="J3110" s="20" t="s">
        <v>3178</v>
      </c>
      <c r="K3110" s="20" t="s">
        <v>10013</v>
      </c>
      <c r="L3110" s="3">
        <v>22</v>
      </c>
      <c r="M3110" s="3" t="s">
        <v>10324</v>
      </c>
      <c r="N3110" s="3" t="str">
        <f>HYPERLINK("http://ictvonline.org/taxonomyHistory.asp?taxnode_id=20163092","ICTVonline=20163092")</f>
        <v>ICTVonline=20163092</v>
      </c>
    </row>
    <row r="3111" spans="1:14" x14ac:dyDescent="0.15">
      <c r="A3111" s="3">
        <v>3110</v>
      </c>
      <c r="B3111" s="1" t="s">
        <v>926</v>
      </c>
      <c r="C3111" s="1" t="s">
        <v>1702</v>
      </c>
      <c r="E3111" s="1" t="s">
        <v>2092</v>
      </c>
      <c r="F3111" s="1" t="s">
        <v>1185</v>
      </c>
      <c r="G3111" s="3">
        <v>0</v>
      </c>
      <c r="J3111" s="20" t="s">
        <v>3178</v>
      </c>
      <c r="K3111" s="20" t="s">
        <v>10013</v>
      </c>
      <c r="L3111" s="3">
        <v>22</v>
      </c>
      <c r="M3111" s="3" t="s">
        <v>10324</v>
      </c>
      <c r="N3111" s="3" t="str">
        <f>HYPERLINK("http://ictvonline.org/taxonomyHistory.asp?taxnode_id=20163093","ICTVonline=20163093")</f>
        <v>ICTVonline=20163093</v>
      </c>
    </row>
    <row r="3112" spans="1:14" x14ac:dyDescent="0.15">
      <c r="A3112" s="3">
        <v>3111</v>
      </c>
      <c r="B3112" s="1" t="s">
        <v>926</v>
      </c>
      <c r="C3112" s="1" t="s">
        <v>1702</v>
      </c>
      <c r="E3112" s="1" t="s">
        <v>2092</v>
      </c>
      <c r="F3112" s="1" t="s">
        <v>1186</v>
      </c>
      <c r="G3112" s="3">
        <v>0</v>
      </c>
      <c r="J3112" s="20" t="s">
        <v>3178</v>
      </c>
      <c r="K3112" s="20" t="s">
        <v>10013</v>
      </c>
      <c r="L3112" s="3">
        <v>22</v>
      </c>
      <c r="M3112" s="3" t="s">
        <v>10324</v>
      </c>
      <c r="N3112" s="3" t="str">
        <f>HYPERLINK("http://ictvonline.org/taxonomyHistory.asp?taxnode_id=20163094","ICTVonline=20163094")</f>
        <v>ICTVonline=20163094</v>
      </c>
    </row>
    <row r="3113" spans="1:14" x14ac:dyDescent="0.15">
      <c r="A3113" s="3">
        <v>3112</v>
      </c>
      <c r="B3113" s="1" t="s">
        <v>926</v>
      </c>
      <c r="C3113" s="1" t="s">
        <v>1702</v>
      </c>
      <c r="E3113" s="1" t="s">
        <v>2092</v>
      </c>
      <c r="F3113" s="1" t="s">
        <v>1187</v>
      </c>
      <c r="G3113" s="3">
        <v>0</v>
      </c>
      <c r="J3113" s="20" t="s">
        <v>3178</v>
      </c>
      <c r="K3113" s="20" t="s">
        <v>10013</v>
      </c>
      <c r="L3113" s="3">
        <v>22</v>
      </c>
      <c r="M3113" s="3" t="s">
        <v>10324</v>
      </c>
      <c r="N3113" s="3" t="str">
        <f>HYPERLINK("http://ictvonline.org/taxonomyHistory.asp?taxnode_id=20163095","ICTVonline=20163095")</f>
        <v>ICTVonline=20163095</v>
      </c>
    </row>
    <row r="3114" spans="1:14" x14ac:dyDescent="0.15">
      <c r="A3114" s="3">
        <v>3113</v>
      </c>
      <c r="B3114" s="1" t="s">
        <v>926</v>
      </c>
      <c r="C3114" s="1" t="s">
        <v>1702</v>
      </c>
      <c r="E3114" s="1" t="s">
        <v>2092</v>
      </c>
      <c r="F3114" s="1" t="s">
        <v>1742</v>
      </c>
      <c r="G3114" s="3">
        <v>0</v>
      </c>
      <c r="J3114" s="20" t="s">
        <v>3178</v>
      </c>
      <c r="K3114" s="20" t="s">
        <v>10013</v>
      </c>
      <c r="L3114" s="3">
        <v>22</v>
      </c>
      <c r="M3114" s="3" t="s">
        <v>10324</v>
      </c>
      <c r="N3114" s="3" t="str">
        <f>HYPERLINK("http://ictvonline.org/taxonomyHistory.asp?taxnode_id=20163096","ICTVonline=20163096")</f>
        <v>ICTVonline=20163096</v>
      </c>
    </row>
    <row r="3115" spans="1:14" x14ac:dyDescent="0.15">
      <c r="A3115" s="3">
        <v>3114</v>
      </c>
      <c r="B3115" s="1" t="s">
        <v>926</v>
      </c>
      <c r="C3115" s="1" t="s">
        <v>1702</v>
      </c>
      <c r="E3115" s="1" t="s">
        <v>2092</v>
      </c>
      <c r="F3115" s="1" t="s">
        <v>1743</v>
      </c>
      <c r="G3115" s="3">
        <v>0</v>
      </c>
      <c r="J3115" s="20" t="s">
        <v>3178</v>
      </c>
      <c r="K3115" s="20" t="s">
        <v>10013</v>
      </c>
      <c r="L3115" s="3">
        <v>22</v>
      </c>
      <c r="M3115" s="3" t="s">
        <v>10324</v>
      </c>
      <c r="N3115" s="3" t="str">
        <f>HYPERLINK("http://ictvonline.org/taxonomyHistory.asp?taxnode_id=20163097","ICTVonline=20163097")</f>
        <v>ICTVonline=20163097</v>
      </c>
    </row>
    <row r="3116" spans="1:14" x14ac:dyDescent="0.15">
      <c r="A3116" s="3">
        <v>3115</v>
      </c>
      <c r="B3116" s="1" t="s">
        <v>926</v>
      </c>
      <c r="C3116" s="1" t="s">
        <v>1744</v>
      </c>
      <c r="D3116" s="1" t="s">
        <v>5483</v>
      </c>
      <c r="E3116" s="1" t="s">
        <v>5484</v>
      </c>
      <c r="F3116" s="1" t="s">
        <v>5485</v>
      </c>
      <c r="G3116" s="3">
        <v>1</v>
      </c>
      <c r="J3116" s="20" t="s">
        <v>5405</v>
      </c>
      <c r="K3116" s="20" t="s">
        <v>10014</v>
      </c>
      <c r="L3116" s="3">
        <v>30</v>
      </c>
      <c r="M3116" s="3" t="s">
        <v>10325</v>
      </c>
      <c r="N3116" s="3" t="str">
        <f>HYPERLINK("http://ictvonline.org/taxonomyHistory.asp?taxnode_id=20163101","ICTVonline=20163101")</f>
        <v>ICTVonline=20163101</v>
      </c>
    </row>
    <row r="3117" spans="1:14" x14ac:dyDescent="0.15">
      <c r="A3117" s="3">
        <v>3116</v>
      </c>
      <c r="B3117" s="1" t="s">
        <v>926</v>
      </c>
      <c r="C3117" s="1" t="s">
        <v>1744</v>
      </c>
      <c r="D3117" s="1" t="s">
        <v>5483</v>
      </c>
      <c r="E3117" s="1" t="s">
        <v>5484</v>
      </c>
      <c r="F3117" s="1" t="s">
        <v>5486</v>
      </c>
      <c r="G3117" s="3">
        <v>0</v>
      </c>
      <c r="H3117" s="20" t="s">
        <v>6948</v>
      </c>
      <c r="I3117" s="20" t="s">
        <v>5487</v>
      </c>
      <c r="J3117" s="20" t="s">
        <v>5405</v>
      </c>
      <c r="K3117" s="20" t="s">
        <v>10013</v>
      </c>
      <c r="L3117" s="3">
        <v>30</v>
      </c>
      <c r="M3117" s="3" t="s">
        <v>10325</v>
      </c>
      <c r="N3117" s="3" t="str">
        <f>HYPERLINK("http://ictvonline.org/taxonomyHistory.asp?taxnode_id=20163102","ICTVonline=20163102")</f>
        <v>ICTVonline=20163102</v>
      </c>
    </row>
    <row r="3118" spans="1:14" x14ac:dyDescent="0.15">
      <c r="A3118" s="3">
        <v>3117</v>
      </c>
      <c r="B3118" s="1" t="s">
        <v>926</v>
      </c>
      <c r="C3118" s="1" t="s">
        <v>1744</v>
      </c>
      <c r="D3118" s="1" t="s">
        <v>5483</v>
      </c>
      <c r="E3118" s="1" t="s">
        <v>5484</v>
      </c>
      <c r="F3118" s="1" t="s">
        <v>5488</v>
      </c>
      <c r="G3118" s="3">
        <v>0</v>
      </c>
      <c r="H3118" s="20" t="s">
        <v>6949</v>
      </c>
      <c r="I3118" s="20" t="s">
        <v>5489</v>
      </c>
      <c r="J3118" s="20" t="s">
        <v>5405</v>
      </c>
      <c r="K3118" s="20" t="s">
        <v>10013</v>
      </c>
      <c r="L3118" s="3">
        <v>30</v>
      </c>
      <c r="M3118" s="3" t="s">
        <v>10325</v>
      </c>
      <c r="N3118" s="3" t="str">
        <f>HYPERLINK("http://ictvonline.org/taxonomyHistory.asp?taxnode_id=20163103","ICTVonline=20163103")</f>
        <v>ICTVonline=20163103</v>
      </c>
    </row>
    <row r="3119" spans="1:14" x14ac:dyDescent="0.15">
      <c r="A3119" s="3">
        <v>3118</v>
      </c>
      <c r="B3119" s="1" t="s">
        <v>926</v>
      </c>
      <c r="C3119" s="1" t="s">
        <v>1744</v>
      </c>
      <c r="D3119" s="1" t="s">
        <v>5483</v>
      </c>
      <c r="E3119" s="1" t="s">
        <v>5484</v>
      </c>
      <c r="F3119" s="1" t="s">
        <v>5490</v>
      </c>
      <c r="G3119" s="3">
        <v>0</v>
      </c>
      <c r="H3119" s="20" t="s">
        <v>6950</v>
      </c>
      <c r="I3119" s="20" t="s">
        <v>5491</v>
      </c>
      <c r="J3119" s="20" t="s">
        <v>5405</v>
      </c>
      <c r="K3119" s="20" t="s">
        <v>10013</v>
      </c>
      <c r="L3119" s="3">
        <v>30</v>
      </c>
      <c r="M3119" s="3" t="s">
        <v>10325</v>
      </c>
      <c r="N3119" s="3" t="str">
        <f>HYPERLINK("http://ictvonline.org/taxonomyHistory.asp?taxnode_id=20163104","ICTVonline=20163104")</f>
        <v>ICTVonline=20163104</v>
      </c>
    </row>
    <row r="3120" spans="1:14" x14ac:dyDescent="0.15">
      <c r="A3120" s="3">
        <v>3119</v>
      </c>
      <c r="B3120" s="1" t="s">
        <v>926</v>
      </c>
      <c r="C3120" s="1" t="s">
        <v>1744</v>
      </c>
      <c r="D3120" s="1" t="s">
        <v>5483</v>
      </c>
      <c r="E3120" s="1" t="s">
        <v>5484</v>
      </c>
      <c r="F3120" s="1" t="s">
        <v>5492</v>
      </c>
      <c r="G3120" s="3">
        <v>0</v>
      </c>
      <c r="H3120" s="20" t="s">
        <v>6951</v>
      </c>
      <c r="I3120" s="20" t="s">
        <v>5493</v>
      </c>
      <c r="J3120" s="20" t="s">
        <v>5405</v>
      </c>
      <c r="K3120" s="20" t="s">
        <v>10013</v>
      </c>
      <c r="L3120" s="3">
        <v>30</v>
      </c>
      <c r="M3120" s="3" t="s">
        <v>10325</v>
      </c>
      <c r="N3120" s="3" t="str">
        <f>HYPERLINK("http://ictvonline.org/taxonomyHistory.asp?taxnode_id=20163105","ICTVonline=20163105")</f>
        <v>ICTVonline=20163105</v>
      </c>
    </row>
    <row r="3121" spans="1:14" x14ac:dyDescent="0.15">
      <c r="A3121" s="3">
        <v>3120</v>
      </c>
      <c r="B3121" s="1" t="s">
        <v>926</v>
      </c>
      <c r="C3121" s="1" t="s">
        <v>1744</v>
      </c>
      <c r="D3121" s="1" t="s">
        <v>5483</v>
      </c>
      <c r="E3121" s="1" t="s">
        <v>5484</v>
      </c>
      <c r="F3121" s="1" t="s">
        <v>5494</v>
      </c>
      <c r="G3121" s="3">
        <v>0</v>
      </c>
      <c r="H3121" s="20" t="s">
        <v>6952</v>
      </c>
      <c r="I3121" s="20" t="s">
        <v>5495</v>
      </c>
      <c r="J3121" s="20" t="s">
        <v>5405</v>
      </c>
      <c r="K3121" s="20" t="s">
        <v>10013</v>
      </c>
      <c r="L3121" s="3">
        <v>30</v>
      </c>
      <c r="M3121" s="3" t="s">
        <v>10325</v>
      </c>
      <c r="N3121" s="3" t="str">
        <f>HYPERLINK("http://ictvonline.org/taxonomyHistory.asp?taxnode_id=20163106","ICTVonline=20163106")</f>
        <v>ICTVonline=20163106</v>
      </c>
    </row>
    <row r="3122" spans="1:14" x14ac:dyDescent="0.15">
      <c r="A3122" s="3">
        <v>3121</v>
      </c>
      <c r="B3122" s="1" t="s">
        <v>926</v>
      </c>
      <c r="C3122" s="1" t="s">
        <v>1744</v>
      </c>
      <c r="D3122" s="1" t="s">
        <v>5483</v>
      </c>
      <c r="E3122" s="1" t="s">
        <v>5484</v>
      </c>
      <c r="F3122" s="1" t="s">
        <v>5496</v>
      </c>
      <c r="G3122" s="3">
        <v>0</v>
      </c>
      <c r="H3122" s="20" t="s">
        <v>6953</v>
      </c>
      <c r="I3122" s="20" t="s">
        <v>5497</v>
      </c>
      <c r="J3122" s="20" t="s">
        <v>5405</v>
      </c>
      <c r="K3122" s="20" t="s">
        <v>10013</v>
      </c>
      <c r="L3122" s="3">
        <v>30</v>
      </c>
      <c r="M3122" s="3" t="s">
        <v>10325</v>
      </c>
      <c r="N3122" s="3" t="str">
        <f>HYPERLINK("http://ictvonline.org/taxonomyHistory.asp?taxnode_id=20163107","ICTVonline=20163107")</f>
        <v>ICTVonline=20163107</v>
      </c>
    </row>
    <row r="3123" spans="1:14" x14ac:dyDescent="0.15">
      <c r="A3123" s="3">
        <v>3122</v>
      </c>
      <c r="B3123" s="1" t="s">
        <v>926</v>
      </c>
      <c r="C3123" s="1" t="s">
        <v>1744</v>
      </c>
      <c r="D3123" s="1" t="s">
        <v>5483</v>
      </c>
      <c r="E3123" s="1" t="s">
        <v>5484</v>
      </c>
      <c r="F3123" s="1" t="s">
        <v>5498</v>
      </c>
      <c r="G3123" s="3">
        <v>0</v>
      </c>
      <c r="J3123" s="20" t="s">
        <v>5405</v>
      </c>
      <c r="K3123" s="20" t="s">
        <v>10014</v>
      </c>
      <c r="L3123" s="3">
        <v>30</v>
      </c>
      <c r="M3123" s="3" t="s">
        <v>10325</v>
      </c>
      <c r="N3123" s="3" t="str">
        <f>HYPERLINK("http://ictvonline.org/taxonomyHistory.asp?taxnode_id=20163108","ICTVonline=20163108")</f>
        <v>ICTVonline=20163108</v>
      </c>
    </row>
    <row r="3124" spans="1:14" x14ac:dyDescent="0.15">
      <c r="A3124" s="3">
        <v>3123</v>
      </c>
      <c r="B3124" s="1" t="s">
        <v>926</v>
      </c>
      <c r="C3124" s="1" t="s">
        <v>1744</v>
      </c>
      <c r="D3124" s="1" t="s">
        <v>5483</v>
      </c>
      <c r="E3124" s="1" t="s">
        <v>5484</v>
      </c>
      <c r="F3124" s="1" t="s">
        <v>5499</v>
      </c>
      <c r="G3124" s="3">
        <v>0</v>
      </c>
      <c r="J3124" s="20" t="s">
        <v>5405</v>
      </c>
      <c r="K3124" s="20" t="s">
        <v>10014</v>
      </c>
      <c r="L3124" s="3">
        <v>30</v>
      </c>
      <c r="M3124" s="3" t="s">
        <v>10325</v>
      </c>
      <c r="N3124" s="3" t="str">
        <f>HYPERLINK("http://ictvonline.org/taxonomyHistory.asp?taxnode_id=20163109","ICTVonline=20163109")</f>
        <v>ICTVonline=20163109</v>
      </c>
    </row>
    <row r="3125" spans="1:14" x14ac:dyDescent="0.15">
      <c r="A3125" s="3">
        <v>3124</v>
      </c>
      <c r="B3125" s="1" t="s">
        <v>926</v>
      </c>
      <c r="C3125" s="1" t="s">
        <v>1744</v>
      </c>
      <c r="D3125" s="1" t="s">
        <v>5483</v>
      </c>
      <c r="E3125" s="1" t="s">
        <v>5484</v>
      </c>
      <c r="F3125" s="1" t="s">
        <v>5500</v>
      </c>
      <c r="G3125" s="3">
        <v>0</v>
      </c>
      <c r="H3125" s="20" t="s">
        <v>6954</v>
      </c>
      <c r="I3125" s="20" t="s">
        <v>5501</v>
      </c>
      <c r="J3125" s="20" t="s">
        <v>5405</v>
      </c>
      <c r="K3125" s="20" t="s">
        <v>10013</v>
      </c>
      <c r="L3125" s="3">
        <v>30</v>
      </c>
      <c r="M3125" s="3" t="s">
        <v>10325</v>
      </c>
      <c r="N3125" s="3" t="str">
        <f>HYPERLINK("http://ictvonline.org/taxonomyHistory.asp?taxnode_id=20163110","ICTVonline=20163110")</f>
        <v>ICTVonline=20163110</v>
      </c>
    </row>
    <row r="3126" spans="1:14" x14ac:dyDescent="0.15">
      <c r="A3126" s="3">
        <v>3125</v>
      </c>
      <c r="B3126" s="1" t="s">
        <v>926</v>
      </c>
      <c r="C3126" s="1" t="s">
        <v>1744</v>
      </c>
      <c r="D3126" s="1" t="s">
        <v>5483</v>
      </c>
      <c r="E3126" s="1" t="s">
        <v>5502</v>
      </c>
      <c r="F3126" s="1" t="s">
        <v>5503</v>
      </c>
      <c r="G3126" s="3">
        <v>1</v>
      </c>
      <c r="J3126" s="20" t="s">
        <v>5405</v>
      </c>
      <c r="K3126" s="20" t="s">
        <v>10014</v>
      </c>
      <c r="L3126" s="3">
        <v>30</v>
      </c>
      <c r="M3126" s="3" t="s">
        <v>10325</v>
      </c>
      <c r="N3126" s="3" t="str">
        <f>HYPERLINK("http://ictvonline.org/taxonomyHistory.asp?taxnode_id=20163112","ICTVonline=20163112")</f>
        <v>ICTVonline=20163112</v>
      </c>
    </row>
    <row r="3127" spans="1:14" x14ac:dyDescent="0.15">
      <c r="A3127" s="3">
        <v>3126</v>
      </c>
      <c r="B3127" s="1" t="s">
        <v>926</v>
      </c>
      <c r="C3127" s="1" t="s">
        <v>1744</v>
      </c>
      <c r="D3127" s="1" t="s">
        <v>5483</v>
      </c>
      <c r="E3127" s="1" t="s">
        <v>5502</v>
      </c>
      <c r="F3127" s="1" t="s">
        <v>5504</v>
      </c>
      <c r="G3127" s="3">
        <v>0</v>
      </c>
      <c r="H3127" s="20" t="s">
        <v>6955</v>
      </c>
      <c r="I3127" s="20" t="s">
        <v>5505</v>
      </c>
      <c r="J3127" s="20" t="s">
        <v>5405</v>
      </c>
      <c r="K3127" s="20" t="s">
        <v>10013</v>
      </c>
      <c r="L3127" s="3">
        <v>30</v>
      </c>
      <c r="M3127" s="3" t="s">
        <v>10325</v>
      </c>
      <c r="N3127" s="3" t="str">
        <f>HYPERLINK("http://ictvonline.org/taxonomyHistory.asp?taxnode_id=20163113","ICTVonline=20163113")</f>
        <v>ICTVonline=20163113</v>
      </c>
    </row>
    <row r="3128" spans="1:14" x14ac:dyDescent="0.15">
      <c r="A3128" s="3">
        <v>3127</v>
      </c>
      <c r="B3128" s="1" t="s">
        <v>926</v>
      </c>
      <c r="C3128" s="1" t="s">
        <v>1744</v>
      </c>
      <c r="D3128" s="1" t="s">
        <v>5483</v>
      </c>
      <c r="E3128" s="1" t="s">
        <v>5502</v>
      </c>
      <c r="F3128" s="1" t="s">
        <v>5506</v>
      </c>
      <c r="G3128" s="3">
        <v>0</v>
      </c>
      <c r="H3128" s="20" t="s">
        <v>6956</v>
      </c>
      <c r="I3128" s="20" t="s">
        <v>5507</v>
      </c>
      <c r="J3128" s="20" t="s">
        <v>5405</v>
      </c>
      <c r="K3128" s="20" t="s">
        <v>10013</v>
      </c>
      <c r="L3128" s="3">
        <v>30</v>
      </c>
      <c r="M3128" s="3" t="s">
        <v>10325</v>
      </c>
      <c r="N3128" s="3" t="str">
        <f>HYPERLINK("http://ictvonline.org/taxonomyHistory.asp?taxnode_id=20163114","ICTVonline=20163114")</f>
        <v>ICTVonline=20163114</v>
      </c>
    </row>
    <row r="3129" spans="1:14" x14ac:dyDescent="0.15">
      <c r="A3129" s="3">
        <v>3128</v>
      </c>
      <c r="B3129" s="1" t="s">
        <v>926</v>
      </c>
      <c r="C3129" s="1" t="s">
        <v>1744</v>
      </c>
      <c r="D3129" s="1" t="s">
        <v>5483</v>
      </c>
      <c r="E3129" s="1" t="s">
        <v>5508</v>
      </c>
      <c r="F3129" s="1" t="s">
        <v>5509</v>
      </c>
      <c r="G3129" s="3">
        <v>1</v>
      </c>
      <c r="J3129" s="20" t="s">
        <v>5405</v>
      </c>
      <c r="K3129" s="20" t="s">
        <v>10014</v>
      </c>
      <c r="L3129" s="3">
        <v>30</v>
      </c>
      <c r="M3129" s="3" t="s">
        <v>10325</v>
      </c>
      <c r="N3129" s="3" t="str">
        <f>HYPERLINK("http://ictvonline.org/taxonomyHistory.asp?taxnode_id=20163116","ICTVonline=20163116")</f>
        <v>ICTVonline=20163116</v>
      </c>
    </row>
    <row r="3130" spans="1:14" x14ac:dyDescent="0.15">
      <c r="A3130" s="3">
        <v>3129</v>
      </c>
      <c r="B3130" s="1" t="s">
        <v>926</v>
      </c>
      <c r="C3130" s="1" t="s">
        <v>1744</v>
      </c>
      <c r="D3130" s="1" t="s">
        <v>1184</v>
      </c>
      <c r="E3130" s="1" t="s">
        <v>2016</v>
      </c>
      <c r="F3130" s="1" t="s">
        <v>5510</v>
      </c>
      <c r="G3130" s="3">
        <v>1</v>
      </c>
      <c r="J3130" s="20" t="s">
        <v>5405</v>
      </c>
      <c r="K3130" s="20" t="s">
        <v>10021</v>
      </c>
      <c r="L3130" s="3">
        <v>30</v>
      </c>
      <c r="M3130" s="3" t="s">
        <v>10017</v>
      </c>
      <c r="N3130" s="3" t="str">
        <f>HYPERLINK("http://ictvonline.org/taxonomyHistory.asp?taxnode_id=20163119","ICTVonline=20163119")</f>
        <v>ICTVonline=20163119</v>
      </c>
    </row>
    <row r="3131" spans="1:14" x14ac:dyDescent="0.15">
      <c r="A3131" s="3">
        <v>3130</v>
      </c>
      <c r="B3131" s="1" t="s">
        <v>926</v>
      </c>
      <c r="C3131" s="1" t="s">
        <v>1744</v>
      </c>
      <c r="D3131" s="1" t="s">
        <v>1184</v>
      </c>
      <c r="E3131" s="1" t="s">
        <v>2016</v>
      </c>
      <c r="F3131" s="1" t="s">
        <v>5511</v>
      </c>
      <c r="G3131" s="3">
        <v>0</v>
      </c>
      <c r="J3131" s="20" t="s">
        <v>5405</v>
      </c>
      <c r="K3131" s="20" t="s">
        <v>10021</v>
      </c>
      <c r="L3131" s="3">
        <v>30</v>
      </c>
      <c r="M3131" s="3" t="s">
        <v>10017</v>
      </c>
      <c r="N3131" s="3" t="str">
        <f>HYPERLINK("http://ictvonline.org/taxonomyHistory.asp?taxnode_id=20163120","ICTVonline=20163120")</f>
        <v>ICTVonline=20163120</v>
      </c>
    </row>
    <row r="3132" spans="1:14" x14ac:dyDescent="0.15">
      <c r="A3132" s="3">
        <v>3131</v>
      </c>
      <c r="B3132" s="1" t="s">
        <v>926</v>
      </c>
      <c r="C3132" s="1" t="s">
        <v>1744</v>
      </c>
      <c r="D3132" s="1" t="s">
        <v>1184</v>
      </c>
      <c r="E3132" s="1" t="s">
        <v>2017</v>
      </c>
      <c r="F3132" s="1" t="s">
        <v>5512</v>
      </c>
      <c r="G3132" s="3">
        <v>1</v>
      </c>
      <c r="J3132" s="20" t="s">
        <v>5405</v>
      </c>
      <c r="K3132" s="20" t="s">
        <v>10021</v>
      </c>
      <c r="L3132" s="3">
        <v>30</v>
      </c>
      <c r="M3132" s="3" t="s">
        <v>10017</v>
      </c>
      <c r="N3132" s="3" t="str">
        <f>HYPERLINK("http://ictvonline.org/taxonomyHistory.asp?taxnode_id=20163122","ICTVonline=20163122")</f>
        <v>ICTVonline=20163122</v>
      </c>
    </row>
    <row r="3133" spans="1:14" x14ac:dyDescent="0.15">
      <c r="A3133" s="3">
        <v>3132</v>
      </c>
      <c r="B3133" s="1" t="s">
        <v>926</v>
      </c>
      <c r="C3133" s="1" t="s">
        <v>1744</v>
      </c>
      <c r="D3133" s="1" t="s">
        <v>1184</v>
      </c>
      <c r="E3133" s="1" t="s">
        <v>2017</v>
      </c>
      <c r="F3133" s="1" t="s">
        <v>5513</v>
      </c>
      <c r="G3133" s="3">
        <v>0</v>
      </c>
      <c r="J3133" s="20" t="s">
        <v>5405</v>
      </c>
      <c r="K3133" s="20" t="s">
        <v>10021</v>
      </c>
      <c r="L3133" s="3">
        <v>30</v>
      </c>
      <c r="M3133" s="3" t="s">
        <v>10017</v>
      </c>
      <c r="N3133" s="3" t="str">
        <f>HYPERLINK("http://ictvonline.org/taxonomyHistory.asp?taxnode_id=20163123","ICTVonline=20163123")</f>
        <v>ICTVonline=20163123</v>
      </c>
    </row>
    <row r="3134" spans="1:14" x14ac:dyDescent="0.15">
      <c r="A3134" s="3">
        <v>3133</v>
      </c>
      <c r="B3134" s="1" t="s">
        <v>926</v>
      </c>
      <c r="C3134" s="1" t="s">
        <v>1744</v>
      </c>
      <c r="D3134" s="1" t="s">
        <v>1184</v>
      </c>
      <c r="E3134" s="1" t="s">
        <v>2017</v>
      </c>
      <c r="F3134" s="1" t="s">
        <v>5514</v>
      </c>
      <c r="G3134" s="3">
        <v>0</v>
      </c>
      <c r="J3134" s="20" t="s">
        <v>5405</v>
      </c>
      <c r="K3134" s="20" t="s">
        <v>10021</v>
      </c>
      <c r="L3134" s="3">
        <v>30</v>
      </c>
      <c r="M3134" s="3" t="s">
        <v>10017</v>
      </c>
      <c r="N3134" s="3" t="str">
        <f>HYPERLINK("http://ictvonline.org/taxonomyHistory.asp?taxnode_id=20163124","ICTVonline=20163124")</f>
        <v>ICTVonline=20163124</v>
      </c>
    </row>
    <row r="3135" spans="1:14" x14ac:dyDescent="0.15">
      <c r="A3135" s="3">
        <v>3134</v>
      </c>
      <c r="B3135" s="1" t="s">
        <v>926</v>
      </c>
      <c r="C3135" s="1" t="s">
        <v>1744</v>
      </c>
      <c r="D3135" s="1" t="s">
        <v>1184</v>
      </c>
      <c r="E3135" s="1" t="s">
        <v>2017</v>
      </c>
      <c r="F3135" s="1" t="s">
        <v>5515</v>
      </c>
      <c r="G3135" s="3">
        <v>0</v>
      </c>
      <c r="J3135" s="20" t="s">
        <v>5405</v>
      </c>
      <c r="K3135" s="20" t="s">
        <v>10021</v>
      </c>
      <c r="L3135" s="3">
        <v>30</v>
      </c>
      <c r="M3135" s="3" t="s">
        <v>10017</v>
      </c>
      <c r="N3135" s="3" t="str">
        <f>HYPERLINK("http://ictvonline.org/taxonomyHistory.asp?taxnode_id=20163125","ICTVonline=20163125")</f>
        <v>ICTVonline=20163125</v>
      </c>
    </row>
    <row r="3136" spans="1:14" x14ac:dyDescent="0.15">
      <c r="A3136" s="3">
        <v>3135</v>
      </c>
      <c r="B3136" s="1" t="s">
        <v>926</v>
      </c>
      <c r="C3136" s="1" t="s">
        <v>1744</v>
      </c>
      <c r="D3136" s="1" t="s">
        <v>1184</v>
      </c>
      <c r="E3136" s="1" t="s">
        <v>2104</v>
      </c>
      <c r="F3136" s="1" t="s">
        <v>5516</v>
      </c>
      <c r="G3136" s="3">
        <v>1</v>
      </c>
      <c r="J3136" s="20" t="s">
        <v>5405</v>
      </c>
      <c r="K3136" s="20" t="s">
        <v>10021</v>
      </c>
      <c r="L3136" s="3">
        <v>30</v>
      </c>
      <c r="M3136" s="3" t="s">
        <v>10017</v>
      </c>
      <c r="N3136" s="3" t="str">
        <f>HYPERLINK("http://ictvonline.org/taxonomyHistory.asp?taxnode_id=20163127","ICTVonline=20163127")</f>
        <v>ICTVonline=20163127</v>
      </c>
    </row>
    <row r="3137" spans="1:14" x14ac:dyDescent="0.15">
      <c r="A3137" s="3">
        <v>3136</v>
      </c>
      <c r="B3137" s="1" t="s">
        <v>926</v>
      </c>
      <c r="C3137" s="1" t="s">
        <v>2105</v>
      </c>
      <c r="E3137" s="1" t="s">
        <v>2354</v>
      </c>
      <c r="F3137" s="1" t="s">
        <v>2355</v>
      </c>
      <c r="G3137" s="3">
        <v>1</v>
      </c>
      <c r="J3137" s="20" t="s">
        <v>2860</v>
      </c>
      <c r="K3137" s="20" t="s">
        <v>10072</v>
      </c>
      <c r="L3137" s="3">
        <v>27</v>
      </c>
      <c r="M3137" s="3" t="s">
        <v>10326</v>
      </c>
      <c r="N3137" s="3" t="str">
        <f>HYPERLINK("http://ictvonline.org/taxonomyHistory.asp?taxnode_id=20163132","ICTVonline=20163132")</f>
        <v>ICTVonline=20163132</v>
      </c>
    </row>
    <row r="3138" spans="1:14" x14ac:dyDescent="0.15">
      <c r="A3138" s="3">
        <v>3137</v>
      </c>
      <c r="B3138" s="1" t="s">
        <v>926</v>
      </c>
      <c r="C3138" s="1" t="s">
        <v>2105</v>
      </c>
      <c r="E3138" s="1" t="s">
        <v>2106</v>
      </c>
      <c r="F3138" s="1" t="s">
        <v>2107</v>
      </c>
      <c r="G3138" s="3">
        <v>1</v>
      </c>
      <c r="J3138" s="20" t="s">
        <v>2860</v>
      </c>
      <c r="K3138" s="20" t="s">
        <v>10016</v>
      </c>
      <c r="L3138" s="3">
        <v>24</v>
      </c>
      <c r="M3138" s="3" t="s">
        <v>10327</v>
      </c>
      <c r="N3138" s="3" t="str">
        <f>HYPERLINK("http://ictvonline.org/taxonomyHistory.asp?taxnode_id=20163134","ICTVonline=20163134")</f>
        <v>ICTVonline=20163134</v>
      </c>
    </row>
    <row r="3139" spans="1:14" x14ac:dyDescent="0.15">
      <c r="A3139" s="3">
        <v>3138</v>
      </c>
      <c r="B3139" s="1" t="s">
        <v>926</v>
      </c>
      <c r="C3139" s="1" t="s">
        <v>2108</v>
      </c>
      <c r="E3139" s="1" t="s">
        <v>2109</v>
      </c>
      <c r="F3139" s="1" t="s">
        <v>556</v>
      </c>
      <c r="G3139" s="3">
        <v>0</v>
      </c>
      <c r="H3139" s="20" t="s">
        <v>7197</v>
      </c>
      <c r="I3139" s="20" t="s">
        <v>5517</v>
      </c>
      <c r="J3139" s="20" t="s">
        <v>5405</v>
      </c>
      <c r="K3139" s="20" t="s">
        <v>10013</v>
      </c>
      <c r="L3139" s="3">
        <v>25</v>
      </c>
      <c r="M3139" s="3" t="s">
        <v>10328</v>
      </c>
      <c r="N3139" s="3" t="str">
        <f>HYPERLINK("http://ictvonline.org/taxonomyHistory.asp?taxnode_id=20163138","ICTVonline=20163138")</f>
        <v>ICTVonline=20163138</v>
      </c>
    </row>
    <row r="3140" spans="1:14" x14ac:dyDescent="0.15">
      <c r="A3140" s="3">
        <v>3139</v>
      </c>
      <c r="B3140" s="1" t="s">
        <v>926</v>
      </c>
      <c r="C3140" s="1" t="s">
        <v>2108</v>
      </c>
      <c r="E3140" s="1" t="s">
        <v>2109</v>
      </c>
      <c r="F3140" s="1" t="s">
        <v>2110</v>
      </c>
      <c r="G3140" s="3">
        <v>1</v>
      </c>
      <c r="H3140" s="20" t="s">
        <v>7198</v>
      </c>
      <c r="I3140" s="20" t="s">
        <v>4747</v>
      </c>
      <c r="J3140" s="20" t="s">
        <v>5405</v>
      </c>
      <c r="K3140" s="20" t="s">
        <v>10076</v>
      </c>
      <c r="L3140" s="3">
        <v>20</v>
      </c>
      <c r="M3140" s="3" t="s">
        <v>10115</v>
      </c>
      <c r="N3140" s="3" t="str">
        <f>HYPERLINK("http://ictvonline.org/taxonomyHistory.asp?taxnode_id=20163139","ICTVonline=20163139")</f>
        <v>ICTVonline=20163139</v>
      </c>
    </row>
    <row r="3141" spans="1:14" x14ac:dyDescent="0.15">
      <c r="A3141" s="3">
        <v>3140</v>
      </c>
      <c r="B3141" s="1" t="s">
        <v>926</v>
      </c>
      <c r="C3141" s="1" t="s">
        <v>2108</v>
      </c>
      <c r="E3141" s="1" t="s">
        <v>2109</v>
      </c>
      <c r="F3141" s="1" t="s">
        <v>557</v>
      </c>
      <c r="G3141" s="3">
        <v>0</v>
      </c>
      <c r="H3141" s="20" t="s">
        <v>7199</v>
      </c>
      <c r="I3141" s="20" t="s">
        <v>5518</v>
      </c>
      <c r="J3141" s="20" t="s">
        <v>5405</v>
      </c>
      <c r="K3141" s="20" t="s">
        <v>10013</v>
      </c>
      <c r="L3141" s="3">
        <v>25</v>
      </c>
      <c r="M3141" s="3" t="s">
        <v>10329</v>
      </c>
      <c r="N3141" s="3" t="str">
        <f>HYPERLINK("http://ictvonline.org/taxonomyHistory.asp?taxnode_id=20163140","ICTVonline=20163140")</f>
        <v>ICTVonline=20163140</v>
      </c>
    </row>
    <row r="3142" spans="1:14" x14ac:dyDescent="0.15">
      <c r="A3142" s="3">
        <v>3141</v>
      </c>
      <c r="B3142" s="1" t="s">
        <v>926</v>
      </c>
      <c r="C3142" s="1" t="s">
        <v>2108</v>
      </c>
      <c r="E3142" s="1" t="s">
        <v>2111</v>
      </c>
      <c r="F3142" s="1" t="s">
        <v>5519</v>
      </c>
      <c r="G3142" s="3">
        <v>0</v>
      </c>
      <c r="H3142" s="20" t="s">
        <v>6957</v>
      </c>
      <c r="I3142" s="20" t="s">
        <v>5520</v>
      </c>
      <c r="J3142" s="20" t="s">
        <v>5405</v>
      </c>
      <c r="K3142" s="20" t="s">
        <v>10013</v>
      </c>
      <c r="L3142" s="3">
        <v>30</v>
      </c>
      <c r="M3142" s="3" t="s">
        <v>10330</v>
      </c>
      <c r="N3142" s="3" t="str">
        <f>HYPERLINK("http://ictvonline.org/taxonomyHistory.asp?taxnode_id=20163142","ICTVonline=20163142")</f>
        <v>ICTVonline=20163142</v>
      </c>
    </row>
    <row r="3143" spans="1:14" x14ac:dyDescent="0.15">
      <c r="A3143" s="3">
        <v>3142</v>
      </c>
      <c r="B3143" s="1" t="s">
        <v>926</v>
      </c>
      <c r="C3143" s="1" t="s">
        <v>2108</v>
      </c>
      <c r="E3143" s="1" t="s">
        <v>2111</v>
      </c>
      <c r="F3143" s="1" t="s">
        <v>105</v>
      </c>
      <c r="G3143" s="3">
        <v>0</v>
      </c>
      <c r="H3143" s="20" t="s">
        <v>7200</v>
      </c>
      <c r="I3143" s="20" t="s">
        <v>5521</v>
      </c>
      <c r="J3143" s="20" t="s">
        <v>5405</v>
      </c>
      <c r="K3143" s="20" t="s">
        <v>10013</v>
      </c>
      <c r="L3143" s="3">
        <v>26</v>
      </c>
      <c r="M3143" s="3" t="s">
        <v>10331</v>
      </c>
      <c r="N3143" s="3" t="str">
        <f>HYPERLINK("http://ictvonline.org/taxonomyHistory.asp?taxnode_id=20163143","ICTVonline=20163143")</f>
        <v>ICTVonline=20163143</v>
      </c>
    </row>
    <row r="3144" spans="1:14" x14ac:dyDescent="0.15">
      <c r="A3144" s="3">
        <v>3143</v>
      </c>
      <c r="B3144" s="1" t="s">
        <v>926</v>
      </c>
      <c r="C3144" s="1" t="s">
        <v>2108</v>
      </c>
      <c r="E3144" s="1" t="s">
        <v>2111</v>
      </c>
      <c r="F3144" s="1" t="s">
        <v>1668</v>
      </c>
      <c r="G3144" s="3">
        <v>0</v>
      </c>
      <c r="H3144" s="20" t="s">
        <v>7201</v>
      </c>
      <c r="I3144" s="20" t="s">
        <v>5522</v>
      </c>
      <c r="J3144" s="20" t="s">
        <v>5405</v>
      </c>
      <c r="K3144" s="20" t="s">
        <v>10016</v>
      </c>
      <c r="L3144" s="3">
        <v>20</v>
      </c>
      <c r="M3144" s="3" t="s">
        <v>10115</v>
      </c>
      <c r="N3144" s="3" t="str">
        <f>HYPERLINK("http://ictvonline.org/taxonomyHistory.asp?taxnode_id=20163144","ICTVonline=20163144")</f>
        <v>ICTVonline=20163144</v>
      </c>
    </row>
    <row r="3145" spans="1:14" x14ac:dyDescent="0.15">
      <c r="A3145" s="3">
        <v>3144</v>
      </c>
      <c r="B3145" s="1" t="s">
        <v>926</v>
      </c>
      <c r="C3145" s="1" t="s">
        <v>2108</v>
      </c>
      <c r="E3145" s="1" t="s">
        <v>2111</v>
      </c>
      <c r="F3145" s="1" t="s">
        <v>2356</v>
      </c>
      <c r="G3145" s="3">
        <v>0</v>
      </c>
      <c r="H3145" s="20" t="s">
        <v>7202</v>
      </c>
      <c r="I3145" s="20" t="s">
        <v>5523</v>
      </c>
      <c r="J3145" s="20" t="s">
        <v>5405</v>
      </c>
      <c r="K3145" s="20" t="s">
        <v>10013</v>
      </c>
      <c r="L3145" s="3">
        <v>27</v>
      </c>
      <c r="M3145" s="3" t="s">
        <v>10332</v>
      </c>
      <c r="N3145" s="3" t="str">
        <f>HYPERLINK("http://ictvonline.org/taxonomyHistory.asp?taxnode_id=20163145","ICTVonline=20163145")</f>
        <v>ICTVonline=20163145</v>
      </c>
    </row>
    <row r="3146" spans="1:14" x14ac:dyDescent="0.15">
      <c r="A3146" s="3">
        <v>3145</v>
      </c>
      <c r="B3146" s="1" t="s">
        <v>926</v>
      </c>
      <c r="C3146" s="1" t="s">
        <v>2108</v>
      </c>
      <c r="E3146" s="1" t="s">
        <v>2111</v>
      </c>
      <c r="F3146" s="1" t="s">
        <v>1113</v>
      </c>
      <c r="G3146" s="3">
        <v>0</v>
      </c>
      <c r="H3146" s="20" t="s">
        <v>7203</v>
      </c>
      <c r="I3146" s="20" t="s">
        <v>5524</v>
      </c>
      <c r="J3146" s="20" t="s">
        <v>5405</v>
      </c>
      <c r="K3146" s="20" t="s">
        <v>10016</v>
      </c>
      <c r="L3146" s="3">
        <v>20</v>
      </c>
      <c r="M3146" s="3" t="s">
        <v>10115</v>
      </c>
      <c r="N3146" s="3" t="str">
        <f>HYPERLINK("http://ictvonline.org/taxonomyHistory.asp?taxnode_id=20163146","ICTVonline=20163146")</f>
        <v>ICTVonline=20163146</v>
      </c>
    </row>
    <row r="3147" spans="1:14" x14ac:dyDescent="0.15">
      <c r="A3147" s="3">
        <v>3146</v>
      </c>
      <c r="B3147" s="1" t="s">
        <v>926</v>
      </c>
      <c r="C3147" s="1" t="s">
        <v>2108</v>
      </c>
      <c r="E3147" s="1" t="s">
        <v>2111</v>
      </c>
      <c r="F3147" s="1" t="s">
        <v>106</v>
      </c>
      <c r="G3147" s="3">
        <v>0</v>
      </c>
      <c r="H3147" s="20" t="s">
        <v>7204</v>
      </c>
      <c r="I3147" s="20" t="s">
        <v>5525</v>
      </c>
      <c r="J3147" s="20" t="s">
        <v>5405</v>
      </c>
      <c r="K3147" s="20" t="s">
        <v>10013</v>
      </c>
      <c r="L3147" s="3">
        <v>26</v>
      </c>
      <c r="M3147" s="3" t="s">
        <v>10331</v>
      </c>
      <c r="N3147" s="3" t="str">
        <f>HYPERLINK("http://ictvonline.org/taxonomyHistory.asp?taxnode_id=20163147","ICTVonline=20163147")</f>
        <v>ICTVonline=20163147</v>
      </c>
    </row>
    <row r="3148" spans="1:14" x14ac:dyDescent="0.15">
      <c r="A3148" s="3">
        <v>3147</v>
      </c>
      <c r="B3148" s="1" t="s">
        <v>926</v>
      </c>
      <c r="C3148" s="1" t="s">
        <v>2108</v>
      </c>
      <c r="E3148" s="1" t="s">
        <v>2111</v>
      </c>
      <c r="F3148" s="1" t="s">
        <v>5526</v>
      </c>
      <c r="G3148" s="3">
        <v>0</v>
      </c>
      <c r="H3148" s="20" t="s">
        <v>6958</v>
      </c>
      <c r="I3148" s="20" t="s">
        <v>5527</v>
      </c>
      <c r="J3148" s="20" t="s">
        <v>5405</v>
      </c>
      <c r="K3148" s="20" t="s">
        <v>10013</v>
      </c>
      <c r="L3148" s="3">
        <v>30</v>
      </c>
      <c r="M3148" s="3" t="s">
        <v>10330</v>
      </c>
      <c r="N3148" s="3" t="str">
        <f>HYPERLINK("http://ictvonline.org/taxonomyHistory.asp?taxnode_id=20163148","ICTVonline=20163148")</f>
        <v>ICTVonline=20163148</v>
      </c>
    </row>
    <row r="3149" spans="1:14" x14ac:dyDescent="0.15">
      <c r="A3149" s="3">
        <v>3148</v>
      </c>
      <c r="B3149" s="1" t="s">
        <v>926</v>
      </c>
      <c r="C3149" s="1" t="s">
        <v>2108</v>
      </c>
      <c r="E3149" s="1" t="s">
        <v>2111</v>
      </c>
      <c r="F3149" s="1" t="s">
        <v>1114</v>
      </c>
      <c r="G3149" s="3">
        <v>1</v>
      </c>
      <c r="H3149" s="20" t="s">
        <v>7205</v>
      </c>
      <c r="I3149" s="20" t="s">
        <v>5528</v>
      </c>
      <c r="J3149" s="20" t="s">
        <v>5405</v>
      </c>
      <c r="K3149" s="20" t="s">
        <v>10016</v>
      </c>
      <c r="L3149" s="3">
        <v>20</v>
      </c>
      <c r="M3149" s="3" t="s">
        <v>10115</v>
      </c>
      <c r="N3149" s="3" t="str">
        <f>HYPERLINK("http://ictvonline.org/taxonomyHistory.asp?taxnode_id=20163149","ICTVonline=20163149")</f>
        <v>ICTVonline=20163149</v>
      </c>
    </row>
    <row r="3150" spans="1:14" x14ac:dyDescent="0.15">
      <c r="A3150" s="3">
        <v>3149</v>
      </c>
      <c r="B3150" s="1" t="s">
        <v>926</v>
      </c>
      <c r="C3150" s="1" t="s">
        <v>2108</v>
      </c>
      <c r="E3150" s="1" t="s">
        <v>926</v>
      </c>
      <c r="F3150" s="1" t="s">
        <v>1115</v>
      </c>
      <c r="G3150" s="3">
        <v>0</v>
      </c>
      <c r="J3150" s="20" t="s">
        <v>5405</v>
      </c>
      <c r="K3150" s="20" t="s">
        <v>10013</v>
      </c>
      <c r="L3150" s="3">
        <v>23</v>
      </c>
      <c r="M3150" s="3" t="s">
        <v>10229</v>
      </c>
      <c r="N3150" s="3" t="str">
        <f>HYPERLINK("http://ictvonline.org/taxonomyHistory.asp?taxnode_id=20163151","ICTVonline=20163151")</f>
        <v>ICTVonline=20163151</v>
      </c>
    </row>
    <row r="3151" spans="1:14" x14ac:dyDescent="0.15">
      <c r="A3151" s="3">
        <v>3150</v>
      </c>
      <c r="B3151" s="1" t="s">
        <v>926</v>
      </c>
      <c r="C3151" s="1" t="s">
        <v>1116</v>
      </c>
      <c r="E3151" s="1" t="s">
        <v>1117</v>
      </c>
      <c r="F3151" s="1" t="s">
        <v>1038</v>
      </c>
      <c r="G3151" s="3">
        <v>1</v>
      </c>
      <c r="H3151" s="20" t="s">
        <v>5529</v>
      </c>
      <c r="I3151" s="20" t="s">
        <v>5530</v>
      </c>
      <c r="J3151" s="20" t="s">
        <v>3160</v>
      </c>
      <c r="K3151" s="20" t="s">
        <v>10021</v>
      </c>
      <c r="L3151" s="3">
        <v>21</v>
      </c>
      <c r="M3151" s="3" t="s">
        <v>10333</v>
      </c>
      <c r="N3151" s="3" t="str">
        <f>HYPERLINK("http://ictvonline.org/taxonomyHistory.asp?taxnode_id=20163155","ICTVonline=20163155")</f>
        <v>ICTVonline=20163155</v>
      </c>
    </row>
    <row r="3152" spans="1:14" x14ac:dyDescent="0.15">
      <c r="A3152" s="3">
        <v>3151</v>
      </c>
      <c r="B3152" s="1" t="s">
        <v>926</v>
      </c>
      <c r="C3152" s="1" t="s">
        <v>1116</v>
      </c>
      <c r="E3152" s="1" t="s">
        <v>1117</v>
      </c>
      <c r="F3152" s="1" t="s">
        <v>1040</v>
      </c>
      <c r="G3152" s="3">
        <v>0</v>
      </c>
      <c r="H3152" s="20" t="s">
        <v>5533</v>
      </c>
      <c r="I3152" s="20" t="s">
        <v>5532</v>
      </c>
      <c r="J3152" s="20" t="s">
        <v>3160</v>
      </c>
      <c r="K3152" s="20" t="s">
        <v>10013</v>
      </c>
      <c r="L3152" s="3">
        <v>21</v>
      </c>
      <c r="M3152" s="3" t="s">
        <v>10333</v>
      </c>
      <c r="N3152" s="3" t="str">
        <f>HYPERLINK("http://ictvonline.org/taxonomyHistory.asp?taxnode_id=20163156","ICTVonline=20163156")</f>
        <v>ICTVonline=20163156</v>
      </c>
    </row>
    <row r="3153" spans="1:14" x14ac:dyDescent="0.15">
      <c r="A3153" s="3">
        <v>3152</v>
      </c>
      <c r="B3153" s="1" t="s">
        <v>926</v>
      </c>
      <c r="C3153" s="1" t="s">
        <v>1116</v>
      </c>
      <c r="E3153" s="1" t="s">
        <v>1117</v>
      </c>
      <c r="F3153" s="1" t="s">
        <v>1041</v>
      </c>
      <c r="G3153" s="3">
        <v>0</v>
      </c>
      <c r="H3153" s="3" t="s">
        <v>5534</v>
      </c>
      <c r="I3153" s="20" t="s">
        <v>5532</v>
      </c>
      <c r="J3153" s="20" t="s">
        <v>3160</v>
      </c>
      <c r="K3153" s="20" t="s">
        <v>10013</v>
      </c>
      <c r="L3153" s="3">
        <v>21</v>
      </c>
      <c r="M3153" s="3" t="s">
        <v>10333</v>
      </c>
      <c r="N3153" s="3" t="str">
        <f>HYPERLINK("http://ictvonline.org/taxonomyHistory.asp?taxnode_id=20163157","ICTVonline=20163157")</f>
        <v>ICTVonline=20163157</v>
      </c>
    </row>
    <row r="3154" spans="1:14" x14ac:dyDescent="0.15">
      <c r="A3154" s="3">
        <v>3153</v>
      </c>
      <c r="B3154" s="1" t="s">
        <v>926</v>
      </c>
      <c r="C3154" s="1" t="s">
        <v>1116</v>
      </c>
      <c r="E3154" s="1" t="s">
        <v>1117</v>
      </c>
      <c r="F3154" s="1" t="s">
        <v>1042</v>
      </c>
      <c r="G3154" s="3">
        <v>0</v>
      </c>
      <c r="H3154" s="20" t="s">
        <v>5535</v>
      </c>
      <c r="I3154" s="20" t="s">
        <v>5532</v>
      </c>
      <c r="J3154" s="20" t="s">
        <v>3160</v>
      </c>
      <c r="K3154" s="20" t="s">
        <v>10013</v>
      </c>
      <c r="L3154" s="3">
        <v>21</v>
      </c>
      <c r="M3154" s="3" t="s">
        <v>10333</v>
      </c>
      <c r="N3154" s="3" t="str">
        <f>HYPERLINK("http://ictvonline.org/taxonomyHistory.asp?taxnode_id=20163158","ICTVonline=20163158")</f>
        <v>ICTVonline=20163158</v>
      </c>
    </row>
    <row r="3155" spans="1:14" x14ac:dyDescent="0.15">
      <c r="A3155" s="3">
        <v>3154</v>
      </c>
      <c r="B3155" s="1" t="s">
        <v>926</v>
      </c>
      <c r="C3155" s="1" t="s">
        <v>1116</v>
      </c>
      <c r="E3155" s="1" t="s">
        <v>1117</v>
      </c>
      <c r="F3155" s="1" t="s">
        <v>1039</v>
      </c>
      <c r="G3155" s="3">
        <v>0</v>
      </c>
      <c r="H3155" s="20" t="s">
        <v>5531</v>
      </c>
      <c r="I3155" s="20" t="s">
        <v>5532</v>
      </c>
      <c r="J3155" s="20" t="s">
        <v>3160</v>
      </c>
      <c r="K3155" s="20" t="s">
        <v>10013</v>
      </c>
      <c r="L3155" s="3">
        <v>21</v>
      </c>
      <c r="M3155" s="3" t="s">
        <v>10333</v>
      </c>
      <c r="N3155" s="3" t="str">
        <f>HYPERLINK("http://ictvonline.org/taxonomyHistory.asp?taxnode_id=20163159","ICTVonline=20163159")</f>
        <v>ICTVonline=20163159</v>
      </c>
    </row>
    <row r="3156" spans="1:14" x14ac:dyDescent="0.15">
      <c r="A3156" s="3">
        <v>3155</v>
      </c>
      <c r="B3156" s="1" t="s">
        <v>926</v>
      </c>
      <c r="C3156" s="1" t="s">
        <v>1116</v>
      </c>
      <c r="E3156" s="1" t="s">
        <v>1043</v>
      </c>
      <c r="F3156" s="1" t="s">
        <v>1044</v>
      </c>
      <c r="G3156" s="3">
        <v>1</v>
      </c>
      <c r="H3156" s="20" t="s">
        <v>5536</v>
      </c>
      <c r="I3156" s="20" t="s">
        <v>5537</v>
      </c>
      <c r="J3156" s="20" t="s">
        <v>3160</v>
      </c>
      <c r="K3156" s="20" t="s">
        <v>10021</v>
      </c>
      <c r="L3156" s="3">
        <v>21</v>
      </c>
      <c r="M3156" s="3" t="s">
        <v>10333</v>
      </c>
      <c r="N3156" s="3" t="str">
        <f>HYPERLINK("http://ictvonline.org/taxonomyHistory.asp?taxnode_id=20163161","ICTVonline=20163161")</f>
        <v>ICTVonline=20163161</v>
      </c>
    </row>
    <row r="3157" spans="1:14" x14ac:dyDescent="0.15">
      <c r="A3157" s="3">
        <v>3156</v>
      </c>
      <c r="B3157" s="1" t="s">
        <v>926</v>
      </c>
      <c r="C3157" s="1" t="s">
        <v>1116</v>
      </c>
      <c r="E3157" s="1" t="s">
        <v>1043</v>
      </c>
      <c r="F3157" s="1" t="s">
        <v>1118</v>
      </c>
      <c r="G3157" s="3">
        <v>0</v>
      </c>
      <c r="H3157" s="20" t="s">
        <v>5538</v>
      </c>
      <c r="I3157" s="20" t="s">
        <v>5537</v>
      </c>
      <c r="J3157" s="20" t="s">
        <v>3160</v>
      </c>
      <c r="K3157" s="20" t="s">
        <v>10021</v>
      </c>
      <c r="L3157" s="3">
        <v>21</v>
      </c>
      <c r="M3157" s="3" t="s">
        <v>10333</v>
      </c>
      <c r="N3157" s="3" t="str">
        <f>HYPERLINK("http://ictvonline.org/taxonomyHistory.asp?taxnode_id=20163162","ICTVonline=20163162")</f>
        <v>ICTVonline=20163162</v>
      </c>
    </row>
    <row r="3158" spans="1:14" x14ac:dyDescent="0.15">
      <c r="A3158" s="3">
        <v>3157</v>
      </c>
      <c r="B3158" s="1" t="s">
        <v>926</v>
      </c>
      <c r="C3158" s="1" t="s">
        <v>1119</v>
      </c>
      <c r="E3158" s="1" t="s">
        <v>1120</v>
      </c>
      <c r="F3158" s="1" t="s">
        <v>1121</v>
      </c>
      <c r="G3158" s="3">
        <v>1</v>
      </c>
      <c r="J3158" s="20" t="s">
        <v>2860</v>
      </c>
      <c r="K3158" s="20" t="s">
        <v>10021</v>
      </c>
      <c r="L3158" s="3">
        <v>24</v>
      </c>
      <c r="M3158" s="3" t="s">
        <v>10334</v>
      </c>
      <c r="N3158" s="3" t="str">
        <f>HYPERLINK("http://ictvonline.org/taxonomyHistory.asp?taxnode_id=20163166","ICTVonline=20163166")</f>
        <v>ICTVonline=20163166</v>
      </c>
    </row>
    <row r="3159" spans="1:14" x14ac:dyDescent="0.15">
      <c r="A3159" s="3">
        <v>3158</v>
      </c>
      <c r="B3159" s="1" t="s">
        <v>926</v>
      </c>
      <c r="C3159" s="1" t="s">
        <v>1122</v>
      </c>
      <c r="E3159" s="1" t="s">
        <v>1123</v>
      </c>
      <c r="F3159" s="1" t="s">
        <v>1124</v>
      </c>
      <c r="G3159" s="3">
        <v>0</v>
      </c>
      <c r="J3159" s="20" t="s">
        <v>3160</v>
      </c>
      <c r="K3159" s="20" t="s">
        <v>10016</v>
      </c>
      <c r="L3159" s="3">
        <v>16</v>
      </c>
      <c r="M3159" s="3" t="s">
        <v>10237</v>
      </c>
      <c r="N3159" s="3" t="str">
        <f>HYPERLINK("http://ictvonline.org/taxonomyHistory.asp?taxnode_id=20163170","ICTVonline=20163170")</f>
        <v>ICTVonline=20163170</v>
      </c>
    </row>
    <row r="3160" spans="1:14" x14ac:dyDescent="0.15">
      <c r="A3160" s="3">
        <v>3159</v>
      </c>
      <c r="B3160" s="1" t="s">
        <v>926</v>
      </c>
      <c r="C3160" s="1" t="s">
        <v>1122</v>
      </c>
      <c r="E3160" s="1" t="s">
        <v>1123</v>
      </c>
      <c r="F3160" s="1" t="s">
        <v>1125</v>
      </c>
      <c r="G3160" s="3">
        <v>0</v>
      </c>
      <c r="J3160" s="20" t="s">
        <v>3160</v>
      </c>
      <c r="K3160" s="20" t="s">
        <v>10016</v>
      </c>
      <c r="L3160" s="3">
        <v>16</v>
      </c>
      <c r="M3160" s="3" t="s">
        <v>10237</v>
      </c>
      <c r="N3160" s="3" t="str">
        <f>HYPERLINK("http://ictvonline.org/taxonomyHistory.asp?taxnode_id=20163171","ICTVonline=20163171")</f>
        <v>ICTVonline=20163171</v>
      </c>
    </row>
    <row r="3161" spans="1:14" x14ac:dyDescent="0.15">
      <c r="A3161" s="3">
        <v>3160</v>
      </c>
      <c r="B3161" s="1" t="s">
        <v>926</v>
      </c>
      <c r="C3161" s="1" t="s">
        <v>1122</v>
      </c>
      <c r="E3161" s="1" t="s">
        <v>1123</v>
      </c>
      <c r="F3161" s="1" t="s">
        <v>1126</v>
      </c>
      <c r="G3161" s="3">
        <v>0</v>
      </c>
      <c r="J3161" s="20" t="s">
        <v>3160</v>
      </c>
      <c r="K3161" s="20" t="s">
        <v>10016</v>
      </c>
      <c r="L3161" s="3">
        <v>16</v>
      </c>
      <c r="M3161" s="3" t="s">
        <v>10237</v>
      </c>
      <c r="N3161" s="3" t="str">
        <f>HYPERLINK("http://ictvonline.org/taxonomyHistory.asp?taxnode_id=20163172","ICTVonline=20163172")</f>
        <v>ICTVonline=20163172</v>
      </c>
    </row>
    <row r="3162" spans="1:14" x14ac:dyDescent="0.15">
      <c r="A3162" s="3">
        <v>3161</v>
      </c>
      <c r="B3162" s="1" t="s">
        <v>926</v>
      </c>
      <c r="C3162" s="1" t="s">
        <v>1122</v>
      </c>
      <c r="E3162" s="1" t="s">
        <v>1123</v>
      </c>
      <c r="F3162" s="1" t="s">
        <v>1127</v>
      </c>
      <c r="G3162" s="3">
        <v>1</v>
      </c>
      <c r="J3162" s="20" t="s">
        <v>3160</v>
      </c>
      <c r="K3162" s="20" t="s">
        <v>10016</v>
      </c>
      <c r="L3162" s="3">
        <v>16</v>
      </c>
      <c r="M3162" s="3" t="s">
        <v>10237</v>
      </c>
      <c r="N3162" s="3" t="str">
        <f>HYPERLINK("http://ictvonline.org/taxonomyHistory.asp?taxnode_id=20163173","ICTVonline=20163173")</f>
        <v>ICTVonline=20163173</v>
      </c>
    </row>
    <row r="3163" spans="1:14" x14ac:dyDescent="0.15">
      <c r="A3163" s="3">
        <v>3162</v>
      </c>
      <c r="B3163" s="1" t="s">
        <v>926</v>
      </c>
      <c r="C3163" s="1" t="s">
        <v>1122</v>
      </c>
      <c r="E3163" s="1" t="s">
        <v>1123</v>
      </c>
      <c r="F3163" s="1" t="s">
        <v>1128</v>
      </c>
      <c r="G3163" s="3">
        <v>0</v>
      </c>
      <c r="J3163" s="20" t="s">
        <v>3160</v>
      </c>
      <c r="K3163" s="20" t="s">
        <v>10013</v>
      </c>
      <c r="L3163" s="3">
        <v>20</v>
      </c>
      <c r="M3163" s="3" t="s">
        <v>10115</v>
      </c>
      <c r="N3163" s="3" t="str">
        <f>HYPERLINK("http://ictvonline.org/taxonomyHistory.asp?taxnode_id=20163174","ICTVonline=20163174")</f>
        <v>ICTVonline=20163174</v>
      </c>
    </row>
    <row r="3164" spans="1:14" x14ac:dyDescent="0.15">
      <c r="A3164" s="3">
        <v>3163</v>
      </c>
      <c r="B3164" s="1" t="s">
        <v>926</v>
      </c>
      <c r="C3164" s="1" t="s">
        <v>1122</v>
      </c>
      <c r="E3164" s="1" t="s">
        <v>1129</v>
      </c>
      <c r="F3164" s="1" t="s">
        <v>1130</v>
      </c>
      <c r="G3164" s="3">
        <v>0</v>
      </c>
      <c r="J3164" s="20" t="s">
        <v>3160</v>
      </c>
      <c r="K3164" s="20" t="s">
        <v>10016</v>
      </c>
      <c r="L3164" s="3">
        <v>16</v>
      </c>
      <c r="M3164" s="3" t="s">
        <v>10237</v>
      </c>
      <c r="N3164" s="3" t="str">
        <f>HYPERLINK("http://ictvonline.org/taxonomyHistory.asp?taxnode_id=20163176","ICTVonline=20163176")</f>
        <v>ICTVonline=20163176</v>
      </c>
    </row>
    <row r="3165" spans="1:14" x14ac:dyDescent="0.15">
      <c r="A3165" s="3">
        <v>3164</v>
      </c>
      <c r="B3165" s="1" t="s">
        <v>926</v>
      </c>
      <c r="C3165" s="1" t="s">
        <v>1122</v>
      </c>
      <c r="E3165" s="1" t="s">
        <v>1129</v>
      </c>
      <c r="F3165" s="1" t="s">
        <v>1674</v>
      </c>
      <c r="G3165" s="3">
        <v>0</v>
      </c>
      <c r="J3165" s="20" t="s">
        <v>3160</v>
      </c>
      <c r="K3165" s="20" t="s">
        <v>10016</v>
      </c>
      <c r="L3165" s="3">
        <v>16</v>
      </c>
      <c r="M3165" s="3" t="s">
        <v>10237</v>
      </c>
      <c r="N3165" s="3" t="str">
        <f>HYPERLINK("http://ictvonline.org/taxonomyHistory.asp?taxnode_id=20163177","ICTVonline=20163177")</f>
        <v>ICTVonline=20163177</v>
      </c>
    </row>
    <row r="3166" spans="1:14" x14ac:dyDescent="0.15">
      <c r="A3166" s="3">
        <v>3165</v>
      </c>
      <c r="B3166" s="1" t="s">
        <v>926</v>
      </c>
      <c r="C3166" s="1" t="s">
        <v>1122</v>
      </c>
      <c r="E3166" s="1" t="s">
        <v>1129</v>
      </c>
      <c r="F3166" s="1" t="s">
        <v>1675</v>
      </c>
      <c r="G3166" s="3">
        <v>1</v>
      </c>
      <c r="J3166" s="20" t="s">
        <v>3160</v>
      </c>
      <c r="K3166" s="20" t="s">
        <v>10021</v>
      </c>
      <c r="L3166" s="3">
        <v>18</v>
      </c>
      <c r="M3166" s="3" t="s">
        <v>10101</v>
      </c>
      <c r="N3166" s="3" t="str">
        <f>HYPERLINK("http://ictvonline.org/taxonomyHistory.asp?taxnode_id=20163178","ICTVonline=20163178")</f>
        <v>ICTVonline=20163178</v>
      </c>
    </row>
    <row r="3167" spans="1:14" x14ac:dyDescent="0.15">
      <c r="A3167" s="3">
        <v>3166</v>
      </c>
      <c r="B3167" s="1" t="s">
        <v>926</v>
      </c>
      <c r="C3167" s="1" t="s">
        <v>1122</v>
      </c>
      <c r="E3167" s="1" t="s">
        <v>1129</v>
      </c>
      <c r="F3167" s="1" t="s">
        <v>1676</v>
      </c>
      <c r="G3167" s="3">
        <v>0</v>
      </c>
      <c r="J3167" s="20" t="s">
        <v>3160</v>
      </c>
      <c r="K3167" s="20" t="s">
        <v>10016</v>
      </c>
      <c r="L3167" s="3">
        <v>16</v>
      </c>
      <c r="M3167" s="3" t="s">
        <v>10237</v>
      </c>
      <c r="N3167" s="3" t="str">
        <f>HYPERLINK("http://ictvonline.org/taxonomyHistory.asp?taxnode_id=20163179","ICTVonline=20163179")</f>
        <v>ICTVonline=20163179</v>
      </c>
    </row>
    <row r="3168" spans="1:14" x14ac:dyDescent="0.15">
      <c r="A3168" s="3">
        <v>3167</v>
      </c>
      <c r="B3168" s="1" t="s">
        <v>926</v>
      </c>
      <c r="C3168" s="1" t="s">
        <v>2574</v>
      </c>
      <c r="E3168" s="1" t="s">
        <v>2575</v>
      </c>
      <c r="F3168" s="1" t="s">
        <v>2576</v>
      </c>
      <c r="G3168" s="3">
        <v>0</v>
      </c>
      <c r="J3168" s="20" t="s">
        <v>2860</v>
      </c>
      <c r="K3168" s="20" t="s">
        <v>10013</v>
      </c>
      <c r="L3168" s="3">
        <v>28</v>
      </c>
      <c r="M3168" s="3" t="s">
        <v>10335</v>
      </c>
      <c r="N3168" s="3" t="str">
        <f>HYPERLINK("http://ictvonline.org/taxonomyHistory.asp?taxnode_id=20163183","ICTVonline=20163183")</f>
        <v>ICTVonline=20163183</v>
      </c>
    </row>
    <row r="3169" spans="1:14" x14ac:dyDescent="0.15">
      <c r="A3169" s="3">
        <v>3168</v>
      </c>
      <c r="B3169" s="1" t="s">
        <v>926</v>
      </c>
      <c r="C3169" s="1" t="s">
        <v>2574</v>
      </c>
      <c r="E3169" s="1" t="s">
        <v>2575</v>
      </c>
      <c r="F3169" s="1" t="s">
        <v>2577</v>
      </c>
      <c r="G3169" s="3">
        <v>1</v>
      </c>
      <c r="J3169" s="20" t="s">
        <v>2860</v>
      </c>
      <c r="K3169" s="20" t="s">
        <v>10013</v>
      </c>
      <c r="L3169" s="3">
        <v>28</v>
      </c>
      <c r="M3169" s="3" t="s">
        <v>10335</v>
      </c>
      <c r="N3169" s="3" t="str">
        <f>HYPERLINK("http://ictvonline.org/taxonomyHistory.asp?taxnode_id=20163184","ICTVonline=20163184")</f>
        <v>ICTVonline=20163184</v>
      </c>
    </row>
    <row r="3170" spans="1:14" x14ac:dyDescent="0.15">
      <c r="A3170" s="3">
        <v>3169</v>
      </c>
      <c r="B3170" s="1" t="s">
        <v>926</v>
      </c>
      <c r="C3170" s="1" t="s">
        <v>2574</v>
      </c>
      <c r="E3170" s="1" t="s">
        <v>2578</v>
      </c>
      <c r="F3170" s="1" t="s">
        <v>2579</v>
      </c>
      <c r="G3170" s="3">
        <v>1</v>
      </c>
      <c r="J3170" s="20" t="s">
        <v>2860</v>
      </c>
      <c r="K3170" s="20" t="s">
        <v>10013</v>
      </c>
      <c r="L3170" s="3">
        <v>28</v>
      </c>
      <c r="M3170" s="3" t="s">
        <v>10335</v>
      </c>
      <c r="N3170" s="3" t="str">
        <f>HYPERLINK("http://ictvonline.org/taxonomyHistory.asp?taxnode_id=20163186","ICTVonline=20163186")</f>
        <v>ICTVonline=20163186</v>
      </c>
    </row>
    <row r="3171" spans="1:14" x14ac:dyDescent="0.15">
      <c r="A3171" s="3">
        <v>3170</v>
      </c>
      <c r="B3171" s="1" t="s">
        <v>926</v>
      </c>
      <c r="C3171" s="1" t="s">
        <v>1677</v>
      </c>
      <c r="E3171" s="1" t="s">
        <v>1678</v>
      </c>
      <c r="F3171" s="1" t="s">
        <v>5539</v>
      </c>
      <c r="G3171" s="3">
        <v>0</v>
      </c>
      <c r="H3171" s="20" t="s">
        <v>6959</v>
      </c>
      <c r="I3171" s="20" t="s">
        <v>5540</v>
      </c>
      <c r="J3171" s="20" t="s">
        <v>3149</v>
      </c>
      <c r="K3171" s="20" t="s">
        <v>10013</v>
      </c>
      <c r="L3171" s="3">
        <v>30</v>
      </c>
      <c r="M3171" s="3" t="s">
        <v>10336</v>
      </c>
      <c r="N3171" s="3" t="str">
        <f>HYPERLINK("http://ictvonline.org/taxonomyHistory.asp?taxnode_id=20163190","ICTVonline=20163190")</f>
        <v>ICTVonline=20163190</v>
      </c>
    </row>
    <row r="3172" spans="1:14" x14ac:dyDescent="0.15">
      <c r="A3172" s="3">
        <v>3171</v>
      </c>
      <c r="B3172" s="1" t="s">
        <v>926</v>
      </c>
      <c r="C3172" s="1" t="s">
        <v>1677</v>
      </c>
      <c r="E3172" s="1" t="s">
        <v>1678</v>
      </c>
      <c r="F3172" s="1" t="s">
        <v>1679</v>
      </c>
      <c r="G3172" s="3">
        <v>1</v>
      </c>
      <c r="H3172" s="20" t="s">
        <v>7206</v>
      </c>
      <c r="I3172" s="20" t="s">
        <v>5541</v>
      </c>
      <c r="J3172" s="20" t="s">
        <v>3149</v>
      </c>
      <c r="K3172" s="20" t="s">
        <v>10016</v>
      </c>
      <c r="L3172" s="3">
        <v>24</v>
      </c>
      <c r="M3172" s="3" t="s">
        <v>10337</v>
      </c>
      <c r="N3172" s="3" t="str">
        <f>HYPERLINK("http://ictvonline.org/taxonomyHistory.asp?taxnode_id=20163191","ICTVonline=20163191")</f>
        <v>ICTVonline=20163191</v>
      </c>
    </row>
    <row r="3173" spans="1:14" x14ac:dyDescent="0.15">
      <c r="A3173" s="3">
        <v>3172</v>
      </c>
      <c r="B3173" s="1" t="s">
        <v>926</v>
      </c>
      <c r="C3173" s="1" t="s">
        <v>1677</v>
      </c>
      <c r="E3173" s="1" t="s">
        <v>1678</v>
      </c>
      <c r="F3173" s="1" t="s">
        <v>555</v>
      </c>
      <c r="G3173" s="3">
        <v>0</v>
      </c>
      <c r="H3173" s="20" t="s">
        <v>5542</v>
      </c>
      <c r="I3173" s="20" t="s">
        <v>5543</v>
      </c>
      <c r="J3173" s="20" t="s">
        <v>3149</v>
      </c>
      <c r="K3173" s="20" t="s">
        <v>10013</v>
      </c>
      <c r="L3173" s="3">
        <v>25</v>
      </c>
      <c r="M3173" s="3" t="s">
        <v>10338</v>
      </c>
      <c r="N3173" s="3" t="str">
        <f>HYPERLINK("http://ictvonline.org/taxonomyHistory.asp?taxnode_id=20163192","ICTVonline=20163192")</f>
        <v>ICTVonline=20163192</v>
      </c>
    </row>
    <row r="3174" spans="1:14" x14ac:dyDescent="0.15">
      <c r="A3174" s="3">
        <v>3173</v>
      </c>
      <c r="B3174" s="1" t="s">
        <v>926</v>
      </c>
      <c r="C3174" s="1" t="s">
        <v>1677</v>
      </c>
      <c r="E3174" s="1" t="s">
        <v>1678</v>
      </c>
      <c r="F3174" s="1" t="s">
        <v>1680</v>
      </c>
      <c r="G3174" s="3">
        <v>0</v>
      </c>
      <c r="H3174" s="20" t="s">
        <v>7207</v>
      </c>
      <c r="I3174" s="20" t="s">
        <v>5544</v>
      </c>
      <c r="J3174" s="20" t="s">
        <v>3149</v>
      </c>
      <c r="K3174" s="20" t="s">
        <v>10016</v>
      </c>
      <c r="L3174" s="3">
        <v>24</v>
      </c>
      <c r="M3174" s="3" t="s">
        <v>10337</v>
      </c>
      <c r="N3174" s="3" t="str">
        <f>HYPERLINK("http://ictvonline.org/taxonomyHistory.asp?taxnode_id=20163193","ICTVonline=20163193")</f>
        <v>ICTVonline=20163193</v>
      </c>
    </row>
    <row r="3175" spans="1:14" x14ac:dyDescent="0.15">
      <c r="A3175" s="3">
        <v>3174</v>
      </c>
      <c r="B3175" s="1" t="s">
        <v>926</v>
      </c>
      <c r="C3175" s="1" t="s">
        <v>1677</v>
      </c>
      <c r="E3175" s="1" t="s">
        <v>1678</v>
      </c>
      <c r="F3175" s="1" t="s">
        <v>1681</v>
      </c>
      <c r="G3175" s="3">
        <v>0</v>
      </c>
      <c r="H3175" s="20" t="s">
        <v>7208</v>
      </c>
      <c r="I3175" s="20" t="s">
        <v>5545</v>
      </c>
      <c r="J3175" s="20" t="s">
        <v>3149</v>
      </c>
      <c r="K3175" s="20" t="s">
        <v>10014</v>
      </c>
      <c r="L3175" s="3">
        <v>24</v>
      </c>
      <c r="M3175" s="3" t="s">
        <v>10337</v>
      </c>
      <c r="N3175" s="3" t="str">
        <f>HYPERLINK("http://ictvonline.org/taxonomyHistory.asp?taxnode_id=20163194","ICTVonline=20163194")</f>
        <v>ICTVonline=20163194</v>
      </c>
    </row>
    <row r="3176" spans="1:14" x14ac:dyDescent="0.15">
      <c r="A3176" s="3">
        <v>3175</v>
      </c>
      <c r="B3176" s="1" t="s">
        <v>926</v>
      </c>
      <c r="C3176" s="1" t="s">
        <v>1677</v>
      </c>
      <c r="E3176" s="1" t="s">
        <v>1678</v>
      </c>
      <c r="F3176" s="1" t="s">
        <v>1682</v>
      </c>
      <c r="G3176" s="3">
        <v>0</v>
      </c>
      <c r="J3176" s="20" t="s">
        <v>3149</v>
      </c>
      <c r="K3176" s="20" t="s">
        <v>10016</v>
      </c>
      <c r="L3176" s="3">
        <v>24</v>
      </c>
      <c r="M3176" s="3" t="s">
        <v>10337</v>
      </c>
      <c r="N3176" s="3" t="str">
        <f>HYPERLINK("http://ictvonline.org/taxonomyHistory.asp?taxnode_id=20163195","ICTVonline=20163195")</f>
        <v>ICTVonline=20163195</v>
      </c>
    </row>
    <row r="3177" spans="1:14" x14ac:dyDescent="0.15">
      <c r="A3177" s="3">
        <v>3176</v>
      </c>
      <c r="B3177" s="1" t="s">
        <v>926</v>
      </c>
      <c r="C3177" s="1" t="s">
        <v>1677</v>
      </c>
      <c r="E3177" s="1" t="s">
        <v>1678</v>
      </c>
      <c r="F3177" s="1" t="s">
        <v>1683</v>
      </c>
      <c r="G3177" s="3">
        <v>0</v>
      </c>
      <c r="J3177" s="20" t="s">
        <v>3149</v>
      </c>
      <c r="K3177" s="20" t="s">
        <v>10016</v>
      </c>
      <c r="L3177" s="3">
        <v>24</v>
      </c>
      <c r="M3177" s="3" t="s">
        <v>10337</v>
      </c>
      <c r="N3177" s="3" t="str">
        <f>HYPERLINK("http://ictvonline.org/taxonomyHistory.asp?taxnode_id=20163196","ICTVonline=20163196")</f>
        <v>ICTVonline=20163196</v>
      </c>
    </row>
    <row r="3178" spans="1:14" x14ac:dyDescent="0.15">
      <c r="A3178" s="3">
        <v>3177</v>
      </c>
      <c r="B3178" s="1" t="s">
        <v>926</v>
      </c>
      <c r="C3178" s="1" t="s">
        <v>1684</v>
      </c>
      <c r="E3178" s="1" t="s">
        <v>2041</v>
      </c>
      <c r="F3178" s="1" t="s">
        <v>931</v>
      </c>
      <c r="G3178" s="3">
        <v>1</v>
      </c>
      <c r="J3178" s="20" t="s">
        <v>3149</v>
      </c>
      <c r="K3178" s="20" t="s">
        <v>10016</v>
      </c>
      <c r="L3178" s="3">
        <v>15</v>
      </c>
      <c r="M3178" s="3" t="s">
        <v>10268</v>
      </c>
      <c r="N3178" s="3" t="str">
        <f>HYPERLINK("http://ictvonline.org/taxonomyHistory.asp?taxnode_id=20163200","ICTVonline=20163200")</f>
        <v>ICTVonline=20163200</v>
      </c>
    </row>
    <row r="3179" spans="1:14" x14ac:dyDescent="0.15">
      <c r="A3179" s="3">
        <v>3178</v>
      </c>
      <c r="B3179" s="1" t="s">
        <v>926</v>
      </c>
      <c r="C3179" s="1" t="s">
        <v>1684</v>
      </c>
      <c r="E3179" s="1" t="s">
        <v>840</v>
      </c>
      <c r="F3179" s="1" t="s">
        <v>841</v>
      </c>
      <c r="G3179" s="3">
        <v>1</v>
      </c>
      <c r="J3179" s="20" t="s">
        <v>3149</v>
      </c>
      <c r="K3179" s="20" t="s">
        <v>10076</v>
      </c>
      <c r="L3179" s="3">
        <v>15</v>
      </c>
      <c r="M3179" s="3" t="s">
        <v>10268</v>
      </c>
      <c r="N3179" s="3" t="str">
        <f>HYPERLINK("http://ictvonline.org/taxonomyHistory.asp?taxnode_id=20163202","ICTVonline=20163202")</f>
        <v>ICTVonline=20163202</v>
      </c>
    </row>
    <row r="3180" spans="1:14" x14ac:dyDescent="0.15">
      <c r="A3180" s="3">
        <v>3179</v>
      </c>
      <c r="B3180" s="1" t="s">
        <v>926</v>
      </c>
      <c r="C3180" s="1" t="s">
        <v>1684</v>
      </c>
      <c r="E3180" s="1" t="s">
        <v>842</v>
      </c>
      <c r="F3180" s="1" t="s">
        <v>843</v>
      </c>
      <c r="G3180" s="3">
        <v>1</v>
      </c>
      <c r="J3180" s="20" t="s">
        <v>3149</v>
      </c>
      <c r="K3180" s="20" t="s">
        <v>10016</v>
      </c>
      <c r="L3180" s="3">
        <v>15</v>
      </c>
      <c r="M3180" s="3" t="s">
        <v>10268</v>
      </c>
      <c r="N3180" s="3" t="str">
        <f>HYPERLINK("http://ictvonline.org/taxonomyHistory.asp?taxnode_id=20163204","ICTVonline=20163204")</f>
        <v>ICTVonline=20163204</v>
      </c>
    </row>
    <row r="3181" spans="1:14" x14ac:dyDescent="0.15">
      <c r="A3181" s="3">
        <v>3180</v>
      </c>
      <c r="B3181" s="1" t="s">
        <v>926</v>
      </c>
      <c r="C3181" s="1" t="s">
        <v>1684</v>
      </c>
      <c r="E3181" s="1" t="s">
        <v>9666</v>
      </c>
      <c r="F3181" s="1" t="s">
        <v>9667</v>
      </c>
      <c r="G3181" s="3">
        <v>1</v>
      </c>
      <c r="H3181" s="20" t="s">
        <v>9668</v>
      </c>
      <c r="I3181" s="20" t="s">
        <v>9669</v>
      </c>
      <c r="J3181" s="20" t="s">
        <v>3149</v>
      </c>
      <c r="K3181" s="20" t="s">
        <v>10013</v>
      </c>
      <c r="L3181" s="3">
        <v>31</v>
      </c>
      <c r="M3181" s="3" t="s">
        <v>9670</v>
      </c>
      <c r="N3181" s="3" t="str">
        <f>HYPERLINK("http://ictvonline.org/taxonomyHistory.asp?taxnode_id=20165406","ICTVonline=20165406")</f>
        <v>ICTVonline=20165406</v>
      </c>
    </row>
    <row r="3182" spans="1:14" x14ac:dyDescent="0.15">
      <c r="A3182" s="3">
        <v>3181</v>
      </c>
      <c r="B3182" s="1" t="s">
        <v>926</v>
      </c>
      <c r="C3182" s="1" t="s">
        <v>1684</v>
      </c>
      <c r="E3182" s="1" t="s">
        <v>844</v>
      </c>
      <c r="F3182" s="1" t="s">
        <v>845</v>
      </c>
      <c r="G3182" s="3">
        <v>1</v>
      </c>
      <c r="J3182" s="20" t="s">
        <v>3149</v>
      </c>
      <c r="K3182" s="20" t="s">
        <v>10072</v>
      </c>
      <c r="L3182" s="3">
        <v>20</v>
      </c>
      <c r="M3182" s="3" t="s">
        <v>10115</v>
      </c>
      <c r="N3182" s="3" t="str">
        <f>HYPERLINK("http://ictvonline.org/taxonomyHistory.asp?taxnode_id=20163206","ICTVonline=20163206")</f>
        <v>ICTVonline=20163206</v>
      </c>
    </row>
    <row r="3183" spans="1:14" x14ac:dyDescent="0.15">
      <c r="A3183" s="3">
        <v>3182</v>
      </c>
      <c r="B3183" s="1" t="s">
        <v>926</v>
      </c>
      <c r="C3183" s="1" t="s">
        <v>1684</v>
      </c>
      <c r="E3183" s="1" t="s">
        <v>2357</v>
      </c>
      <c r="F3183" s="1" t="s">
        <v>2358</v>
      </c>
      <c r="G3183" s="3">
        <v>0</v>
      </c>
      <c r="J3183" s="20" t="s">
        <v>3149</v>
      </c>
      <c r="K3183" s="20" t="s">
        <v>10013</v>
      </c>
      <c r="L3183" s="3">
        <v>27</v>
      </c>
      <c r="M3183" s="3" t="s">
        <v>10339</v>
      </c>
      <c r="N3183" s="3" t="str">
        <f>HYPERLINK("http://ictvonline.org/taxonomyHistory.asp?taxnode_id=20163208","ICTVonline=20163208")</f>
        <v>ICTVonline=20163208</v>
      </c>
    </row>
    <row r="3184" spans="1:14" x14ac:dyDescent="0.15">
      <c r="A3184" s="3">
        <v>3183</v>
      </c>
      <c r="B3184" s="1" t="s">
        <v>926</v>
      </c>
      <c r="C3184" s="1" t="s">
        <v>1684</v>
      </c>
      <c r="E3184" s="1" t="s">
        <v>2357</v>
      </c>
      <c r="F3184" s="1" t="s">
        <v>2359</v>
      </c>
      <c r="G3184" s="3">
        <v>1</v>
      </c>
      <c r="J3184" s="20" t="s">
        <v>3149</v>
      </c>
      <c r="K3184" s="20" t="s">
        <v>10072</v>
      </c>
      <c r="L3184" s="3">
        <v>27</v>
      </c>
      <c r="M3184" s="3" t="s">
        <v>10339</v>
      </c>
      <c r="N3184" s="3" t="str">
        <f>HYPERLINK("http://ictvonline.org/taxonomyHistory.asp?taxnode_id=20163209","ICTVonline=20163209")</f>
        <v>ICTVonline=20163209</v>
      </c>
    </row>
    <row r="3185" spans="1:14" x14ac:dyDescent="0.15">
      <c r="A3185" s="3">
        <v>3184</v>
      </c>
      <c r="B3185" s="1" t="s">
        <v>926</v>
      </c>
      <c r="C3185" s="1" t="s">
        <v>1684</v>
      </c>
      <c r="E3185" s="1" t="s">
        <v>846</v>
      </c>
      <c r="F3185" s="1" t="s">
        <v>847</v>
      </c>
      <c r="G3185" s="3">
        <v>0</v>
      </c>
      <c r="J3185" s="20" t="s">
        <v>3149</v>
      </c>
      <c r="K3185" s="20" t="s">
        <v>10016</v>
      </c>
      <c r="L3185" s="3">
        <v>15</v>
      </c>
      <c r="M3185" s="3" t="s">
        <v>10268</v>
      </c>
      <c r="N3185" s="3" t="str">
        <f>HYPERLINK("http://ictvonline.org/taxonomyHistory.asp?taxnode_id=20163211","ICTVonline=20163211")</f>
        <v>ICTVonline=20163211</v>
      </c>
    </row>
    <row r="3186" spans="1:14" x14ac:dyDescent="0.15">
      <c r="A3186" s="3">
        <v>3185</v>
      </c>
      <c r="B3186" s="1" t="s">
        <v>926</v>
      </c>
      <c r="C3186" s="1" t="s">
        <v>1684</v>
      </c>
      <c r="E3186" s="1" t="s">
        <v>846</v>
      </c>
      <c r="F3186" s="1" t="s">
        <v>848</v>
      </c>
      <c r="G3186" s="3">
        <v>1</v>
      </c>
      <c r="J3186" s="20" t="s">
        <v>3149</v>
      </c>
      <c r="K3186" s="20" t="s">
        <v>10016</v>
      </c>
      <c r="L3186" s="3">
        <v>15</v>
      </c>
      <c r="M3186" s="3" t="s">
        <v>10268</v>
      </c>
      <c r="N3186" s="3" t="str">
        <f>HYPERLINK("http://ictvonline.org/taxonomyHistory.asp?taxnode_id=20163212","ICTVonline=20163212")</f>
        <v>ICTVonline=20163212</v>
      </c>
    </row>
    <row r="3187" spans="1:14" x14ac:dyDescent="0.15">
      <c r="A3187" s="3">
        <v>3186</v>
      </c>
      <c r="B3187" s="1" t="s">
        <v>926</v>
      </c>
      <c r="C3187" s="1" t="s">
        <v>849</v>
      </c>
      <c r="E3187" s="1" t="s">
        <v>850</v>
      </c>
      <c r="F3187" s="1" t="s">
        <v>107</v>
      </c>
      <c r="G3187" s="3">
        <v>1</v>
      </c>
      <c r="J3187" s="20" t="s">
        <v>2860</v>
      </c>
      <c r="K3187" s="20" t="s">
        <v>10021</v>
      </c>
      <c r="L3187" s="3">
        <v>26</v>
      </c>
      <c r="M3187" s="3" t="s">
        <v>10340</v>
      </c>
      <c r="N3187" s="3" t="str">
        <f>HYPERLINK("http://ictvonline.org/taxonomyHistory.asp?taxnode_id=20163216","ICTVonline=20163216")</f>
        <v>ICTVonline=20163216</v>
      </c>
    </row>
    <row r="3188" spans="1:14" x14ac:dyDescent="0.15">
      <c r="A3188" s="3">
        <v>3187</v>
      </c>
      <c r="B3188" s="1" t="s">
        <v>926</v>
      </c>
      <c r="C3188" s="1" t="s">
        <v>849</v>
      </c>
      <c r="E3188" s="1" t="s">
        <v>850</v>
      </c>
      <c r="F3188" s="1" t="s">
        <v>113</v>
      </c>
      <c r="G3188" s="3">
        <v>0</v>
      </c>
      <c r="J3188" s="20" t="s">
        <v>2860</v>
      </c>
      <c r="K3188" s="20" t="s">
        <v>10021</v>
      </c>
      <c r="L3188" s="3">
        <v>26</v>
      </c>
      <c r="M3188" s="3" t="s">
        <v>10340</v>
      </c>
      <c r="N3188" s="3" t="str">
        <f>HYPERLINK("http://ictvonline.org/taxonomyHistory.asp?taxnode_id=20163217","ICTVonline=20163217")</f>
        <v>ICTVonline=20163217</v>
      </c>
    </row>
    <row r="3189" spans="1:14" x14ac:dyDescent="0.15">
      <c r="A3189" s="3">
        <v>3188</v>
      </c>
      <c r="B3189" s="1" t="s">
        <v>926</v>
      </c>
      <c r="C3189" s="1" t="s">
        <v>849</v>
      </c>
      <c r="E3189" s="1" t="s">
        <v>850</v>
      </c>
      <c r="F3189" s="1" t="s">
        <v>114</v>
      </c>
      <c r="G3189" s="3">
        <v>0</v>
      </c>
      <c r="J3189" s="20" t="s">
        <v>2860</v>
      </c>
      <c r="K3189" s="20" t="s">
        <v>10021</v>
      </c>
      <c r="L3189" s="3">
        <v>26</v>
      </c>
      <c r="M3189" s="3" t="s">
        <v>10340</v>
      </c>
      <c r="N3189" s="3" t="str">
        <f>HYPERLINK("http://ictvonline.org/taxonomyHistory.asp?taxnode_id=20163218","ICTVonline=20163218")</f>
        <v>ICTVonline=20163218</v>
      </c>
    </row>
    <row r="3190" spans="1:14" x14ac:dyDescent="0.15">
      <c r="A3190" s="3">
        <v>3189</v>
      </c>
      <c r="B3190" s="1" t="s">
        <v>926</v>
      </c>
      <c r="C3190" s="1" t="s">
        <v>849</v>
      </c>
      <c r="E3190" s="1" t="s">
        <v>850</v>
      </c>
      <c r="F3190" s="1" t="s">
        <v>115</v>
      </c>
      <c r="G3190" s="3">
        <v>0</v>
      </c>
      <c r="J3190" s="20" t="s">
        <v>2860</v>
      </c>
      <c r="K3190" s="20" t="s">
        <v>10021</v>
      </c>
      <c r="L3190" s="3">
        <v>26</v>
      </c>
      <c r="M3190" s="3" t="s">
        <v>10340</v>
      </c>
      <c r="N3190" s="3" t="str">
        <f>HYPERLINK("http://ictvonline.org/taxonomyHistory.asp?taxnode_id=20163219","ICTVonline=20163219")</f>
        <v>ICTVonline=20163219</v>
      </c>
    </row>
    <row r="3191" spans="1:14" x14ac:dyDescent="0.15">
      <c r="A3191" s="3">
        <v>3190</v>
      </c>
      <c r="B3191" s="1" t="s">
        <v>926</v>
      </c>
      <c r="C3191" s="1" t="s">
        <v>849</v>
      </c>
      <c r="E3191" s="1" t="s">
        <v>850</v>
      </c>
      <c r="F3191" s="1" t="s">
        <v>116</v>
      </c>
      <c r="G3191" s="3">
        <v>0</v>
      </c>
      <c r="J3191" s="20" t="s">
        <v>2860</v>
      </c>
      <c r="K3191" s="20" t="s">
        <v>10021</v>
      </c>
      <c r="L3191" s="3">
        <v>26</v>
      </c>
      <c r="M3191" s="3" t="s">
        <v>10340</v>
      </c>
      <c r="N3191" s="3" t="str">
        <f>HYPERLINK("http://ictvonline.org/taxonomyHistory.asp?taxnode_id=20163220","ICTVonline=20163220")</f>
        <v>ICTVonline=20163220</v>
      </c>
    </row>
    <row r="3192" spans="1:14" x14ac:dyDescent="0.15">
      <c r="A3192" s="3">
        <v>3191</v>
      </c>
      <c r="B3192" s="1" t="s">
        <v>926</v>
      </c>
      <c r="C3192" s="1" t="s">
        <v>849</v>
      </c>
      <c r="E3192" s="1" t="s">
        <v>850</v>
      </c>
      <c r="F3192" s="1" t="s">
        <v>117</v>
      </c>
      <c r="G3192" s="3">
        <v>0</v>
      </c>
      <c r="J3192" s="20" t="s">
        <v>2860</v>
      </c>
      <c r="K3192" s="20" t="s">
        <v>10021</v>
      </c>
      <c r="L3192" s="3">
        <v>26</v>
      </c>
      <c r="M3192" s="3" t="s">
        <v>10340</v>
      </c>
      <c r="N3192" s="3" t="str">
        <f>HYPERLINK("http://ictvonline.org/taxonomyHistory.asp?taxnode_id=20163221","ICTVonline=20163221")</f>
        <v>ICTVonline=20163221</v>
      </c>
    </row>
    <row r="3193" spans="1:14" x14ac:dyDescent="0.15">
      <c r="A3193" s="3">
        <v>3192</v>
      </c>
      <c r="B3193" s="1" t="s">
        <v>926</v>
      </c>
      <c r="C3193" s="1" t="s">
        <v>849</v>
      </c>
      <c r="E3193" s="1" t="s">
        <v>850</v>
      </c>
      <c r="F3193" s="1" t="s">
        <v>118</v>
      </c>
      <c r="G3193" s="3">
        <v>0</v>
      </c>
      <c r="J3193" s="20" t="s">
        <v>2860</v>
      </c>
      <c r="K3193" s="20" t="s">
        <v>10021</v>
      </c>
      <c r="L3193" s="3">
        <v>26</v>
      </c>
      <c r="M3193" s="3" t="s">
        <v>10340</v>
      </c>
      <c r="N3193" s="3" t="str">
        <f>HYPERLINK("http://ictvonline.org/taxonomyHistory.asp?taxnode_id=20163222","ICTVonline=20163222")</f>
        <v>ICTVonline=20163222</v>
      </c>
    </row>
    <row r="3194" spans="1:14" x14ac:dyDescent="0.15">
      <c r="A3194" s="3">
        <v>3193</v>
      </c>
      <c r="B3194" s="1" t="s">
        <v>926</v>
      </c>
      <c r="C3194" s="1" t="s">
        <v>849</v>
      </c>
      <c r="E3194" s="1" t="s">
        <v>850</v>
      </c>
      <c r="F3194" s="1" t="s">
        <v>119</v>
      </c>
      <c r="G3194" s="3">
        <v>0</v>
      </c>
      <c r="J3194" s="20" t="s">
        <v>2860</v>
      </c>
      <c r="K3194" s="20" t="s">
        <v>10021</v>
      </c>
      <c r="L3194" s="3">
        <v>26</v>
      </c>
      <c r="M3194" s="3" t="s">
        <v>10340</v>
      </c>
      <c r="N3194" s="3" t="str">
        <f>HYPERLINK("http://ictvonline.org/taxonomyHistory.asp?taxnode_id=20163223","ICTVonline=20163223")</f>
        <v>ICTVonline=20163223</v>
      </c>
    </row>
    <row r="3195" spans="1:14" x14ac:dyDescent="0.15">
      <c r="A3195" s="3">
        <v>3194</v>
      </c>
      <c r="B3195" s="1" t="s">
        <v>926</v>
      </c>
      <c r="C3195" s="1" t="s">
        <v>849</v>
      </c>
      <c r="E3195" s="1" t="s">
        <v>850</v>
      </c>
      <c r="F3195" s="1" t="s">
        <v>120</v>
      </c>
      <c r="G3195" s="3">
        <v>0</v>
      </c>
      <c r="J3195" s="20" t="s">
        <v>2860</v>
      </c>
      <c r="K3195" s="20" t="s">
        <v>10021</v>
      </c>
      <c r="L3195" s="3">
        <v>26</v>
      </c>
      <c r="M3195" s="3" t="s">
        <v>10340</v>
      </c>
      <c r="N3195" s="3" t="str">
        <f>HYPERLINK("http://ictvonline.org/taxonomyHistory.asp?taxnode_id=20163224","ICTVonline=20163224")</f>
        <v>ICTVonline=20163224</v>
      </c>
    </row>
    <row r="3196" spans="1:14" x14ac:dyDescent="0.15">
      <c r="A3196" s="3">
        <v>3195</v>
      </c>
      <c r="B3196" s="1" t="s">
        <v>926</v>
      </c>
      <c r="C3196" s="1" t="s">
        <v>849</v>
      </c>
      <c r="E3196" s="1" t="s">
        <v>850</v>
      </c>
      <c r="F3196" s="1" t="s">
        <v>108</v>
      </c>
      <c r="G3196" s="3">
        <v>0</v>
      </c>
      <c r="J3196" s="20" t="s">
        <v>2860</v>
      </c>
      <c r="K3196" s="20" t="s">
        <v>10021</v>
      </c>
      <c r="L3196" s="3">
        <v>26</v>
      </c>
      <c r="M3196" s="3" t="s">
        <v>10340</v>
      </c>
      <c r="N3196" s="3" t="str">
        <f>HYPERLINK("http://ictvonline.org/taxonomyHistory.asp?taxnode_id=20163225","ICTVonline=20163225")</f>
        <v>ICTVonline=20163225</v>
      </c>
    </row>
    <row r="3197" spans="1:14" x14ac:dyDescent="0.15">
      <c r="A3197" s="3">
        <v>3196</v>
      </c>
      <c r="B3197" s="1" t="s">
        <v>926</v>
      </c>
      <c r="C3197" s="1" t="s">
        <v>849</v>
      </c>
      <c r="E3197" s="1" t="s">
        <v>850</v>
      </c>
      <c r="F3197" s="1" t="s">
        <v>109</v>
      </c>
      <c r="G3197" s="3">
        <v>0</v>
      </c>
      <c r="J3197" s="20" t="s">
        <v>2860</v>
      </c>
      <c r="K3197" s="20" t="s">
        <v>10021</v>
      </c>
      <c r="L3197" s="3">
        <v>26</v>
      </c>
      <c r="M3197" s="3" t="s">
        <v>10340</v>
      </c>
      <c r="N3197" s="3" t="str">
        <f>HYPERLINK("http://ictvonline.org/taxonomyHistory.asp?taxnode_id=20163226","ICTVonline=20163226")</f>
        <v>ICTVonline=20163226</v>
      </c>
    </row>
    <row r="3198" spans="1:14" x14ac:dyDescent="0.15">
      <c r="A3198" s="3">
        <v>3197</v>
      </c>
      <c r="B3198" s="1" t="s">
        <v>926</v>
      </c>
      <c r="C3198" s="1" t="s">
        <v>849</v>
      </c>
      <c r="E3198" s="1" t="s">
        <v>850</v>
      </c>
      <c r="F3198" s="1" t="s">
        <v>110</v>
      </c>
      <c r="G3198" s="3">
        <v>0</v>
      </c>
      <c r="J3198" s="20" t="s">
        <v>2860</v>
      </c>
      <c r="K3198" s="20" t="s">
        <v>10021</v>
      </c>
      <c r="L3198" s="3">
        <v>26</v>
      </c>
      <c r="M3198" s="3" t="s">
        <v>10340</v>
      </c>
      <c r="N3198" s="3" t="str">
        <f>HYPERLINK("http://ictvonline.org/taxonomyHistory.asp?taxnode_id=20163227","ICTVonline=20163227")</f>
        <v>ICTVonline=20163227</v>
      </c>
    </row>
    <row r="3199" spans="1:14" x14ac:dyDescent="0.15">
      <c r="A3199" s="3">
        <v>3198</v>
      </c>
      <c r="B3199" s="1" t="s">
        <v>926</v>
      </c>
      <c r="C3199" s="1" t="s">
        <v>849</v>
      </c>
      <c r="E3199" s="1" t="s">
        <v>850</v>
      </c>
      <c r="F3199" s="1" t="s">
        <v>111</v>
      </c>
      <c r="G3199" s="3">
        <v>0</v>
      </c>
      <c r="J3199" s="20" t="s">
        <v>2860</v>
      </c>
      <c r="K3199" s="20" t="s">
        <v>10021</v>
      </c>
      <c r="L3199" s="3">
        <v>26</v>
      </c>
      <c r="M3199" s="3" t="s">
        <v>10340</v>
      </c>
      <c r="N3199" s="3" t="str">
        <f>HYPERLINK("http://ictvonline.org/taxonomyHistory.asp?taxnode_id=20163228","ICTVonline=20163228")</f>
        <v>ICTVonline=20163228</v>
      </c>
    </row>
    <row r="3200" spans="1:14" x14ac:dyDescent="0.15">
      <c r="A3200" s="3">
        <v>3199</v>
      </c>
      <c r="B3200" s="1" t="s">
        <v>926</v>
      </c>
      <c r="C3200" s="1" t="s">
        <v>849</v>
      </c>
      <c r="E3200" s="1" t="s">
        <v>850</v>
      </c>
      <c r="F3200" s="1" t="s">
        <v>112</v>
      </c>
      <c r="G3200" s="3">
        <v>0</v>
      </c>
      <c r="J3200" s="20" t="s">
        <v>2860</v>
      </c>
      <c r="K3200" s="20" t="s">
        <v>10021</v>
      </c>
      <c r="L3200" s="3">
        <v>26</v>
      </c>
      <c r="M3200" s="3" t="s">
        <v>10340</v>
      </c>
      <c r="N3200" s="3" t="str">
        <f>HYPERLINK("http://ictvonline.org/taxonomyHistory.asp?taxnode_id=20163229","ICTVonline=20163229")</f>
        <v>ICTVonline=20163229</v>
      </c>
    </row>
    <row r="3201" spans="1:14" x14ac:dyDescent="0.15">
      <c r="A3201" s="3">
        <v>3200</v>
      </c>
      <c r="B3201" s="1" t="s">
        <v>926</v>
      </c>
      <c r="C3201" s="1" t="s">
        <v>849</v>
      </c>
      <c r="E3201" s="1" t="s">
        <v>883</v>
      </c>
      <c r="F3201" s="1" t="s">
        <v>121</v>
      </c>
      <c r="G3201" s="3">
        <v>1</v>
      </c>
      <c r="J3201" s="20" t="s">
        <v>2860</v>
      </c>
      <c r="K3201" s="20" t="s">
        <v>10021</v>
      </c>
      <c r="L3201" s="3">
        <v>26</v>
      </c>
      <c r="M3201" s="3" t="s">
        <v>10340</v>
      </c>
      <c r="N3201" s="3" t="str">
        <f>HYPERLINK("http://ictvonline.org/taxonomyHistory.asp?taxnode_id=20163231","ICTVonline=20163231")</f>
        <v>ICTVonline=20163231</v>
      </c>
    </row>
    <row r="3202" spans="1:14" x14ac:dyDescent="0.15">
      <c r="A3202" s="3">
        <v>3201</v>
      </c>
      <c r="B3202" s="1" t="s">
        <v>926</v>
      </c>
      <c r="C3202" s="1" t="s">
        <v>849</v>
      </c>
      <c r="E3202" s="1" t="s">
        <v>883</v>
      </c>
      <c r="F3202" s="1" t="s">
        <v>122</v>
      </c>
      <c r="G3202" s="3">
        <v>0</v>
      </c>
      <c r="J3202" s="20" t="s">
        <v>2860</v>
      </c>
      <c r="K3202" s="20" t="s">
        <v>10021</v>
      </c>
      <c r="L3202" s="3">
        <v>26</v>
      </c>
      <c r="M3202" s="3" t="s">
        <v>10340</v>
      </c>
      <c r="N3202" s="3" t="str">
        <f>HYPERLINK("http://ictvonline.org/taxonomyHistory.asp?taxnode_id=20163232","ICTVonline=20163232")</f>
        <v>ICTVonline=20163232</v>
      </c>
    </row>
    <row r="3203" spans="1:14" x14ac:dyDescent="0.15">
      <c r="A3203" s="3">
        <v>3202</v>
      </c>
      <c r="B3203" s="1" t="s">
        <v>926</v>
      </c>
      <c r="C3203" s="1" t="s">
        <v>849</v>
      </c>
      <c r="E3203" s="1" t="s">
        <v>883</v>
      </c>
      <c r="F3203" s="1" t="s">
        <v>123</v>
      </c>
      <c r="G3203" s="3">
        <v>0</v>
      </c>
      <c r="J3203" s="20" t="s">
        <v>2860</v>
      </c>
      <c r="K3203" s="20" t="s">
        <v>10021</v>
      </c>
      <c r="L3203" s="3">
        <v>26</v>
      </c>
      <c r="M3203" s="3" t="s">
        <v>10340</v>
      </c>
      <c r="N3203" s="3" t="str">
        <f>HYPERLINK("http://ictvonline.org/taxonomyHistory.asp?taxnode_id=20163233","ICTVonline=20163233")</f>
        <v>ICTVonline=20163233</v>
      </c>
    </row>
    <row r="3204" spans="1:14" x14ac:dyDescent="0.15">
      <c r="A3204" s="3">
        <v>3203</v>
      </c>
      <c r="B3204" s="1" t="s">
        <v>926</v>
      </c>
      <c r="C3204" s="1" t="s">
        <v>849</v>
      </c>
      <c r="E3204" s="1" t="s">
        <v>883</v>
      </c>
      <c r="F3204" s="1" t="s">
        <v>124</v>
      </c>
      <c r="G3204" s="3">
        <v>0</v>
      </c>
      <c r="J3204" s="20" t="s">
        <v>2860</v>
      </c>
      <c r="K3204" s="20" t="s">
        <v>10021</v>
      </c>
      <c r="L3204" s="3">
        <v>26</v>
      </c>
      <c r="M3204" s="3" t="s">
        <v>10340</v>
      </c>
      <c r="N3204" s="3" t="str">
        <f>HYPERLINK("http://ictvonline.org/taxonomyHistory.asp?taxnode_id=20163234","ICTVonline=20163234")</f>
        <v>ICTVonline=20163234</v>
      </c>
    </row>
    <row r="3205" spans="1:14" x14ac:dyDescent="0.15">
      <c r="A3205" s="3">
        <v>3204</v>
      </c>
      <c r="B3205" s="1" t="s">
        <v>926</v>
      </c>
      <c r="C3205" s="1" t="s">
        <v>849</v>
      </c>
      <c r="E3205" s="1" t="s">
        <v>883</v>
      </c>
      <c r="F3205" s="1" t="s">
        <v>125</v>
      </c>
      <c r="G3205" s="3">
        <v>0</v>
      </c>
      <c r="J3205" s="20" t="s">
        <v>2860</v>
      </c>
      <c r="K3205" s="20" t="s">
        <v>10021</v>
      </c>
      <c r="L3205" s="3">
        <v>26</v>
      </c>
      <c r="M3205" s="3" t="s">
        <v>10340</v>
      </c>
      <c r="N3205" s="3" t="str">
        <f>HYPERLINK("http://ictvonline.org/taxonomyHistory.asp?taxnode_id=20163235","ICTVonline=20163235")</f>
        <v>ICTVonline=20163235</v>
      </c>
    </row>
    <row r="3206" spans="1:14" x14ac:dyDescent="0.15">
      <c r="A3206" s="3">
        <v>3205</v>
      </c>
      <c r="B3206" s="1" t="s">
        <v>926</v>
      </c>
      <c r="C3206" s="1" t="s">
        <v>849</v>
      </c>
      <c r="E3206" s="1" t="s">
        <v>883</v>
      </c>
      <c r="F3206" s="1" t="s">
        <v>126</v>
      </c>
      <c r="G3206" s="3">
        <v>0</v>
      </c>
      <c r="J3206" s="20" t="s">
        <v>2860</v>
      </c>
      <c r="K3206" s="20" t="s">
        <v>10013</v>
      </c>
      <c r="L3206" s="3">
        <v>26</v>
      </c>
      <c r="M3206" s="3" t="s">
        <v>10340</v>
      </c>
      <c r="N3206" s="3" t="str">
        <f>HYPERLINK("http://ictvonline.org/taxonomyHistory.asp?taxnode_id=20163236","ICTVonline=20163236")</f>
        <v>ICTVonline=20163236</v>
      </c>
    </row>
    <row r="3207" spans="1:14" x14ac:dyDescent="0.15">
      <c r="A3207" s="3">
        <v>3206</v>
      </c>
      <c r="B3207" s="1" t="s">
        <v>926</v>
      </c>
      <c r="C3207" s="1" t="s">
        <v>849</v>
      </c>
      <c r="E3207" s="1" t="s">
        <v>127</v>
      </c>
      <c r="F3207" s="1" t="s">
        <v>128</v>
      </c>
      <c r="G3207" s="3">
        <v>1</v>
      </c>
      <c r="J3207" s="20" t="s">
        <v>2860</v>
      </c>
      <c r="K3207" s="20" t="s">
        <v>10072</v>
      </c>
      <c r="L3207" s="3">
        <v>26</v>
      </c>
      <c r="M3207" s="3" t="s">
        <v>10340</v>
      </c>
      <c r="N3207" s="3" t="str">
        <f>HYPERLINK("http://ictvonline.org/taxonomyHistory.asp?taxnode_id=20163238","ICTVonline=20163238")</f>
        <v>ICTVonline=20163238</v>
      </c>
    </row>
    <row r="3208" spans="1:14" x14ac:dyDescent="0.15">
      <c r="A3208" s="3">
        <v>3207</v>
      </c>
      <c r="B3208" s="1" t="s">
        <v>926</v>
      </c>
      <c r="C3208" s="1" t="s">
        <v>849</v>
      </c>
      <c r="E3208" s="1" t="s">
        <v>127</v>
      </c>
      <c r="F3208" s="1" t="s">
        <v>129</v>
      </c>
      <c r="G3208" s="3">
        <v>0</v>
      </c>
      <c r="J3208" s="20" t="s">
        <v>2860</v>
      </c>
      <c r="K3208" s="20" t="s">
        <v>10013</v>
      </c>
      <c r="L3208" s="3">
        <v>26</v>
      </c>
      <c r="M3208" s="3" t="s">
        <v>10340</v>
      </c>
      <c r="N3208" s="3" t="str">
        <f>HYPERLINK("http://ictvonline.org/taxonomyHistory.asp?taxnode_id=20163239","ICTVonline=20163239")</f>
        <v>ICTVonline=20163239</v>
      </c>
    </row>
    <row r="3209" spans="1:14" x14ac:dyDescent="0.15">
      <c r="A3209" s="3">
        <v>3208</v>
      </c>
      <c r="B3209" s="1" t="s">
        <v>926</v>
      </c>
      <c r="C3209" s="1" t="s">
        <v>849</v>
      </c>
      <c r="E3209" s="1" t="s">
        <v>127</v>
      </c>
      <c r="F3209" s="1" t="s">
        <v>2580</v>
      </c>
      <c r="G3209" s="3">
        <v>0</v>
      </c>
      <c r="J3209" s="20" t="s">
        <v>2860</v>
      </c>
      <c r="K3209" s="20" t="s">
        <v>10013</v>
      </c>
      <c r="L3209" s="3">
        <v>28</v>
      </c>
      <c r="M3209" s="3" t="s">
        <v>10341</v>
      </c>
      <c r="N3209" s="3" t="str">
        <f>HYPERLINK("http://ictvonline.org/taxonomyHistory.asp?taxnode_id=20163240","ICTVonline=20163240")</f>
        <v>ICTVonline=20163240</v>
      </c>
    </row>
    <row r="3210" spans="1:14" x14ac:dyDescent="0.15">
      <c r="A3210" s="3">
        <v>3209</v>
      </c>
      <c r="B3210" s="1" t="s">
        <v>926</v>
      </c>
      <c r="C3210" s="1" t="s">
        <v>849</v>
      </c>
      <c r="E3210" s="1" t="s">
        <v>1953</v>
      </c>
      <c r="F3210" s="1" t="s">
        <v>130</v>
      </c>
      <c r="G3210" s="3">
        <v>1</v>
      </c>
      <c r="J3210" s="20" t="s">
        <v>2860</v>
      </c>
      <c r="K3210" s="20" t="s">
        <v>10021</v>
      </c>
      <c r="L3210" s="3">
        <v>26</v>
      </c>
      <c r="M3210" s="3" t="s">
        <v>10340</v>
      </c>
      <c r="N3210" s="3" t="str">
        <f>HYPERLINK("http://ictvonline.org/taxonomyHistory.asp?taxnode_id=20163242","ICTVonline=20163242")</f>
        <v>ICTVonline=20163242</v>
      </c>
    </row>
    <row r="3211" spans="1:14" x14ac:dyDescent="0.15">
      <c r="A3211" s="3">
        <v>3210</v>
      </c>
      <c r="B3211" s="1" t="s">
        <v>926</v>
      </c>
      <c r="C3211" s="1" t="s">
        <v>849</v>
      </c>
      <c r="E3211" s="1" t="s">
        <v>1953</v>
      </c>
      <c r="F3211" s="1" t="s">
        <v>131</v>
      </c>
      <c r="G3211" s="3">
        <v>0</v>
      </c>
      <c r="J3211" s="20" t="s">
        <v>2860</v>
      </c>
      <c r="K3211" s="20" t="s">
        <v>10021</v>
      </c>
      <c r="L3211" s="3">
        <v>26</v>
      </c>
      <c r="M3211" s="3" t="s">
        <v>10340</v>
      </c>
      <c r="N3211" s="3" t="str">
        <f>HYPERLINK("http://ictvonline.org/taxonomyHistory.asp?taxnode_id=20163243","ICTVonline=20163243")</f>
        <v>ICTVonline=20163243</v>
      </c>
    </row>
    <row r="3212" spans="1:14" x14ac:dyDescent="0.15">
      <c r="A3212" s="3">
        <v>3211</v>
      </c>
      <c r="B3212" s="1" t="s">
        <v>926</v>
      </c>
      <c r="C3212" s="1" t="s">
        <v>849</v>
      </c>
      <c r="E3212" s="1" t="s">
        <v>1953</v>
      </c>
      <c r="F3212" s="1" t="s">
        <v>132</v>
      </c>
      <c r="G3212" s="3">
        <v>0</v>
      </c>
      <c r="J3212" s="20" t="s">
        <v>2860</v>
      </c>
      <c r="K3212" s="20" t="s">
        <v>10021</v>
      </c>
      <c r="L3212" s="3">
        <v>26</v>
      </c>
      <c r="M3212" s="3" t="s">
        <v>10340</v>
      </c>
      <c r="N3212" s="3" t="str">
        <f>HYPERLINK("http://ictvonline.org/taxonomyHistory.asp?taxnode_id=20163244","ICTVonline=20163244")</f>
        <v>ICTVonline=20163244</v>
      </c>
    </row>
    <row r="3213" spans="1:14" x14ac:dyDescent="0.15">
      <c r="A3213" s="3">
        <v>3212</v>
      </c>
      <c r="B3213" s="1" t="s">
        <v>926</v>
      </c>
      <c r="C3213" s="1" t="s">
        <v>849</v>
      </c>
      <c r="E3213" s="1" t="s">
        <v>1953</v>
      </c>
      <c r="F3213" s="1" t="s">
        <v>133</v>
      </c>
      <c r="G3213" s="3">
        <v>0</v>
      </c>
      <c r="J3213" s="20" t="s">
        <v>2860</v>
      </c>
      <c r="K3213" s="20" t="s">
        <v>10021</v>
      </c>
      <c r="L3213" s="3">
        <v>26</v>
      </c>
      <c r="M3213" s="3" t="s">
        <v>10340</v>
      </c>
      <c r="N3213" s="3" t="str">
        <f>HYPERLINK("http://ictvonline.org/taxonomyHistory.asp?taxnode_id=20163245","ICTVonline=20163245")</f>
        <v>ICTVonline=20163245</v>
      </c>
    </row>
    <row r="3214" spans="1:14" x14ac:dyDescent="0.15">
      <c r="A3214" s="3">
        <v>3213</v>
      </c>
      <c r="B3214" s="1" t="s">
        <v>926</v>
      </c>
      <c r="C3214" s="1" t="s">
        <v>849</v>
      </c>
      <c r="E3214" s="1" t="s">
        <v>1953</v>
      </c>
      <c r="F3214" s="1" t="s">
        <v>134</v>
      </c>
      <c r="G3214" s="3">
        <v>0</v>
      </c>
      <c r="J3214" s="20" t="s">
        <v>2860</v>
      </c>
      <c r="K3214" s="20" t="s">
        <v>10013</v>
      </c>
      <c r="L3214" s="3">
        <v>26</v>
      </c>
      <c r="M3214" s="3" t="s">
        <v>10340</v>
      </c>
      <c r="N3214" s="3" t="str">
        <f>HYPERLINK("http://ictvonline.org/taxonomyHistory.asp?taxnode_id=20163246","ICTVonline=20163246")</f>
        <v>ICTVonline=20163246</v>
      </c>
    </row>
    <row r="3215" spans="1:14" x14ac:dyDescent="0.15">
      <c r="A3215" s="3">
        <v>3214</v>
      </c>
      <c r="B3215" s="1" t="s">
        <v>926</v>
      </c>
      <c r="C3215" s="1" t="s">
        <v>849</v>
      </c>
      <c r="E3215" s="1" t="s">
        <v>1953</v>
      </c>
      <c r="F3215" s="1" t="s">
        <v>2581</v>
      </c>
      <c r="G3215" s="3">
        <v>0</v>
      </c>
      <c r="J3215" s="20" t="s">
        <v>2860</v>
      </c>
      <c r="K3215" s="20" t="s">
        <v>10013</v>
      </c>
      <c r="L3215" s="3">
        <v>28</v>
      </c>
      <c r="M3215" s="3" t="s">
        <v>10341</v>
      </c>
      <c r="N3215" s="3" t="str">
        <f>HYPERLINK("http://ictvonline.org/taxonomyHistory.asp?taxnode_id=20163247","ICTVonline=20163247")</f>
        <v>ICTVonline=20163247</v>
      </c>
    </row>
    <row r="3216" spans="1:14" x14ac:dyDescent="0.15">
      <c r="A3216" s="3">
        <v>3215</v>
      </c>
      <c r="B3216" s="1" t="s">
        <v>926</v>
      </c>
      <c r="C3216" s="1" t="s">
        <v>849</v>
      </c>
      <c r="E3216" s="1" t="s">
        <v>5546</v>
      </c>
      <c r="F3216" s="1" t="s">
        <v>5547</v>
      </c>
      <c r="G3216" s="3">
        <v>1</v>
      </c>
      <c r="H3216" s="20" t="s">
        <v>6960</v>
      </c>
      <c r="I3216" s="20" t="s">
        <v>5548</v>
      </c>
      <c r="J3216" s="20" t="s">
        <v>2860</v>
      </c>
      <c r="K3216" s="20" t="s">
        <v>10013</v>
      </c>
      <c r="L3216" s="3">
        <v>30</v>
      </c>
      <c r="M3216" s="3" t="s">
        <v>10342</v>
      </c>
      <c r="N3216" s="3" t="str">
        <f>HYPERLINK("http://ictvonline.org/taxonomyHistory.asp?taxnode_id=20163249","ICTVonline=20163249")</f>
        <v>ICTVonline=20163249</v>
      </c>
    </row>
    <row r="3217" spans="1:14" x14ac:dyDescent="0.15">
      <c r="A3217" s="3">
        <v>3216</v>
      </c>
      <c r="B3217" s="1" t="s">
        <v>926</v>
      </c>
      <c r="C3217" s="1" t="s">
        <v>849</v>
      </c>
      <c r="E3217" s="1" t="s">
        <v>135</v>
      </c>
      <c r="F3217" s="1" t="s">
        <v>136</v>
      </c>
      <c r="G3217" s="3">
        <v>1</v>
      </c>
      <c r="J3217" s="20" t="s">
        <v>2860</v>
      </c>
      <c r="K3217" s="20" t="s">
        <v>10072</v>
      </c>
      <c r="L3217" s="3">
        <v>26</v>
      </c>
      <c r="M3217" s="3" t="s">
        <v>10340</v>
      </c>
      <c r="N3217" s="3" t="str">
        <f>HYPERLINK("http://ictvonline.org/taxonomyHistory.asp?taxnode_id=20163251","ICTVonline=20163251")</f>
        <v>ICTVonline=20163251</v>
      </c>
    </row>
    <row r="3218" spans="1:14" x14ac:dyDescent="0.15">
      <c r="A3218" s="3">
        <v>3217</v>
      </c>
      <c r="B3218" s="1" t="s">
        <v>926</v>
      </c>
      <c r="C3218" s="1" t="s">
        <v>849</v>
      </c>
      <c r="E3218" s="1" t="s">
        <v>137</v>
      </c>
      <c r="F3218" s="1" t="s">
        <v>138</v>
      </c>
      <c r="G3218" s="3">
        <v>1</v>
      </c>
      <c r="J3218" s="20" t="s">
        <v>2860</v>
      </c>
      <c r="K3218" s="20" t="s">
        <v>10072</v>
      </c>
      <c r="L3218" s="3">
        <v>26</v>
      </c>
      <c r="M3218" s="3" t="s">
        <v>10340</v>
      </c>
      <c r="N3218" s="3" t="str">
        <f>HYPERLINK("http://ictvonline.org/taxonomyHistory.asp?taxnode_id=20163253","ICTVonline=20163253")</f>
        <v>ICTVonline=20163253</v>
      </c>
    </row>
    <row r="3219" spans="1:14" x14ac:dyDescent="0.15">
      <c r="A3219" s="3">
        <v>3218</v>
      </c>
      <c r="B3219" s="1" t="s">
        <v>926</v>
      </c>
      <c r="C3219" s="1" t="s">
        <v>849</v>
      </c>
      <c r="E3219" s="1" t="s">
        <v>139</v>
      </c>
      <c r="F3219" s="1" t="s">
        <v>140</v>
      </c>
      <c r="G3219" s="3">
        <v>1</v>
      </c>
      <c r="J3219" s="20" t="s">
        <v>2860</v>
      </c>
      <c r="K3219" s="20" t="s">
        <v>10072</v>
      </c>
      <c r="L3219" s="3">
        <v>26</v>
      </c>
      <c r="M3219" s="3" t="s">
        <v>10340</v>
      </c>
      <c r="N3219" s="3" t="str">
        <f>HYPERLINK("http://ictvonline.org/taxonomyHistory.asp?taxnode_id=20163255","ICTVonline=20163255")</f>
        <v>ICTVonline=20163255</v>
      </c>
    </row>
    <row r="3220" spans="1:14" x14ac:dyDescent="0.15">
      <c r="A3220" s="3">
        <v>3219</v>
      </c>
      <c r="B3220" s="1" t="s">
        <v>926</v>
      </c>
      <c r="C3220" s="1" t="s">
        <v>849</v>
      </c>
      <c r="E3220" s="1" t="s">
        <v>141</v>
      </c>
      <c r="F3220" s="1" t="s">
        <v>142</v>
      </c>
      <c r="G3220" s="3">
        <v>1</v>
      </c>
      <c r="J3220" s="20" t="s">
        <v>2860</v>
      </c>
      <c r="K3220" s="20" t="s">
        <v>10072</v>
      </c>
      <c r="L3220" s="3">
        <v>26</v>
      </c>
      <c r="M3220" s="3" t="s">
        <v>10340</v>
      </c>
      <c r="N3220" s="3" t="str">
        <f>HYPERLINK("http://ictvonline.org/taxonomyHistory.asp?taxnode_id=20163257","ICTVonline=20163257")</f>
        <v>ICTVonline=20163257</v>
      </c>
    </row>
    <row r="3221" spans="1:14" x14ac:dyDescent="0.15">
      <c r="A3221" s="3">
        <v>3220</v>
      </c>
      <c r="B3221" s="1" t="s">
        <v>926</v>
      </c>
      <c r="C3221" s="1" t="s">
        <v>849</v>
      </c>
      <c r="E3221" s="1" t="s">
        <v>141</v>
      </c>
      <c r="F3221" s="1" t="s">
        <v>2582</v>
      </c>
      <c r="G3221" s="3">
        <v>0</v>
      </c>
      <c r="J3221" s="20" t="s">
        <v>2860</v>
      </c>
      <c r="K3221" s="20" t="s">
        <v>10013</v>
      </c>
      <c r="L3221" s="3">
        <v>28</v>
      </c>
      <c r="M3221" s="3" t="s">
        <v>10341</v>
      </c>
      <c r="N3221" s="3" t="str">
        <f>HYPERLINK("http://ictvonline.org/taxonomyHistory.asp?taxnode_id=20163258","ICTVonline=20163258")</f>
        <v>ICTVonline=20163258</v>
      </c>
    </row>
    <row r="3222" spans="1:14" x14ac:dyDescent="0.15">
      <c r="A3222" s="3">
        <v>3221</v>
      </c>
      <c r="B3222" s="1" t="s">
        <v>926</v>
      </c>
      <c r="C3222" s="1" t="s">
        <v>849</v>
      </c>
      <c r="E3222" s="1" t="s">
        <v>2583</v>
      </c>
      <c r="F3222" s="1" t="s">
        <v>2584</v>
      </c>
      <c r="G3222" s="3">
        <v>1</v>
      </c>
      <c r="J3222" s="20" t="s">
        <v>2860</v>
      </c>
      <c r="K3222" s="20" t="s">
        <v>10013</v>
      </c>
      <c r="L3222" s="3">
        <v>28</v>
      </c>
      <c r="M3222" s="3" t="s">
        <v>10341</v>
      </c>
      <c r="N3222" s="3" t="str">
        <f>HYPERLINK("http://ictvonline.org/taxonomyHistory.asp?taxnode_id=20163260","ICTVonline=20163260")</f>
        <v>ICTVonline=20163260</v>
      </c>
    </row>
    <row r="3223" spans="1:14" x14ac:dyDescent="0.15">
      <c r="A3223" s="3">
        <v>3222</v>
      </c>
      <c r="B3223" s="1" t="s">
        <v>926</v>
      </c>
      <c r="C3223" s="1" t="s">
        <v>849</v>
      </c>
      <c r="E3223" s="1" t="s">
        <v>2583</v>
      </c>
      <c r="F3223" s="1" t="s">
        <v>5549</v>
      </c>
      <c r="G3223" s="3">
        <v>0</v>
      </c>
      <c r="H3223" s="20" t="s">
        <v>6961</v>
      </c>
      <c r="I3223" s="20" t="s">
        <v>5550</v>
      </c>
      <c r="J3223" s="20" t="s">
        <v>2860</v>
      </c>
      <c r="K3223" s="20" t="s">
        <v>10013</v>
      </c>
      <c r="L3223" s="3">
        <v>30</v>
      </c>
      <c r="M3223" s="3" t="s">
        <v>10342</v>
      </c>
      <c r="N3223" s="3" t="str">
        <f>HYPERLINK("http://ictvonline.org/taxonomyHistory.asp?taxnode_id=20163261","ICTVonline=20163261")</f>
        <v>ICTVonline=20163261</v>
      </c>
    </row>
    <row r="3224" spans="1:14" x14ac:dyDescent="0.15">
      <c r="A3224" s="3">
        <v>3223</v>
      </c>
      <c r="B3224" s="1" t="s">
        <v>926</v>
      </c>
      <c r="C3224" s="1" t="s">
        <v>849</v>
      </c>
      <c r="E3224" s="1" t="s">
        <v>2585</v>
      </c>
      <c r="F3224" s="1" t="s">
        <v>2586</v>
      </c>
      <c r="G3224" s="3">
        <v>1</v>
      </c>
      <c r="J3224" s="20" t="s">
        <v>2860</v>
      </c>
      <c r="K3224" s="20" t="s">
        <v>10013</v>
      </c>
      <c r="L3224" s="3">
        <v>28</v>
      </c>
      <c r="M3224" s="3" t="s">
        <v>10341</v>
      </c>
      <c r="N3224" s="3" t="str">
        <f>HYPERLINK("http://ictvonline.org/taxonomyHistory.asp?taxnode_id=20163263","ICTVonline=20163263")</f>
        <v>ICTVonline=20163263</v>
      </c>
    </row>
    <row r="3225" spans="1:14" x14ac:dyDescent="0.15">
      <c r="A3225" s="3">
        <v>3224</v>
      </c>
      <c r="B3225" s="1" t="s">
        <v>926</v>
      </c>
      <c r="C3225" s="1" t="s">
        <v>849</v>
      </c>
      <c r="E3225" s="1" t="s">
        <v>2587</v>
      </c>
      <c r="F3225" s="1" t="s">
        <v>2588</v>
      </c>
      <c r="G3225" s="3">
        <v>1</v>
      </c>
      <c r="J3225" s="20" t="s">
        <v>2860</v>
      </c>
      <c r="K3225" s="20" t="s">
        <v>10013</v>
      </c>
      <c r="L3225" s="3">
        <v>28</v>
      </c>
      <c r="M3225" s="3" t="s">
        <v>10341</v>
      </c>
      <c r="N3225" s="3" t="str">
        <f>HYPERLINK("http://ictvonline.org/taxonomyHistory.asp?taxnode_id=20163265","ICTVonline=20163265")</f>
        <v>ICTVonline=20163265</v>
      </c>
    </row>
    <row r="3226" spans="1:14" x14ac:dyDescent="0.15">
      <c r="A3226" s="3">
        <v>3225</v>
      </c>
      <c r="B3226" s="1" t="s">
        <v>926</v>
      </c>
      <c r="C3226" s="1" t="s">
        <v>849</v>
      </c>
      <c r="E3226" s="1" t="s">
        <v>2589</v>
      </c>
      <c r="F3226" s="1" t="s">
        <v>2590</v>
      </c>
      <c r="G3226" s="3">
        <v>1</v>
      </c>
      <c r="J3226" s="20" t="s">
        <v>2860</v>
      </c>
      <c r="K3226" s="20" t="s">
        <v>10013</v>
      </c>
      <c r="L3226" s="3">
        <v>28</v>
      </c>
      <c r="M3226" s="3" t="s">
        <v>10341</v>
      </c>
      <c r="N3226" s="3" t="str">
        <f>HYPERLINK("http://ictvonline.org/taxonomyHistory.asp?taxnode_id=20163267","ICTVonline=20163267")</f>
        <v>ICTVonline=20163267</v>
      </c>
    </row>
    <row r="3227" spans="1:14" x14ac:dyDescent="0.15">
      <c r="A3227" s="3">
        <v>3226</v>
      </c>
      <c r="B3227" s="1" t="s">
        <v>926</v>
      </c>
      <c r="C3227" s="1" t="s">
        <v>849</v>
      </c>
      <c r="E3227" s="1" t="s">
        <v>6479</v>
      </c>
      <c r="F3227" s="1" t="s">
        <v>5551</v>
      </c>
      <c r="G3227" s="3">
        <v>1</v>
      </c>
      <c r="H3227" s="20" t="s">
        <v>6962</v>
      </c>
      <c r="I3227" s="20" t="s">
        <v>5552</v>
      </c>
      <c r="J3227" s="20" t="s">
        <v>2860</v>
      </c>
      <c r="K3227" s="20" t="s">
        <v>10013</v>
      </c>
      <c r="L3227" s="3">
        <v>30</v>
      </c>
      <c r="M3227" s="3" t="s">
        <v>10342</v>
      </c>
      <c r="N3227" s="3" t="str">
        <f>HYPERLINK("http://ictvonline.org/taxonomyHistory.asp?taxnode_id=20163269","ICTVonline=20163269")</f>
        <v>ICTVonline=20163269</v>
      </c>
    </row>
    <row r="3228" spans="1:14" x14ac:dyDescent="0.15">
      <c r="A3228" s="3">
        <v>3227</v>
      </c>
      <c r="B3228" s="1" t="s">
        <v>926</v>
      </c>
      <c r="C3228" s="1" t="s">
        <v>849</v>
      </c>
      <c r="E3228" s="1" t="s">
        <v>2591</v>
      </c>
      <c r="F3228" s="1" t="s">
        <v>2592</v>
      </c>
      <c r="G3228" s="3">
        <v>1</v>
      </c>
      <c r="J3228" s="20" t="s">
        <v>2860</v>
      </c>
      <c r="K3228" s="20" t="s">
        <v>10013</v>
      </c>
      <c r="L3228" s="3">
        <v>28</v>
      </c>
      <c r="M3228" s="3" t="s">
        <v>10341</v>
      </c>
      <c r="N3228" s="3" t="str">
        <f>HYPERLINK("http://ictvonline.org/taxonomyHistory.asp?taxnode_id=20163271","ICTVonline=20163271")</f>
        <v>ICTVonline=20163271</v>
      </c>
    </row>
    <row r="3229" spans="1:14" x14ac:dyDescent="0.15">
      <c r="A3229" s="3">
        <v>3228</v>
      </c>
      <c r="B3229" s="1" t="s">
        <v>926</v>
      </c>
      <c r="C3229" s="1" t="s">
        <v>849</v>
      </c>
      <c r="E3229" s="1" t="s">
        <v>5553</v>
      </c>
      <c r="F3229" s="1" t="s">
        <v>5554</v>
      </c>
      <c r="G3229" s="3">
        <v>1</v>
      </c>
      <c r="H3229" s="20" t="s">
        <v>6963</v>
      </c>
      <c r="I3229" s="20" t="s">
        <v>5555</v>
      </c>
      <c r="J3229" s="20" t="s">
        <v>2860</v>
      </c>
      <c r="K3229" s="20" t="s">
        <v>10013</v>
      </c>
      <c r="L3229" s="3">
        <v>30</v>
      </c>
      <c r="M3229" s="3" t="s">
        <v>10342</v>
      </c>
      <c r="N3229" s="3" t="str">
        <f>HYPERLINK("http://ictvonline.org/taxonomyHistory.asp?taxnode_id=20163273","ICTVonline=20163273")</f>
        <v>ICTVonline=20163273</v>
      </c>
    </row>
    <row r="3230" spans="1:14" x14ac:dyDescent="0.15">
      <c r="A3230" s="3">
        <v>3229</v>
      </c>
      <c r="B3230" s="1" t="s">
        <v>926</v>
      </c>
      <c r="C3230" s="1" t="s">
        <v>849</v>
      </c>
      <c r="E3230" s="1" t="s">
        <v>2593</v>
      </c>
      <c r="F3230" s="1" t="s">
        <v>2594</v>
      </c>
      <c r="G3230" s="3">
        <v>1</v>
      </c>
      <c r="J3230" s="20" t="s">
        <v>2860</v>
      </c>
      <c r="K3230" s="20" t="s">
        <v>10013</v>
      </c>
      <c r="L3230" s="3">
        <v>28</v>
      </c>
      <c r="M3230" s="3" t="s">
        <v>10341</v>
      </c>
      <c r="N3230" s="3" t="str">
        <f>HYPERLINK("http://ictvonline.org/taxonomyHistory.asp?taxnode_id=20163275","ICTVonline=20163275")</f>
        <v>ICTVonline=20163275</v>
      </c>
    </row>
    <row r="3231" spans="1:14" x14ac:dyDescent="0.15">
      <c r="A3231" s="3">
        <v>3230</v>
      </c>
      <c r="B3231" s="1" t="s">
        <v>926</v>
      </c>
      <c r="C3231" s="1" t="s">
        <v>849</v>
      </c>
      <c r="E3231" s="1" t="s">
        <v>5556</v>
      </c>
      <c r="F3231" s="1" t="s">
        <v>5557</v>
      </c>
      <c r="G3231" s="3">
        <v>1</v>
      </c>
      <c r="H3231" s="20" t="s">
        <v>6964</v>
      </c>
      <c r="I3231" s="20" t="s">
        <v>5558</v>
      </c>
      <c r="J3231" s="20" t="s">
        <v>2860</v>
      </c>
      <c r="K3231" s="20" t="s">
        <v>10013</v>
      </c>
      <c r="L3231" s="3">
        <v>30</v>
      </c>
      <c r="M3231" s="3" t="s">
        <v>10342</v>
      </c>
      <c r="N3231" s="3" t="str">
        <f>HYPERLINK("http://ictvonline.org/taxonomyHistory.asp?taxnode_id=20163277","ICTVonline=20163277")</f>
        <v>ICTVonline=20163277</v>
      </c>
    </row>
    <row r="3232" spans="1:14" x14ac:dyDescent="0.15">
      <c r="A3232" s="3">
        <v>3231</v>
      </c>
      <c r="B3232" s="1" t="s">
        <v>926</v>
      </c>
      <c r="C3232" s="1" t="s">
        <v>849</v>
      </c>
      <c r="E3232" s="1" t="s">
        <v>2595</v>
      </c>
      <c r="F3232" s="1" t="s">
        <v>2596</v>
      </c>
      <c r="G3232" s="3">
        <v>1</v>
      </c>
      <c r="J3232" s="20" t="s">
        <v>2860</v>
      </c>
      <c r="K3232" s="20" t="s">
        <v>10013</v>
      </c>
      <c r="L3232" s="3">
        <v>28</v>
      </c>
      <c r="M3232" s="3" t="s">
        <v>10341</v>
      </c>
      <c r="N3232" s="3" t="str">
        <f>HYPERLINK("http://ictvonline.org/taxonomyHistory.asp?taxnode_id=20163279","ICTVonline=20163279")</f>
        <v>ICTVonline=20163279</v>
      </c>
    </row>
    <row r="3233" spans="1:14" x14ac:dyDescent="0.15">
      <c r="A3233" s="3">
        <v>3232</v>
      </c>
      <c r="B3233" s="1" t="s">
        <v>926</v>
      </c>
      <c r="C3233" s="1" t="s">
        <v>849</v>
      </c>
      <c r="E3233" s="1" t="s">
        <v>2597</v>
      </c>
      <c r="F3233" s="1" t="s">
        <v>2598</v>
      </c>
      <c r="G3233" s="3">
        <v>1</v>
      </c>
      <c r="J3233" s="20" t="s">
        <v>2860</v>
      </c>
      <c r="K3233" s="20" t="s">
        <v>10013</v>
      </c>
      <c r="L3233" s="3">
        <v>28</v>
      </c>
      <c r="M3233" s="3" t="s">
        <v>10341</v>
      </c>
      <c r="N3233" s="3" t="str">
        <f>HYPERLINK("http://ictvonline.org/taxonomyHistory.asp?taxnode_id=20163281","ICTVonline=20163281")</f>
        <v>ICTVonline=20163281</v>
      </c>
    </row>
    <row r="3234" spans="1:14" x14ac:dyDescent="0.15">
      <c r="A3234" s="3">
        <v>3233</v>
      </c>
      <c r="B3234" s="1" t="s">
        <v>926</v>
      </c>
      <c r="C3234" s="1" t="s">
        <v>849</v>
      </c>
      <c r="E3234" s="1" t="s">
        <v>5559</v>
      </c>
      <c r="F3234" s="1" t="s">
        <v>5560</v>
      </c>
      <c r="G3234" s="3">
        <v>1</v>
      </c>
      <c r="H3234" s="20" t="s">
        <v>6965</v>
      </c>
      <c r="I3234" s="20" t="s">
        <v>5561</v>
      </c>
      <c r="J3234" s="20" t="s">
        <v>2860</v>
      </c>
      <c r="K3234" s="20" t="s">
        <v>10013</v>
      </c>
      <c r="L3234" s="3">
        <v>30</v>
      </c>
      <c r="M3234" s="3" t="s">
        <v>10342</v>
      </c>
      <c r="N3234" s="3" t="str">
        <f>HYPERLINK("http://ictvonline.org/taxonomyHistory.asp?taxnode_id=20163283","ICTVonline=20163283")</f>
        <v>ICTVonline=20163283</v>
      </c>
    </row>
    <row r="3235" spans="1:14" x14ac:dyDescent="0.15">
      <c r="A3235" s="3">
        <v>3234</v>
      </c>
      <c r="B3235" s="1" t="s">
        <v>926</v>
      </c>
      <c r="C3235" s="1" t="s">
        <v>849</v>
      </c>
      <c r="E3235" s="1" t="s">
        <v>143</v>
      </c>
      <c r="F3235" s="1" t="s">
        <v>144</v>
      </c>
      <c r="G3235" s="3">
        <v>1</v>
      </c>
      <c r="J3235" s="20" t="s">
        <v>2860</v>
      </c>
      <c r="K3235" s="20" t="s">
        <v>10072</v>
      </c>
      <c r="L3235" s="3">
        <v>26</v>
      </c>
      <c r="M3235" s="3" t="s">
        <v>10340</v>
      </c>
      <c r="N3235" s="3" t="str">
        <f>HYPERLINK("http://ictvonline.org/taxonomyHistory.asp?taxnode_id=20163285","ICTVonline=20163285")</f>
        <v>ICTVonline=20163285</v>
      </c>
    </row>
    <row r="3236" spans="1:14" x14ac:dyDescent="0.15">
      <c r="A3236" s="3">
        <v>3235</v>
      </c>
      <c r="B3236" s="1" t="s">
        <v>926</v>
      </c>
      <c r="C3236" s="1" t="s">
        <v>849</v>
      </c>
      <c r="E3236" s="1" t="s">
        <v>5562</v>
      </c>
      <c r="F3236" s="1" t="s">
        <v>5563</v>
      </c>
      <c r="G3236" s="3">
        <v>1</v>
      </c>
      <c r="H3236" s="20" t="s">
        <v>6966</v>
      </c>
      <c r="I3236" s="20" t="s">
        <v>5564</v>
      </c>
      <c r="J3236" s="20" t="s">
        <v>2860</v>
      </c>
      <c r="K3236" s="20" t="s">
        <v>10013</v>
      </c>
      <c r="L3236" s="3">
        <v>30</v>
      </c>
      <c r="M3236" s="3" t="s">
        <v>10342</v>
      </c>
      <c r="N3236" s="3" t="str">
        <f>HYPERLINK("http://ictvonline.org/taxonomyHistory.asp?taxnode_id=20163287","ICTVonline=20163287")</f>
        <v>ICTVonline=20163287</v>
      </c>
    </row>
    <row r="3237" spans="1:14" x14ac:dyDescent="0.15">
      <c r="A3237" s="3">
        <v>3236</v>
      </c>
      <c r="B3237" s="1" t="s">
        <v>926</v>
      </c>
      <c r="C3237" s="1" t="s">
        <v>849</v>
      </c>
      <c r="E3237" s="1" t="s">
        <v>2599</v>
      </c>
      <c r="F3237" s="1" t="s">
        <v>2600</v>
      </c>
      <c r="G3237" s="3">
        <v>1</v>
      </c>
      <c r="J3237" s="20" t="s">
        <v>2860</v>
      </c>
      <c r="K3237" s="20" t="s">
        <v>10013</v>
      </c>
      <c r="L3237" s="3">
        <v>28</v>
      </c>
      <c r="M3237" s="3" t="s">
        <v>10341</v>
      </c>
      <c r="N3237" s="3" t="str">
        <f>HYPERLINK("http://ictvonline.org/taxonomyHistory.asp?taxnode_id=20163289","ICTVonline=20163289")</f>
        <v>ICTVonline=20163289</v>
      </c>
    </row>
    <row r="3238" spans="1:14" x14ac:dyDescent="0.15">
      <c r="A3238" s="3">
        <v>3237</v>
      </c>
      <c r="B3238" s="1" t="s">
        <v>926</v>
      </c>
      <c r="C3238" s="1" t="s">
        <v>849</v>
      </c>
      <c r="E3238" s="1" t="s">
        <v>145</v>
      </c>
      <c r="F3238" s="1" t="s">
        <v>146</v>
      </c>
      <c r="G3238" s="3">
        <v>1</v>
      </c>
      <c r="J3238" s="20" t="s">
        <v>2860</v>
      </c>
      <c r="K3238" s="20" t="s">
        <v>10072</v>
      </c>
      <c r="L3238" s="3">
        <v>26</v>
      </c>
      <c r="M3238" s="3" t="s">
        <v>10340</v>
      </c>
      <c r="N3238" s="3" t="str">
        <f>HYPERLINK("http://ictvonline.org/taxonomyHistory.asp?taxnode_id=20163291","ICTVonline=20163291")</f>
        <v>ICTVonline=20163291</v>
      </c>
    </row>
    <row r="3239" spans="1:14" x14ac:dyDescent="0.15">
      <c r="A3239" s="3">
        <v>3238</v>
      </c>
      <c r="B3239" s="1" t="s">
        <v>926</v>
      </c>
      <c r="C3239" s="1" t="s">
        <v>849</v>
      </c>
      <c r="E3239" s="1" t="s">
        <v>860</v>
      </c>
      <c r="F3239" s="1" t="s">
        <v>147</v>
      </c>
      <c r="G3239" s="3">
        <v>1</v>
      </c>
      <c r="J3239" s="20" t="s">
        <v>2860</v>
      </c>
      <c r="K3239" s="20" t="s">
        <v>10021</v>
      </c>
      <c r="L3239" s="3">
        <v>26</v>
      </c>
      <c r="M3239" s="3" t="s">
        <v>10340</v>
      </c>
      <c r="N3239" s="3" t="str">
        <f>HYPERLINK("http://ictvonline.org/taxonomyHistory.asp?taxnode_id=20163293","ICTVonline=20163293")</f>
        <v>ICTVonline=20163293</v>
      </c>
    </row>
    <row r="3240" spans="1:14" x14ac:dyDescent="0.15">
      <c r="A3240" s="3">
        <v>3239</v>
      </c>
      <c r="B3240" s="1" t="s">
        <v>926</v>
      </c>
      <c r="C3240" s="1" t="s">
        <v>849</v>
      </c>
      <c r="E3240" s="1" t="s">
        <v>950</v>
      </c>
      <c r="F3240" s="1" t="s">
        <v>148</v>
      </c>
      <c r="G3240" s="3">
        <v>1</v>
      </c>
      <c r="J3240" s="20" t="s">
        <v>2860</v>
      </c>
      <c r="K3240" s="20" t="s">
        <v>10021</v>
      </c>
      <c r="L3240" s="3">
        <v>26</v>
      </c>
      <c r="M3240" s="3" t="s">
        <v>10340</v>
      </c>
      <c r="N3240" s="3" t="str">
        <f>HYPERLINK("http://ictvonline.org/taxonomyHistory.asp?taxnode_id=20163295","ICTVonline=20163295")</f>
        <v>ICTVonline=20163295</v>
      </c>
    </row>
    <row r="3241" spans="1:14" x14ac:dyDescent="0.15">
      <c r="A3241" s="3">
        <v>3240</v>
      </c>
      <c r="B3241" s="1" t="s">
        <v>926</v>
      </c>
      <c r="C3241" s="1" t="s">
        <v>849</v>
      </c>
      <c r="E3241" s="1" t="s">
        <v>951</v>
      </c>
      <c r="F3241" s="1" t="s">
        <v>149</v>
      </c>
      <c r="G3241" s="3">
        <v>1</v>
      </c>
      <c r="J3241" s="20" t="s">
        <v>2860</v>
      </c>
      <c r="K3241" s="20" t="s">
        <v>10021</v>
      </c>
      <c r="L3241" s="3">
        <v>26</v>
      </c>
      <c r="M3241" s="3" t="s">
        <v>10340</v>
      </c>
      <c r="N3241" s="3" t="str">
        <f>HYPERLINK("http://ictvonline.org/taxonomyHistory.asp?taxnode_id=20163297","ICTVonline=20163297")</f>
        <v>ICTVonline=20163297</v>
      </c>
    </row>
    <row r="3242" spans="1:14" x14ac:dyDescent="0.15">
      <c r="A3242" s="3">
        <v>3241</v>
      </c>
      <c r="B3242" s="1" t="s">
        <v>926</v>
      </c>
      <c r="C3242" s="1" t="s">
        <v>849</v>
      </c>
      <c r="E3242" s="1" t="s">
        <v>951</v>
      </c>
      <c r="F3242" s="1" t="s">
        <v>151</v>
      </c>
      <c r="G3242" s="3">
        <v>0</v>
      </c>
      <c r="J3242" s="20" t="s">
        <v>2860</v>
      </c>
      <c r="K3242" s="20" t="s">
        <v>10021</v>
      </c>
      <c r="L3242" s="3">
        <v>26</v>
      </c>
      <c r="M3242" s="3" t="s">
        <v>10340</v>
      </c>
      <c r="N3242" s="3" t="str">
        <f>HYPERLINK("http://ictvonline.org/taxonomyHistory.asp?taxnode_id=20163298","ICTVonline=20163298")</f>
        <v>ICTVonline=20163298</v>
      </c>
    </row>
    <row r="3243" spans="1:14" x14ac:dyDescent="0.15">
      <c r="A3243" s="3">
        <v>3242</v>
      </c>
      <c r="B3243" s="1" t="s">
        <v>926</v>
      </c>
      <c r="C3243" s="1" t="s">
        <v>849</v>
      </c>
      <c r="E3243" s="1" t="s">
        <v>951</v>
      </c>
      <c r="F3243" s="1" t="s">
        <v>152</v>
      </c>
      <c r="G3243" s="3">
        <v>0</v>
      </c>
      <c r="J3243" s="20" t="s">
        <v>2860</v>
      </c>
      <c r="K3243" s="20" t="s">
        <v>10021</v>
      </c>
      <c r="L3243" s="3">
        <v>26</v>
      </c>
      <c r="M3243" s="3" t="s">
        <v>10340</v>
      </c>
      <c r="N3243" s="3" t="str">
        <f>HYPERLINK("http://ictvonline.org/taxonomyHistory.asp?taxnode_id=20163299","ICTVonline=20163299")</f>
        <v>ICTVonline=20163299</v>
      </c>
    </row>
    <row r="3244" spans="1:14" x14ac:dyDescent="0.15">
      <c r="A3244" s="3">
        <v>3243</v>
      </c>
      <c r="B3244" s="1" t="s">
        <v>926</v>
      </c>
      <c r="C3244" s="1" t="s">
        <v>849</v>
      </c>
      <c r="E3244" s="1" t="s">
        <v>951</v>
      </c>
      <c r="F3244" s="1" t="s">
        <v>153</v>
      </c>
      <c r="G3244" s="3">
        <v>0</v>
      </c>
      <c r="J3244" s="20" t="s">
        <v>2860</v>
      </c>
      <c r="K3244" s="20" t="s">
        <v>10021</v>
      </c>
      <c r="L3244" s="3">
        <v>26</v>
      </c>
      <c r="M3244" s="3" t="s">
        <v>10340</v>
      </c>
      <c r="N3244" s="3" t="str">
        <f>HYPERLINK("http://ictvonline.org/taxonomyHistory.asp?taxnode_id=20163300","ICTVonline=20163300")</f>
        <v>ICTVonline=20163300</v>
      </c>
    </row>
    <row r="3245" spans="1:14" x14ac:dyDescent="0.15">
      <c r="A3245" s="3">
        <v>3244</v>
      </c>
      <c r="B3245" s="1" t="s">
        <v>926</v>
      </c>
      <c r="C3245" s="1" t="s">
        <v>849</v>
      </c>
      <c r="E3245" s="1" t="s">
        <v>951</v>
      </c>
      <c r="F3245" s="1" t="s">
        <v>154</v>
      </c>
      <c r="G3245" s="3">
        <v>0</v>
      </c>
      <c r="J3245" s="20" t="s">
        <v>2860</v>
      </c>
      <c r="K3245" s="20" t="s">
        <v>10021</v>
      </c>
      <c r="L3245" s="3">
        <v>26</v>
      </c>
      <c r="M3245" s="3" t="s">
        <v>10340</v>
      </c>
      <c r="N3245" s="3" t="str">
        <f>HYPERLINK("http://ictvonline.org/taxonomyHistory.asp?taxnode_id=20163301","ICTVonline=20163301")</f>
        <v>ICTVonline=20163301</v>
      </c>
    </row>
    <row r="3246" spans="1:14" x14ac:dyDescent="0.15">
      <c r="A3246" s="3">
        <v>3245</v>
      </c>
      <c r="B3246" s="1" t="s">
        <v>926</v>
      </c>
      <c r="C3246" s="1" t="s">
        <v>849</v>
      </c>
      <c r="E3246" s="1" t="s">
        <v>951</v>
      </c>
      <c r="F3246" s="1" t="s">
        <v>155</v>
      </c>
      <c r="G3246" s="3">
        <v>0</v>
      </c>
      <c r="J3246" s="20" t="s">
        <v>2860</v>
      </c>
      <c r="K3246" s="20" t="s">
        <v>10013</v>
      </c>
      <c r="L3246" s="3">
        <v>26</v>
      </c>
      <c r="M3246" s="3" t="s">
        <v>10340</v>
      </c>
      <c r="N3246" s="3" t="str">
        <f>HYPERLINK("http://ictvonline.org/taxonomyHistory.asp?taxnode_id=20163302","ICTVonline=20163302")</f>
        <v>ICTVonline=20163302</v>
      </c>
    </row>
    <row r="3247" spans="1:14" x14ac:dyDescent="0.15">
      <c r="A3247" s="3">
        <v>3246</v>
      </c>
      <c r="B3247" s="1" t="s">
        <v>926</v>
      </c>
      <c r="C3247" s="1" t="s">
        <v>849</v>
      </c>
      <c r="E3247" s="1" t="s">
        <v>951</v>
      </c>
      <c r="F3247" s="1" t="s">
        <v>156</v>
      </c>
      <c r="G3247" s="3">
        <v>0</v>
      </c>
      <c r="J3247" s="20" t="s">
        <v>2860</v>
      </c>
      <c r="K3247" s="20" t="s">
        <v>10013</v>
      </c>
      <c r="L3247" s="3">
        <v>26</v>
      </c>
      <c r="M3247" s="3" t="s">
        <v>10340</v>
      </c>
      <c r="N3247" s="3" t="str">
        <f>HYPERLINK("http://ictvonline.org/taxonomyHistory.asp?taxnode_id=20163303","ICTVonline=20163303")</f>
        <v>ICTVonline=20163303</v>
      </c>
    </row>
    <row r="3248" spans="1:14" x14ac:dyDescent="0.15">
      <c r="A3248" s="3">
        <v>3247</v>
      </c>
      <c r="B3248" s="1" t="s">
        <v>926</v>
      </c>
      <c r="C3248" s="1" t="s">
        <v>849</v>
      </c>
      <c r="E3248" s="1" t="s">
        <v>951</v>
      </c>
      <c r="F3248" s="1" t="s">
        <v>157</v>
      </c>
      <c r="G3248" s="3">
        <v>0</v>
      </c>
      <c r="J3248" s="20" t="s">
        <v>2860</v>
      </c>
      <c r="K3248" s="20" t="s">
        <v>10013</v>
      </c>
      <c r="L3248" s="3">
        <v>26</v>
      </c>
      <c r="M3248" s="3" t="s">
        <v>10340</v>
      </c>
      <c r="N3248" s="3" t="str">
        <f>HYPERLINK("http://ictvonline.org/taxonomyHistory.asp?taxnode_id=20163304","ICTVonline=20163304")</f>
        <v>ICTVonline=20163304</v>
      </c>
    </row>
    <row r="3249" spans="1:14" x14ac:dyDescent="0.15">
      <c r="A3249" s="3">
        <v>3248</v>
      </c>
      <c r="B3249" s="1" t="s">
        <v>926</v>
      </c>
      <c r="C3249" s="1" t="s">
        <v>849</v>
      </c>
      <c r="E3249" s="1" t="s">
        <v>951</v>
      </c>
      <c r="F3249" s="1" t="s">
        <v>158</v>
      </c>
      <c r="G3249" s="3">
        <v>0</v>
      </c>
      <c r="J3249" s="20" t="s">
        <v>2860</v>
      </c>
      <c r="K3249" s="20" t="s">
        <v>10013</v>
      </c>
      <c r="L3249" s="3">
        <v>26</v>
      </c>
      <c r="M3249" s="3" t="s">
        <v>10340</v>
      </c>
      <c r="N3249" s="3" t="str">
        <f>HYPERLINK("http://ictvonline.org/taxonomyHistory.asp?taxnode_id=20163305","ICTVonline=20163305")</f>
        <v>ICTVonline=20163305</v>
      </c>
    </row>
    <row r="3250" spans="1:14" x14ac:dyDescent="0.15">
      <c r="A3250" s="3">
        <v>3249</v>
      </c>
      <c r="B3250" s="1" t="s">
        <v>926</v>
      </c>
      <c r="C3250" s="1" t="s">
        <v>849</v>
      </c>
      <c r="E3250" s="1" t="s">
        <v>951</v>
      </c>
      <c r="F3250" s="1" t="s">
        <v>150</v>
      </c>
      <c r="G3250" s="3">
        <v>0</v>
      </c>
      <c r="J3250" s="20" t="s">
        <v>2860</v>
      </c>
      <c r="K3250" s="20" t="s">
        <v>10013</v>
      </c>
      <c r="L3250" s="3">
        <v>26</v>
      </c>
      <c r="M3250" s="3" t="s">
        <v>10340</v>
      </c>
      <c r="N3250" s="3" t="str">
        <f>HYPERLINK("http://ictvonline.org/taxonomyHistory.asp?taxnode_id=20163306","ICTVonline=20163306")</f>
        <v>ICTVonline=20163306</v>
      </c>
    </row>
    <row r="3251" spans="1:14" x14ac:dyDescent="0.15">
      <c r="A3251" s="3">
        <v>3250</v>
      </c>
      <c r="B3251" s="1" t="s">
        <v>926</v>
      </c>
      <c r="C3251" s="1" t="s">
        <v>849</v>
      </c>
      <c r="E3251" s="1" t="s">
        <v>951</v>
      </c>
      <c r="F3251" s="1" t="s">
        <v>2601</v>
      </c>
      <c r="G3251" s="3">
        <v>0</v>
      </c>
      <c r="J3251" s="20" t="s">
        <v>2860</v>
      </c>
      <c r="K3251" s="20" t="s">
        <v>10013</v>
      </c>
      <c r="L3251" s="3">
        <v>28</v>
      </c>
      <c r="M3251" s="3" t="s">
        <v>10341</v>
      </c>
      <c r="N3251" s="3" t="str">
        <f>HYPERLINK("http://ictvonline.org/taxonomyHistory.asp?taxnode_id=20163307","ICTVonline=20163307")</f>
        <v>ICTVonline=20163307</v>
      </c>
    </row>
    <row r="3252" spans="1:14" x14ac:dyDescent="0.15">
      <c r="A3252" s="3">
        <v>3251</v>
      </c>
      <c r="B3252" s="1" t="s">
        <v>926</v>
      </c>
      <c r="C3252" s="1" t="s">
        <v>849</v>
      </c>
      <c r="E3252" s="1" t="s">
        <v>951</v>
      </c>
      <c r="F3252" s="1" t="s">
        <v>2602</v>
      </c>
      <c r="G3252" s="3">
        <v>0</v>
      </c>
      <c r="J3252" s="20" t="s">
        <v>2860</v>
      </c>
      <c r="K3252" s="20" t="s">
        <v>10013</v>
      </c>
      <c r="L3252" s="3">
        <v>28</v>
      </c>
      <c r="M3252" s="3" t="s">
        <v>10341</v>
      </c>
      <c r="N3252" s="3" t="str">
        <f>HYPERLINK("http://ictvonline.org/taxonomyHistory.asp?taxnode_id=20163308","ICTVonline=20163308")</f>
        <v>ICTVonline=20163308</v>
      </c>
    </row>
    <row r="3253" spans="1:14" x14ac:dyDescent="0.15">
      <c r="A3253" s="3">
        <v>3252</v>
      </c>
      <c r="B3253" s="1" t="s">
        <v>926</v>
      </c>
      <c r="C3253" s="1" t="s">
        <v>849</v>
      </c>
      <c r="E3253" s="1" t="s">
        <v>951</v>
      </c>
      <c r="F3253" s="1" t="s">
        <v>2603</v>
      </c>
      <c r="G3253" s="3">
        <v>0</v>
      </c>
      <c r="J3253" s="20" t="s">
        <v>2860</v>
      </c>
      <c r="K3253" s="20" t="s">
        <v>10013</v>
      </c>
      <c r="L3253" s="3">
        <v>28</v>
      </c>
      <c r="M3253" s="3" t="s">
        <v>10341</v>
      </c>
      <c r="N3253" s="3" t="str">
        <f>HYPERLINK("http://ictvonline.org/taxonomyHistory.asp?taxnode_id=20163309","ICTVonline=20163309")</f>
        <v>ICTVonline=20163309</v>
      </c>
    </row>
    <row r="3254" spans="1:14" x14ac:dyDescent="0.15">
      <c r="A3254" s="3">
        <v>3253</v>
      </c>
      <c r="B3254" s="1" t="s">
        <v>926</v>
      </c>
      <c r="C3254" s="1" t="s">
        <v>849</v>
      </c>
      <c r="E3254" s="1" t="s">
        <v>951</v>
      </c>
      <c r="F3254" s="1" t="s">
        <v>2604</v>
      </c>
      <c r="G3254" s="3">
        <v>0</v>
      </c>
      <c r="J3254" s="20" t="s">
        <v>2860</v>
      </c>
      <c r="K3254" s="20" t="s">
        <v>10013</v>
      </c>
      <c r="L3254" s="3">
        <v>28</v>
      </c>
      <c r="M3254" s="3" t="s">
        <v>10341</v>
      </c>
      <c r="N3254" s="3" t="str">
        <f>HYPERLINK("http://ictvonline.org/taxonomyHistory.asp?taxnode_id=20163310","ICTVonline=20163310")</f>
        <v>ICTVonline=20163310</v>
      </c>
    </row>
    <row r="3255" spans="1:14" x14ac:dyDescent="0.15">
      <c r="A3255" s="3">
        <v>3254</v>
      </c>
      <c r="B3255" s="1" t="s">
        <v>926</v>
      </c>
      <c r="C3255" s="1" t="s">
        <v>849</v>
      </c>
      <c r="E3255" s="1" t="s">
        <v>951</v>
      </c>
      <c r="F3255" s="1" t="s">
        <v>2605</v>
      </c>
      <c r="G3255" s="3">
        <v>0</v>
      </c>
      <c r="J3255" s="20" t="s">
        <v>2860</v>
      </c>
      <c r="K3255" s="20" t="s">
        <v>10013</v>
      </c>
      <c r="L3255" s="3">
        <v>28</v>
      </c>
      <c r="M3255" s="3" t="s">
        <v>10341</v>
      </c>
      <c r="N3255" s="3" t="str">
        <f>HYPERLINK("http://ictvonline.org/taxonomyHistory.asp?taxnode_id=20163311","ICTVonline=20163311")</f>
        <v>ICTVonline=20163311</v>
      </c>
    </row>
    <row r="3256" spans="1:14" x14ac:dyDescent="0.15">
      <c r="A3256" s="3">
        <v>3255</v>
      </c>
      <c r="B3256" s="1" t="s">
        <v>926</v>
      </c>
      <c r="C3256" s="1" t="s">
        <v>849</v>
      </c>
      <c r="E3256" s="1" t="s">
        <v>951</v>
      </c>
      <c r="F3256" s="1" t="s">
        <v>2606</v>
      </c>
      <c r="G3256" s="3">
        <v>0</v>
      </c>
      <c r="J3256" s="20" t="s">
        <v>2860</v>
      </c>
      <c r="K3256" s="20" t="s">
        <v>10013</v>
      </c>
      <c r="L3256" s="3">
        <v>28</v>
      </c>
      <c r="M3256" s="3" t="s">
        <v>10341</v>
      </c>
      <c r="N3256" s="3" t="str">
        <f>HYPERLINK("http://ictvonline.org/taxonomyHistory.asp?taxnode_id=20163312","ICTVonline=20163312")</f>
        <v>ICTVonline=20163312</v>
      </c>
    </row>
    <row r="3257" spans="1:14" x14ac:dyDescent="0.15">
      <c r="A3257" s="3">
        <v>3256</v>
      </c>
      <c r="B3257" s="1" t="s">
        <v>926</v>
      </c>
      <c r="C3257" s="1" t="s">
        <v>849</v>
      </c>
      <c r="E3257" s="1" t="s">
        <v>951</v>
      </c>
      <c r="F3257" s="1" t="s">
        <v>2607</v>
      </c>
      <c r="G3257" s="3">
        <v>0</v>
      </c>
      <c r="J3257" s="20" t="s">
        <v>2860</v>
      </c>
      <c r="K3257" s="20" t="s">
        <v>10013</v>
      </c>
      <c r="L3257" s="3">
        <v>28</v>
      </c>
      <c r="M3257" s="3" t="s">
        <v>10341</v>
      </c>
      <c r="N3257" s="3" t="str">
        <f>HYPERLINK("http://ictvonline.org/taxonomyHistory.asp?taxnode_id=20163313","ICTVonline=20163313")</f>
        <v>ICTVonline=20163313</v>
      </c>
    </row>
    <row r="3258" spans="1:14" x14ac:dyDescent="0.15">
      <c r="A3258" s="3">
        <v>3257</v>
      </c>
      <c r="B3258" s="1" t="s">
        <v>926</v>
      </c>
      <c r="C3258" s="1" t="s">
        <v>849</v>
      </c>
      <c r="E3258" s="1" t="s">
        <v>951</v>
      </c>
      <c r="F3258" s="1" t="s">
        <v>2608</v>
      </c>
      <c r="G3258" s="3">
        <v>0</v>
      </c>
      <c r="J3258" s="20" t="s">
        <v>2860</v>
      </c>
      <c r="K3258" s="20" t="s">
        <v>10013</v>
      </c>
      <c r="L3258" s="3">
        <v>28</v>
      </c>
      <c r="M3258" s="3" t="s">
        <v>10341</v>
      </c>
      <c r="N3258" s="3" t="str">
        <f>HYPERLINK("http://ictvonline.org/taxonomyHistory.asp?taxnode_id=20163314","ICTVonline=20163314")</f>
        <v>ICTVonline=20163314</v>
      </c>
    </row>
    <row r="3259" spans="1:14" x14ac:dyDescent="0.15">
      <c r="A3259" s="3">
        <v>3258</v>
      </c>
      <c r="B3259" s="1" t="s">
        <v>926</v>
      </c>
      <c r="C3259" s="1" t="s">
        <v>849</v>
      </c>
      <c r="E3259" s="1" t="s">
        <v>951</v>
      </c>
      <c r="F3259" s="1" t="s">
        <v>2609</v>
      </c>
      <c r="G3259" s="3">
        <v>0</v>
      </c>
      <c r="J3259" s="20" t="s">
        <v>2860</v>
      </c>
      <c r="K3259" s="20" t="s">
        <v>10013</v>
      </c>
      <c r="L3259" s="3">
        <v>28</v>
      </c>
      <c r="M3259" s="3" t="s">
        <v>10341</v>
      </c>
      <c r="N3259" s="3" t="str">
        <f>HYPERLINK("http://ictvonline.org/taxonomyHistory.asp?taxnode_id=20163315","ICTVonline=20163315")</f>
        <v>ICTVonline=20163315</v>
      </c>
    </row>
    <row r="3260" spans="1:14" x14ac:dyDescent="0.15">
      <c r="A3260" s="3">
        <v>3259</v>
      </c>
      <c r="B3260" s="1" t="s">
        <v>926</v>
      </c>
      <c r="C3260" s="1" t="s">
        <v>849</v>
      </c>
      <c r="E3260" s="1" t="s">
        <v>951</v>
      </c>
      <c r="F3260" s="1" t="s">
        <v>2610</v>
      </c>
      <c r="G3260" s="3">
        <v>0</v>
      </c>
      <c r="J3260" s="20" t="s">
        <v>2860</v>
      </c>
      <c r="K3260" s="20" t="s">
        <v>10013</v>
      </c>
      <c r="L3260" s="3">
        <v>28</v>
      </c>
      <c r="M3260" s="3" t="s">
        <v>10341</v>
      </c>
      <c r="N3260" s="3" t="str">
        <f>HYPERLINK("http://ictvonline.org/taxonomyHistory.asp?taxnode_id=20163316","ICTVonline=20163316")</f>
        <v>ICTVonline=20163316</v>
      </c>
    </row>
    <row r="3261" spans="1:14" x14ac:dyDescent="0.15">
      <c r="A3261" s="3">
        <v>3260</v>
      </c>
      <c r="B3261" s="1" t="s">
        <v>926</v>
      </c>
      <c r="C3261" s="1" t="s">
        <v>849</v>
      </c>
      <c r="E3261" s="1" t="s">
        <v>951</v>
      </c>
      <c r="F3261" s="1" t="s">
        <v>5565</v>
      </c>
      <c r="G3261" s="3">
        <v>0</v>
      </c>
      <c r="H3261" s="20" t="s">
        <v>6967</v>
      </c>
      <c r="I3261" s="20" t="s">
        <v>5566</v>
      </c>
      <c r="J3261" s="20" t="s">
        <v>2860</v>
      </c>
      <c r="K3261" s="20" t="s">
        <v>10013</v>
      </c>
      <c r="L3261" s="3">
        <v>30</v>
      </c>
      <c r="M3261" s="3" t="s">
        <v>10342</v>
      </c>
      <c r="N3261" s="3" t="str">
        <f>HYPERLINK("http://ictvonline.org/taxonomyHistory.asp?taxnode_id=20163317","ICTVonline=20163317")</f>
        <v>ICTVonline=20163317</v>
      </c>
    </row>
    <row r="3262" spans="1:14" x14ac:dyDescent="0.15">
      <c r="A3262" s="3">
        <v>3261</v>
      </c>
      <c r="B3262" s="1" t="s">
        <v>926</v>
      </c>
      <c r="C3262" s="1" t="s">
        <v>849</v>
      </c>
      <c r="E3262" s="1" t="s">
        <v>951</v>
      </c>
      <c r="F3262" s="1" t="s">
        <v>5567</v>
      </c>
      <c r="G3262" s="3">
        <v>0</v>
      </c>
      <c r="H3262" s="20" t="s">
        <v>6968</v>
      </c>
      <c r="I3262" s="20" t="s">
        <v>5568</v>
      </c>
      <c r="J3262" s="20" t="s">
        <v>2860</v>
      </c>
      <c r="K3262" s="20" t="s">
        <v>10013</v>
      </c>
      <c r="L3262" s="3">
        <v>30</v>
      </c>
      <c r="M3262" s="3" t="s">
        <v>10342</v>
      </c>
      <c r="N3262" s="3" t="str">
        <f>HYPERLINK("http://ictvonline.org/taxonomyHistory.asp?taxnode_id=20163318","ICTVonline=20163318")</f>
        <v>ICTVonline=20163318</v>
      </c>
    </row>
    <row r="3263" spans="1:14" x14ac:dyDescent="0.15">
      <c r="A3263" s="3">
        <v>3262</v>
      </c>
      <c r="B3263" s="1" t="s">
        <v>926</v>
      </c>
      <c r="C3263" s="1" t="s">
        <v>849</v>
      </c>
      <c r="E3263" s="1" t="s">
        <v>951</v>
      </c>
      <c r="F3263" s="1" t="s">
        <v>5569</v>
      </c>
      <c r="G3263" s="3">
        <v>0</v>
      </c>
      <c r="H3263" s="20" t="s">
        <v>6969</v>
      </c>
      <c r="I3263" s="20" t="s">
        <v>5570</v>
      </c>
      <c r="J3263" s="20" t="s">
        <v>2860</v>
      </c>
      <c r="K3263" s="20" t="s">
        <v>10013</v>
      </c>
      <c r="L3263" s="3">
        <v>30</v>
      </c>
      <c r="M3263" s="3" t="s">
        <v>10342</v>
      </c>
      <c r="N3263" s="3" t="str">
        <f>HYPERLINK("http://ictvonline.org/taxonomyHistory.asp?taxnode_id=20163319","ICTVonline=20163319")</f>
        <v>ICTVonline=20163319</v>
      </c>
    </row>
    <row r="3264" spans="1:14" x14ac:dyDescent="0.15">
      <c r="A3264" s="3">
        <v>3263</v>
      </c>
      <c r="B3264" s="1" t="s">
        <v>926</v>
      </c>
      <c r="C3264" s="1" t="s">
        <v>849</v>
      </c>
      <c r="E3264" s="1" t="s">
        <v>951</v>
      </c>
      <c r="F3264" s="1" t="s">
        <v>5571</v>
      </c>
      <c r="G3264" s="3">
        <v>0</v>
      </c>
      <c r="H3264" s="20" t="s">
        <v>6970</v>
      </c>
      <c r="I3264" s="20" t="s">
        <v>5572</v>
      </c>
      <c r="J3264" s="20" t="s">
        <v>2860</v>
      </c>
      <c r="K3264" s="20" t="s">
        <v>10013</v>
      </c>
      <c r="L3264" s="3">
        <v>30</v>
      </c>
      <c r="M3264" s="3" t="s">
        <v>10342</v>
      </c>
      <c r="N3264" s="3" t="str">
        <f>HYPERLINK("http://ictvonline.org/taxonomyHistory.asp?taxnode_id=20163320","ICTVonline=20163320")</f>
        <v>ICTVonline=20163320</v>
      </c>
    </row>
    <row r="3265" spans="1:14" x14ac:dyDescent="0.15">
      <c r="A3265" s="3">
        <v>3264</v>
      </c>
      <c r="B3265" s="1" t="s">
        <v>926</v>
      </c>
      <c r="C3265" s="1" t="s">
        <v>849</v>
      </c>
      <c r="E3265" s="1" t="s">
        <v>951</v>
      </c>
      <c r="F3265" s="1" t="s">
        <v>5573</v>
      </c>
      <c r="G3265" s="3">
        <v>0</v>
      </c>
      <c r="H3265" s="20" t="s">
        <v>6971</v>
      </c>
      <c r="I3265" s="20" t="s">
        <v>5574</v>
      </c>
      <c r="J3265" s="20" t="s">
        <v>2860</v>
      </c>
      <c r="K3265" s="20" t="s">
        <v>10013</v>
      </c>
      <c r="L3265" s="3">
        <v>30</v>
      </c>
      <c r="M3265" s="3" t="s">
        <v>10342</v>
      </c>
      <c r="N3265" s="3" t="str">
        <f>HYPERLINK("http://ictvonline.org/taxonomyHistory.asp?taxnode_id=20163321","ICTVonline=20163321")</f>
        <v>ICTVonline=20163321</v>
      </c>
    </row>
    <row r="3266" spans="1:14" x14ac:dyDescent="0.15">
      <c r="A3266" s="3">
        <v>3265</v>
      </c>
      <c r="B3266" s="1" t="s">
        <v>926</v>
      </c>
      <c r="C3266" s="1" t="s">
        <v>849</v>
      </c>
      <c r="E3266" s="1" t="s">
        <v>951</v>
      </c>
      <c r="F3266" s="1" t="s">
        <v>5575</v>
      </c>
      <c r="G3266" s="3">
        <v>0</v>
      </c>
      <c r="H3266" s="20" t="s">
        <v>6972</v>
      </c>
      <c r="I3266" s="20" t="s">
        <v>5576</v>
      </c>
      <c r="J3266" s="20" t="s">
        <v>2860</v>
      </c>
      <c r="K3266" s="20" t="s">
        <v>10013</v>
      </c>
      <c r="L3266" s="3">
        <v>30</v>
      </c>
      <c r="M3266" s="3" t="s">
        <v>10342</v>
      </c>
      <c r="N3266" s="3" t="str">
        <f>HYPERLINK("http://ictvonline.org/taxonomyHistory.asp?taxnode_id=20163322","ICTVonline=20163322")</f>
        <v>ICTVonline=20163322</v>
      </c>
    </row>
    <row r="3267" spans="1:14" x14ac:dyDescent="0.15">
      <c r="A3267" s="3">
        <v>3266</v>
      </c>
      <c r="B3267" s="1" t="s">
        <v>926</v>
      </c>
      <c r="C3267" s="1" t="s">
        <v>849</v>
      </c>
      <c r="E3267" s="1" t="s">
        <v>1078</v>
      </c>
      <c r="F3267" s="1" t="s">
        <v>159</v>
      </c>
      <c r="G3267" s="3">
        <v>1</v>
      </c>
      <c r="J3267" s="20" t="s">
        <v>2860</v>
      </c>
      <c r="K3267" s="20" t="s">
        <v>10021</v>
      </c>
      <c r="L3267" s="3">
        <v>26</v>
      </c>
      <c r="M3267" s="3" t="s">
        <v>10340</v>
      </c>
      <c r="N3267" s="3" t="str">
        <f>HYPERLINK("http://ictvonline.org/taxonomyHistory.asp?taxnode_id=20163324","ICTVonline=20163324")</f>
        <v>ICTVonline=20163324</v>
      </c>
    </row>
    <row r="3268" spans="1:14" x14ac:dyDescent="0.15">
      <c r="A3268" s="3">
        <v>3267</v>
      </c>
      <c r="B3268" s="1" t="s">
        <v>926</v>
      </c>
      <c r="C3268" s="1" t="s">
        <v>849</v>
      </c>
      <c r="E3268" s="1" t="s">
        <v>1170</v>
      </c>
      <c r="F3268" s="1" t="s">
        <v>160</v>
      </c>
      <c r="G3268" s="3">
        <v>0</v>
      </c>
      <c r="J3268" s="20" t="s">
        <v>2860</v>
      </c>
      <c r="K3268" s="20" t="s">
        <v>10021</v>
      </c>
      <c r="L3268" s="3">
        <v>26</v>
      </c>
      <c r="M3268" s="3" t="s">
        <v>10340</v>
      </c>
      <c r="N3268" s="3" t="str">
        <f>HYPERLINK("http://ictvonline.org/taxonomyHistory.asp?taxnode_id=20163326","ICTVonline=20163326")</f>
        <v>ICTVonline=20163326</v>
      </c>
    </row>
    <row r="3269" spans="1:14" x14ac:dyDescent="0.15">
      <c r="A3269" s="3">
        <v>3268</v>
      </c>
      <c r="B3269" s="1" t="s">
        <v>926</v>
      </c>
      <c r="C3269" s="1" t="s">
        <v>849</v>
      </c>
      <c r="E3269" s="1" t="s">
        <v>1170</v>
      </c>
      <c r="F3269" s="1" t="s">
        <v>161</v>
      </c>
      <c r="G3269" s="3">
        <v>1</v>
      </c>
      <c r="J3269" s="20" t="s">
        <v>2860</v>
      </c>
      <c r="K3269" s="20" t="s">
        <v>10021</v>
      </c>
      <c r="L3269" s="3">
        <v>26</v>
      </c>
      <c r="M3269" s="3" t="s">
        <v>10340</v>
      </c>
      <c r="N3269" s="3" t="str">
        <f>HYPERLINK("http://ictvonline.org/taxonomyHistory.asp?taxnode_id=20163327","ICTVonline=20163327")</f>
        <v>ICTVonline=20163327</v>
      </c>
    </row>
    <row r="3270" spans="1:14" x14ac:dyDescent="0.15">
      <c r="A3270" s="3">
        <v>3269</v>
      </c>
      <c r="B3270" s="1" t="s">
        <v>926</v>
      </c>
      <c r="C3270" s="1" t="s">
        <v>849</v>
      </c>
      <c r="E3270" s="1" t="s">
        <v>1171</v>
      </c>
      <c r="F3270" s="1" t="s">
        <v>162</v>
      </c>
      <c r="G3270" s="3">
        <v>0</v>
      </c>
      <c r="J3270" s="20" t="s">
        <v>2860</v>
      </c>
      <c r="K3270" s="20" t="s">
        <v>10021</v>
      </c>
      <c r="L3270" s="3">
        <v>26</v>
      </c>
      <c r="M3270" s="3" t="s">
        <v>10340</v>
      </c>
      <c r="N3270" s="3" t="str">
        <f>HYPERLINK("http://ictvonline.org/taxonomyHistory.asp?taxnode_id=20163329","ICTVonline=20163329")</f>
        <v>ICTVonline=20163329</v>
      </c>
    </row>
    <row r="3271" spans="1:14" x14ac:dyDescent="0.15">
      <c r="A3271" s="3">
        <v>3270</v>
      </c>
      <c r="B3271" s="1" t="s">
        <v>926</v>
      </c>
      <c r="C3271" s="1" t="s">
        <v>849</v>
      </c>
      <c r="E3271" s="1" t="s">
        <v>1171</v>
      </c>
      <c r="F3271" s="1" t="s">
        <v>163</v>
      </c>
      <c r="G3271" s="3">
        <v>1</v>
      </c>
      <c r="J3271" s="20" t="s">
        <v>2860</v>
      </c>
      <c r="K3271" s="20" t="s">
        <v>10021</v>
      </c>
      <c r="L3271" s="3">
        <v>26</v>
      </c>
      <c r="M3271" s="3" t="s">
        <v>10340</v>
      </c>
      <c r="N3271" s="3" t="str">
        <f>HYPERLINK("http://ictvonline.org/taxonomyHistory.asp?taxnode_id=20163330","ICTVonline=20163330")</f>
        <v>ICTVonline=20163330</v>
      </c>
    </row>
    <row r="3272" spans="1:14" x14ac:dyDescent="0.15">
      <c r="A3272" s="3">
        <v>3271</v>
      </c>
      <c r="B3272" s="1" t="s">
        <v>926</v>
      </c>
      <c r="C3272" s="1" t="s">
        <v>849</v>
      </c>
      <c r="E3272" s="1" t="s">
        <v>1171</v>
      </c>
      <c r="F3272" s="1" t="s">
        <v>164</v>
      </c>
      <c r="G3272" s="3">
        <v>0</v>
      </c>
      <c r="J3272" s="20" t="s">
        <v>2860</v>
      </c>
      <c r="K3272" s="20" t="s">
        <v>10013</v>
      </c>
      <c r="L3272" s="3">
        <v>26</v>
      </c>
      <c r="M3272" s="3" t="s">
        <v>10340</v>
      </c>
      <c r="N3272" s="3" t="str">
        <f>HYPERLINK("http://ictvonline.org/taxonomyHistory.asp?taxnode_id=20163331","ICTVonline=20163331")</f>
        <v>ICTVonline=20163331</v>
      </c>
    </row>
    <row r="3273" spans="1:14" x14ac:dyDescent="0.15">
      <c r="A3273" s="3">
        <v>3272</v>
      </c>
      <c r="B3273" s="1" t="s">
        <v>926</v>
      </c>
      <c r="C3273" s="1" t="s">
        <v>849</v>
      </c>
      <c r="E3273" s="1" t="s">
        <v>1171</v>
      </c>
      <c r="F3273" s="1" t="s">
        <v>165</v>
      </c>
      <c r="G3273" s="3">
        <v>0</v>
      </c>
      <c r="J3273" s="20" t="s">
        <v>2860</v>
      </c>
      <c r="K3273" s="20" t="s">
        <v>10013</v>
      </c>
      <c r="L3273" s="3">
        <v>26</v>
      </c>
      <c r="M3273" s="3" t="s">
        <v>10340</v>
      </c>
      <c r="N3273" s="3" t="str">
        <f>HYPERLINK("http://ictvonline.org/taxonomyHistory.asp?taxnode_id=20163332","ICTVonline=20163332")</f>
        <v>ICTVonline=20163332</v>
      </c>
    </row>
    <row r="3274" spans="1:14" x14ac:dyDescent="0.15">
      <c r="A3274" s="3">
        <v>3273</v>
      </c>
      <c r="B3274" s="1" t="s">
        <v>926</v>
      </c>
      <c r="C3274" s="1" t="s">
        <v>849</v>
      </c>
      <c r="E3274" s="1" t="s">
        <v>1171</v>
      </c>
      <c r="F3274" s="1" t="s">
        <v>2611</v>
      </c>
      <c r="G3274" s="3">
        <v>0</v>
      </c>
      <c r="J3274" s="20" t="s">
        <v>2860</v>
      </c>
      <c r="K3274" s="20" t="s">
        <v>10013</v>
      </c>
      <c r="L3274" s="3">
        <v>28</v>
      </c>
      <c r="M3274" s="3" t="s">
        <v>10341</v>
      </c>
      <c r="N3274" s="3" t="str">
        <f>HYPERLINK("http://ictvonline.org/taxonomyHistory.asp?taxnode_id=20163333","ICTVonline=20163333")</f>
        <v>ICTVonline=20163333</v>
      </c>
    </row>
    <row r="3275" spans="1:14" x14ac:dyDescent="0.15">
      <c r="A3275" s="3">
        <v>3274</v>
      </c>
      <c r="B3275" s="1" t="s">
        <v>926</v>
      </c>
      <c r="C3275" s="1" t="s">
        <v>849</v>
      </c>
      <c r="E3275" s="1" t="s">
        <v>1172</v>
      </c>
      <c r="F3275" s="1" t="s">
        <v>166</v>
      </c>
      <c r="G3275" s="3">
        <v>1</v>
      </c>
      <c r="J3275" s="20" t="s">
        <v>2860</v>
      </c>
      <c r="K3275" s="20" t="s">
        <v>10021</v>
      </c>
      <c r="L3275" s="3">
        <v>26</v>
      </c>
      <c r="M3275" s="3" t="s">
        <v>10340</v>
      </c>
      <c r="N3275" s="3" t="str">
        <f>HYPERLINK("http://ictvonline.org/taxonomyHistory.asp?taxnode_id=20163335","ICTVonline=20163335")</f>
        <v>ICTVonline=20163335</v>
      </c>
    </row>
    <row r="3276" spans="1:14" x14ac:dyDescent="0.15">
      <c r="A3276" s="3">
        <v>3275</v>
      </c>
      <c r="B3276" s="1" t="s">
        <v>926</v>
      </c>
      <c r="C3276" s="1" t="s">
        <v>849</v>
      </c>
      <c r="E3276" s="1" t="s">
        <v>1172</v>
      </c>
      <c r="F3276" s="1" t="s">
        <v>167</v>
      </c>
      <c r="G3276" s="3">
        <v>0</v>
      </c>
      <c r="J3276" s="20" t="s">
        <v>2860</v>
      </c>
      <c r="K3276" s="20" t="s">
        <v>10021</v>
      </c>
      <c r="L3276" s="3">
        <v>26</v>
      </c>
      <c r="M3276" s="3" t="s">
        <v>10340</v>
      </c>
      <c r="N3276" s="3" t="str">
        <f>HYPERLINK("http://ictvonline.org/taxonomyHistory.asp?taxnode_id=20163336","ICTVonline=20163336")</f>
        <v>ICTVonline=20163336</v>
      </c>
    </row>
    <row r="3277" spans="1:14" x14ac:dyDescent="0.15">
      <c r="A3277" s="3">
        <v>3276</v>
      </c>
      <c r="B3277" s="1" t="s">
        <v>926</v>
      </c>
      <c r="C3277" s="1" t="s">
        <v>849</v>
      </c>
      <c r="E3277" s="1" t="s">
        <v>1172</v>
      </c>
      <c r="F3277" s="1" t="s">
        <v>5577</v>
      </c>
      <c r="G3277" s="3">
        <v>0</v>
      </c>
      <c r="H3277" s="20" t="s">
        <v>6973</v>
      </c>
      <c r="I3277" s="20" t="s">
        <v>5578</v>
      </c>
      <c r="J3277" s="20" t="s">
        <v>2860</v>
      </c>
      <c r="K3277" s="20" t="s">
        <v>10013</v>
      </c>
      <c r="L3277" s="3">
        <v>30</v>
      </c>
      <c r="M3277" s="3" t="s">
        <v>10342</v>
      </c>
      <c r="N3277" s="3" t="str">
        <f>HYPERLINK("http://ictvonline.org/taxonomyHistory.asp?taxnode_id=20163337","ICTVonline=20163337")</f>
        <v>ICTVonline=20163337</v>
      </c>
    </row>
    <row r="3278" spans="1:14" x14ac:dyDescent="0.15">
      <c r="A3278" s="3">
        <v>3277</v>
      </c>
      <c r="B3278" s="1" t="s">
        <v>926</v>
      </c>
      <c r="C3278" s="1" t="s">
        <v>849</v>
      </c>
      <c r="E3278" s="1" t="s">
        <v>1173</v>
      </c>
      <c r="F3278" s="1" t="s">
        <v>168</v>
      </c>
      <c r="G3278" s="3">
        <v>1</v>
      </c>
      <c r="J3278" s="20" t="s">
        <v>2860</v>
      </c>
      <c r="K3278" s="20" t="s">
        <v>10021</v>
      </c>
      <c r="L3278" s="3">
        <v>26</v>
      </c>
      <c r="M3278" s="3" t="s">
        <v>10340</v>
      </c>
      <c r="N3278" s="3" t="str">
        <f>HYPERLINK("http://ictvonline.org/taxonomyHistory.asp?taxnode_id=20163339","ICTVonline=20163339")</f>
        <v>ICTVonline=20163339</v>
      </c>
    </row>
    <row r="3279" spans="1:14" x14ac:dyDescent="0.15">
      <c r="A3279" s="3">
        <v>3278</v>
      </c>
      <c r="B3279" s="1" t="s">
        <v>926</v>
      </c>
      <c r="C3279" s="1" t="s">
        <v>849</v>
      </c>
      <c r="E3279" s="1" t="s">
        <v>169</v>
      </c>
      <c r="F3279" s="1" t="s">
        <v>170</v>
      </c>
      <c r="G3279" s="3">
        <v>1</v>
      </c>
      <c r="J3279" s="20" t="s">
        <v>2860</v>
      </c>
      <c r="K3279" s="20" t="s">
        <v>10072</v>
      </c>
      <c r="L3279" s="3">
        <v>26</v>
      </c>
      <c r="M3279" s="3" t="s">
        <v>10340</v>
      </c>
      <c r="N3279" s="3" t="str">
        <f>HYPERLINK("http://ictvonline.org/taxonomyHistory.asp?taxnode_id=20163341","ICTVonline=20163341")</f>
        <v>ICTVonline=20163341</v>
      </c>
    </row>
    <row r="3280" spans="1:14" x14ac:dyDescent="0.15">
      <c r="A3280" s="3">
        <v>3279</v>
      </c>
      <c r="B3280" s="1" t="s">
        <v>926</v>
      </c>
      <c r="C3280" s="1" t="s">
        <v>849</v>
      </c>
      <c r="E3280" s="1" t="s">
        <v>564</v>
      </c>
      <c r="F3280" s="1" t="s">
        <v>171</v>
      </c>
      <c r="G3280" s="3">
        <v>1</v>
      </c>
      <c r="J3280" s="20" t="s">
        <v>2860</v>
      </c>
      <c r="K3280" s="20" t="s">
        <v>10021</v>
      </c>
      <c r="L3280" s="3">
        <v>26</v>
      </c>
      <c r="M3280" s="3" t="s">
        <v>10340</v>
      </c>
      <c r="N3280" s="3" t="str">
        <f>HYPERLINK("http://ictvonline.org/taxonomyHistory.asp?taxnode_id=20163343","ICTVonline=20163343")</f>
        <v>ICTVonline=20163343</v>
      </c>
    </row>
    <row r="3281" spans="1:14" x14ac:dyDescent="0.15">
      <c r="A3281" s="3">
        <v>3280</v>
      </c>
      <c r="B3281" s="1" t="s">
        <v>926</v>
      </c>
      <c r="C3281" s="1" t="s">
        <v>849</v>
      </c>
      <c r="E3281" s="1" t="s">
        <v>172</v>
      </c>
      <c r="F3281" s="1" t="s">
        <v>173</v>
      </c>
      <c r="G3281" s="3">
        <v>1</v>
      </c>
      <c r="J3281" s="20" t="s">
        <v>2860</v>
      </c>
      <c r="K3281" s="20" t="s">
        <v>10072</v>
      </c>
      <c r="L3281" s="3">
        <v>26</v>
      </c>
      <c r="M3281" s="3" t="s">
        <v>10340</v>
      </c>
      <c r="N3281" s="3" t="str">
        <f>HYPERLINK("http://ictvonline.org/taxonomyHistory.asp?taxnode_id=20163345","ICTVonline=20163345")</f>
        <v>ICTVonline=20163345</v>
      </c>
    </row>
    <row r="3282" spans="1:14" x14ac:dyDescent="0.15">
      <c r="A3282" s="3">
        <v>3281</v>
      </c>
      <c r="B3282" s="1" t="s">
        <v>926</v>
      </c>
      <c r="C3282" s="1" t="s">
        <v>849</v>
      </c>
      <c r="E3282" s="1" t="s">
        <v>1174</v>
      </c>
      <c r="F3282" s="1" t="s">
        <v>174</v>
      </c>
      <c r="G3282" s="3">
        <v>1</v>
      </c>
      <c r="J3282" s="20" t="s">
        <v>2860</v>
      </c>
      <c r="K3282" s="20" t="s">
        <v>10021</v>
      </c>
      <c r="L3282" s="3">
        <v>26</v>
      </c>
      <c r="M3282" s="3" t="s">
        <v>10340</v>
      </c>
      <c r="N3282" s="3" t="str">
        <f>HYPERLINK("http://ictvonline.org/taxonomyHistory.asp?taxnode_id=20163347","ICTVonline=20163347")</f>
        <v>ICTVonline=20163347</v>
      </c>
    </row>
    <row r="3283" spans="1:14" x14ac:dyDescent="0.15">
      <c r="A3283" s="3">
        <v>3282</v>
      </c>
      <c r="B3283" s="1" t="s">
        <v>926</v>
      </c>
      <c r="C3283" s="1" t="s">
        <v>849</v>
      </c>
      <c r="E3283" s="1" t="s">
        <v>1174</v>
      </c>
      <c r="F3283" s="1" t="s">
        <v>175</v>
      </c>
      <c r="G3283" s="3">
        <v>0</v>
      </c>
      <c r="J3283" s="20" t="s">
        <v>2860</v>
      </c>
      <c r="K3283" s="20" t="s">
        <v>10013</v>
      </c>
      <c r="L3283" s="3">
        <v>26</v>
      </c>
      <c r="M3283" s="3" t="s">
        <v>10340</v>
      </c>
      <c r="N3283" s="3" t="str">
        <f>HYPERLINK("http://ictvonline.org/taxonomyHistory.asp?taxnode_id=20163348","ICTVonline=20163348")</f>
        <v>ICTVonline=20163348</v>
      </c>
    </row>
    <row r="3284" spans="1:14" x14ac:dyDescent="0.15">
      <c r="A3284" s="3">
        <v>3283</v>
      </c>
      <c r="B3284" s="1" t="s">
        <v>926</v>
      </c>
      <c r="C3284" s="1" t="s">
        <v>849</v>
      </c>
      <c r="E3284" s="1" t="s">
        <v>176</v>
      </c>
      <c r="F3284" s="1" t="s">
        <v>177</v>
      </c>
      <c r="G3284" s="3">
        <v>1</v>
      </c>
      <c r="J3284" s="20" t="s">
        <v>2860</v>
      </c>
      <c r="K3284" s="20" t="s">
        <v>10072</v>
      </c>
      <c r="L3284" s="3">
        <v>26</v>
      </c>
      <c r="M3284" s="3" t="s">
        <v>10340</v>
      </c>
      <c r="N3284" s="3" t="str">
        <f>HYPERLINK("http://ictvonline.org/taxonomyHistory.asp?taxnode_id=20163350","ICTVonline=20163350")</f>
        <v>ICTVonline=20163350</v>
      </c>
    </row>
    <row r="3285" spans="1:14" x14ac:dyDescent="0.15">
      <c r="A3285" s="3">
        <v>3284</v>
      </c>
      <c r="B3285" s="1" t="s">
        <v>926</v>
      </c>
      <c r="C3285" s="1" t="s">
        <v>849</v>
      </c>
      <c r="E3285" s="1" t="s">
        <v>178</v>
      </c>
      <c r="F3285" s="1" t="s">
        <v>179</v>
      </c>
      <c r="G3285" s="3">
        <v>1</v>
      </c>
      <c r="J3285" s="20" t="s">
        <v>2860</v>
      </c>
      <c r="K3285" s="20" t="s">
        <v>10072</v>
      </c>
      <c r="L3285" s="3">
        <v>26</v>
      </c>
      <c r="M3285" s="3" t="s">
        <v>10340</v>
      </c>
      <c r="N3285" s="3" t="str">
        <f>HYPERLINK("http://ictvonline.org/taxonomyHistory.asp?taxnode_id=20163352","ICTVonline=20163352")</f>
        <v>ICTVonline=20163352</v>
      </c>
    </row>
    <row r="3286" spans="1:14" x14ac:dyDescent="0.15">
      <c r="A3286" s="3">
        <v>3285</v>
      </c>
      <c r="B3286" s="1" t="s">
        <v>926</v>
      </c>
      <c r="C3286" s="1" t="s">
        <v>849</v>
      </c>
      <c r="E3286" s="1" t="s">
        <v>178</v>
      </c>
      <c r="F3286" s="1" t="s">
        <v>5579</v>
      </c>
      <c r="G3286" s="3">
        <v>0</v>
      </c>
      <c r="H3286" s="20" t="s">
        <v>6974</v>
      </c>
      <c r="I3286" s="20" t="s">
        <v>5580</v>
      </c>
      <c r="J3286" s="20" t="s">
        <v>2860</v>
      </c>
      <c r="K3286" s="20" t="s">
        <v>10013</v>
      </c>
      <c r="L3286" s="3">
        <v>30</v>
      </c>
      <c r="M3286" s="3" t="s">
        <v>10342</v>
      </c>
      <c r="N3286" s="3" t="str">
        <f>HYPERLINK("http://ictvonline.org/taxonomyHistory.asp?taxnode_id=20163353","ICTVonline=20163353")</f>
        <v>ICTVonline=20163353</v>
      </c>
    </row>
    <row r="3287" spans="1:14" x14ac:dyDescent="0.15">
      <c r="A3287" s="3">
        <v>3286</v>
      </c>
      <c r="B3287" s="1" t="s">
        <v>926</v>
      </c>
      <c r="C3287" s="1" t="s">
        <v>849</v>
      </c>
      <c r="E3287" s="1" t="s">
        <v>180</v>
      </c>
      <c r="F3287" s="1" t="s">
        <v>181</v>
      </c>
      <c r="G3287" s="3">
        <v>1</v>
      </c>
      <c r="J3287" s="20" t="s">
        <v>2860</v>
      </c>
      <c r="K3287" s="20" t="s">
        <v>10072</v>
      </c>
      <c r="L3287" s="3">
        <v>26</v>
      </c>
      <c r="M3287" s="3" t="s">
        <v>10340</v>
      </c>
      <c r="N3287" s="3" t="str">
        <f>HYPERLINK("http://ictvonline.org/taxonomyHistory.asp?taxnode_id=20163355","ICTVonline=20163355")</f>
        <v>ICTVonline=20163355</v>
      </c>
    </row>
    <row r="3288" spans="1:14" x14ac:dyDescent="0.15">
      <c r="A3288" s="3">
        <v>3287</v>
      </c>
      <c r="B3288" s="1" t="s">
        <v>926</v>
      </c>
      <c r="C3288" s="1" t="s">
        <v>849</v>
      </c>
      <c r="E3288" s="1" t="s">
        <v>182</v>
      </c>
      <c r="F3288" s="1" t="s">
        <v>183</v>
      </c>
      <c r="G3288" s="3">
        <v>1</v>
      </c>
      <c r="J3288" s="20" t="s">
        <v>2860</v>
      </c>
      <c r="K3288" s="20" t="s">
        <v>10072</v>
      </c>
      <c r="L3288" s="3">
        <v>26</v>
      </c>
      <c r="M3288" s="3" t="s">
        <v>10340</v>
      </c>
      <c r="N3288" s="3" t="str">
        <f>HYPERLINK("http://ictvonline.org/taxonomyHistory.asp?taxnode_id=20163357","ICTVonline=20163357")</f>
        <v>ICTVonline=20163357</v>
      </c>
    </row>
    <row r="3289" spans="1:14" x14ac:dyDescent="0.15">
      <c r="A3289" s="3">
        <v>3288</v>
      </c>
      <c r="B3289" s="1" t="s">
        <v>926</v>
      </c>
      <c r="C3289" s="1" t="s">
        <v>849</v>
      </c>
      <c r="E3289" s="1" t="s">
        <v>182</v>
      </c>
      <c r="F3289" s="1" t="s">
        <v>2612</v>
      </c>
      <c r="G3289" s="3">
        <v>0</v>
      </c>
      <c r="J3289" s="20" t="s">
        <v>2860</v>
      </c>
      <c r="K3289" s="20" t="s">
        <v>10013</v>
      </c>
      <c r="L3289" s="3">
        <v>28</v>
      </c>
      <c r="M3289" s="3" t="s">
        <v>10341</v>
      </c>
      <c r="N3289" s="3" t="str">
        <f>HYPERLINK("http://ictvonline.org/taxonomyHistory.asp?taxnode_id=20163358","ICTVonline=20163358")</f>
        <v>ICTVonline=20163358</v>
      </c>
    </row>
    <row r="3290" spans="1:14" x14ac:dyDescent="0.15">
      <c r="A3290" s="3">
        <v>3289</v>
      </c>
      <c r="B3290" s="1" t="s">
        <v>926</v>
      </c>
      <c r="C3290" s="1" t="s">
        <v>849</v>
      </c>
      <c r="E3290" s="1" t="s">
        <v>182</v>
      </c>
      <c r="F3290" s="1" t="s">
        <v>5581</v>
      </c>
      <c r="G3290" s="3">
        <v>0</v>
      </c>
      <c r="H3290" s="20" t="s">
        <v>6975</v>
      </c>
      <c r="I3290" s="20" t="s">
        <v>5582</v>
      </c>
      <c r="J3290" s="20" t="s">
        <v>2860</v>
      </c>
      <c r="K3290" s="20" t="s">
        <v>10013</v>
      </c>
      <c r="L3290" s="3">
        <v>30</v>
      </c>
      <c r="M3290" s="3" t="s">
        <v>10342</v>
      </c>
      <c r="N3290" s="3" t="str">
        <f>HYPERLINK("http://ictvonline.org/taxonomyHistory.asp?taxnode_id=20163359","ICTVonline=20163359")</f>
        <v>ICTVonline=20163359</v>
      </c>
    </row>
    <row r="3291" spans="1:14" x14ac:dyDescent="0.15">
      <c r="A3291" s="3">
        <v>3290</v>
      </c>
      <c r="B3291" s="1" t="s">
        <v>926</v>
      </c>
      <c r="C3291" s="1" t="s">
        <v>849</v>
      </c>
      <c r="E3291" s="1" t="s">
        <v>1175</v>
      </c>
      <c r="F3291" s="1" t="s">
        <v>184</v>
      </c>
      <c r="G3291" s="3">
        <v>1</v>
      </c>
      <c r="J3291" s="20" t="s">
        <v>2860</v>
      </c>
      <c r="K3291" s="20" t="s">
        <v>10021</v>
      </c>
      <c r="L3291" s="3">
        <v>26</v>
      </c>
      <c r="M3291" s="3" t="s">
        <v>10340</v>
      </c>
      <c r="N3291" s="3" t="str">
        <f>HYPERLINK("http://ictvonline.org/taxonomyHistory.asp?taxnode_id=20163361","ICTVonline=20163361")</f>
        <v>ICTVonline=20163361</v>
      </c>
    </row>
    <row r="3292" spans="1:14" x14ac:dyDescent="0.15">
      <c r="A3292" s="3">
        <v>3291</v>
      </c>
      <c r="B3292" s="1" t="s">
        <v>926</v>
      </c>
      <c r="C3292" s="1" t="s">
        <v>849</v>
      </c>
      <c r="E3292" s="1" t="s">
        <v>5583</v>
      </c>
      <c r="F3292" s="1" t="s">
        <v>5584</v>
      </c>
      <c r="G3292" s="3">
        <v>1</v>
      </c>
      <c r="H3292" s="20" t="s">
        <v>6976</v>
      </c>
      <c r="I3292" s="20" t="s">
        <v>5585</v>
      </c>
      <c r="J3292" s="20" t="s">
        <v>2860</v>
      </c>
      <c r="K3292" s="20" t="s">
        <v>10013</v>
      </c>
      <c r="L3292" s="3">
        <v>30</v>
      </c>
      <c r="M3292" s="3" t="s">
        <v>10342</v>
      </c>
      <c r="N3292" s="3" t="str">
        <f>HYPERLINK("http://ictvonline.org/taxonomyHistory.asp?taxnode_id=20163363","ICTVonline=20163363")</f>
        <v>ICTVonline=20163363</v>
      </c>
    </row>
    <row r="3293" spans="1:14" x14ac:dyDescent="0.15">
      <c r="A3293" s="3">
        <v>3292</v>
      </c>
      <c r="B3293" s="1" t="s">
        <v>926</v>
      </c>
      <c r="C3293" s="1" t="s">
        <v>849</v>
      </c>
      <c r="E3293" s="1" t="s">
        <v>5586</v>
      </c>
      <c r="F3293" s="1" t="s">
        <v>5587</v>
      </c>
      <c r="G3293" s="3">
        <v>1</v>
      </c>
      <c r="H3293" s="20" t="s">
        <v>6977</v>
      </c>
      <c r="I3293" s="20" t="s">
        <v>5587</v>
      </c>
      <c r="J3293" s="20" t="s">
        <v>2860</v>
      </c>
      <c r="K3293" s="20" t="s">
        <v>10013</v>
      </c>
      <c r="L3293" s="3">
        <v>30</v>
      </c>
      <c r="M3293" s="3" t="s">
        <v>10342</v>
      </c>
      <c r="N3293" s="3" t="str">
        <f>HYPERLINK("http://ictvonline.org/taxonomyHistory.asp?taxnode_id=20163365","ICTVonline=20163365")</f>
        <v>ICTVonline=20163365</v>
      </c>
    </row>
    <row r="3294" spans="1:14" x14ac:dyDescent="0.15">
      <c r="A3294" s="3">
        <v>3293</v>
      </c>
      <c r="B3294" s="1" t="s">
        <v>926</v>
      </c>
      <c r="C3294" s="1" t="s">
        <v>849</v>
      </c>
      <c r="E3294" s="1" t="s">
        <v>5588</v>
      </c>
      <c r="F3294" s="1" t="s">
        <v>5589</v>
      </c>
      <c r="G3294" s="3">
        <v>1</v>
      </c>
      <c r="H3294" s="20" t="s">
        <v>6978</v>
      </c>
      <c r="I3294" s="20" t="s">
        <v>5590</v>
      </c>
      <c r="J3294" s="20" t="s">
        <v>2860</v>
      </c>
      <c r="K3294" s="20" t="s">
        <v>10013</v>
      </c>
      <c r="L3294" s="3">
        <v>30</v>
      </c>
      <c r="M3294" s="3" t="s">
        <v>10342</v>
      </c>
      <c r="N3294" s="3" t="str">
        <f>HYPERLINK("http://ictvonline.org/taxonomyHistory.asp?taxnode_id=20163367","ICTVonline=20163367")</f>
        <v>ICTVonline=20163367</v>
      </c>
    </row>
    <row r="3295" spans="1:14" x14ac:dyDescent="0.15">
      <c r="A3295" s="3">
        <v>3294</v>
      </c>
      <c r="B3295" s="1" t="s">
        <v>926</v>
      </c>
      <c r="C3295" s="1" t="s">
        <v>849</v>
      </c>
      <c r="E3295" s="1" t="s">
        <v>5591</v>
      </c>
      <c r="F3295" s="1" t="s">
        <v>5592</v>
      </c>
      <c r="G3295" s="3">
        <v>1</v>
      </c>
      <c r="H3295" s="20" t="s">
        <v>6979</v>
      </c>
      <c r="I3295" s="20" t="s">
        <v>5593</v>
      </c>
      <c r="J3295" s="20" t="s">
        <v>2860</v>
      </c>
      <c r="K3295" s="20" t="s">
        <v>10013</v>
      </c>
      <c r="L3295" s="3">
        <v>30</v>
      </c>
      <c r="M3295" s="3" t="s">
        <v>10342</v>
      </c>
      <c r="N3295" s="3" t="str">
        <f>HYPERLINK("http://ictvonline.org/taxonomyHistory.asp?taxnode_id=20163369","ICTVonline=20163369")</f>
        <v>ICTVonline=20163369</v>
      </c>
    </row>
    <row r="3296" spans="1:14" x14ac:dyDescent="0.15">
      <c r="A3296" s="3">
        <v>3295</v>
      </c>
      <c r="B3296" s="1" t="s">
        <v>926</v>
      </c>
      <c r="C3296" s="1" t="s">
        <v>849</v>
      </c>
      <c r="E3296" s="1" t="s">
        <v>185</v>
      </c>
      <c r="F3296" s="1" t="s">
        <v>186</v>
      </c>
      <c r="G3296" s="3">
        <v>1</v>
      </c>
      <c r="J3296" s="20" t="s">
        <v>2860</v>
      </c>
      <c r="K3296" s="20" t="s">
        <v>10072</v>
      </c>
      <c r="L3296" s="3">
        <v>26</v>
      </c>
      <c r="M3296" s="3" t="s">
        <v>10340</v>
      </c>
      <c r="N3296" s="3" t="str">
        <f>HYPERLINK("http://ictvonline.org/taxonomyHistory.asp?taxnode_id=20163371","ICTVonline=20163371")</f>
        <v>ICTVonline=20163371</v>
      </c>
    </row>
    <row r="3297" spans="1:14" x14ac:dyDescent="0.15">
      <c r="A3297" s="3">
        <v>3296</v>
      </c>
      <c r="B3297" s="1" t="s">
        <v>926</v>
      </c>
      <c r="C3297" s="1" t="s">
        <v>849</v>
      </c>
      <c r="E3297" s="1" t="s">
        <v>185</v>
      </c>
      <c r="F3297" s="1" t="s">
        <v>187</v>
      </c>
      <c r="G3297" s="3">
        <v>0</v>
      </c>
      <c r="J3297" s="20" t="s">
        <v>2860</v>
      </c>
      <c r="K3297" s="20" t="s">
        <v>10013</v>
      </c>
      <c r="L3297" s="3">
        <v>26</v>
      </c>
      <c r="M3297" s="3" t="s">
        <v>10340</v>
      </c>
      <c r="N3297" s="3" t="str">
        <f>HYPERLINK("http://ictvonline.org/taxonomyHistory.asp?taxnode_id=20163372","ICTVonline=20163372")</f>
        <v>ICTVonline=20163372</v>
      </c>
    </row>
    <row r="3298" spans="1:14" x14ac:dyDescent="0.15">
      <c r="A3298" s="3">
        <v>3297</v>
      </c>
      <c r="B3298" s="1" t="s">
        <v>926</v>
      </c>
      <c r="C3298" s="1" t="s">
        <v>849</v>
      </c>
      <c r="E3298" s="1" t="s">
        <v>185</v>
      </c>
      <c r="F3298" s="1" t="s">
        <v>2613</v>
      </c>
      <c r="G3298" s="3">
        <v>0</v>
      </c>
      <c r="J3298" s="20" t="s">
        <v>2860</v>
      </c>
      <c r="K3298" s="20" t="s">
        <v>10013</v>
      </c>
      <c r="L3298" s="3">
        <v>28</v>
      </c>
      <c r="M3298" s="3" t="s">
        <v>10341</v>
      </c>
      <c r="N3298" s="3" t="str">
        <f>HYPERLINK("http://ictvonline.org/taxonomyHistory.asp?taxnode_id=20163373","ICTVonline=20163373")</f>
        <v>ICTVonline=20163373</v>
      </c>
    </row>
    <row r="3299" spans="1:14" x14ac:dyDescent="0.15">
      <c r="A3299" s="3">
        <v>3298</v>
      </c>
      <c r="B3299" s="1" t="s">
        <v>926</v>
      </c>
      <c r="C3299" s="1" t="s">
        <v>849</v>
      </c>
      <c r="E3299" s="1" t="s">
        <v>1727</v>
      </c>
      <c r="F3299" s="1" t="s">
        <v>188</v>
      </c>
      <c r="G3299" s="3">
        <v>1</v>
      </c>
      <c r="J3299" s="20" t="s">
        <v>2860</v>
      </c>
      <c r="K3299" s="20" t="s">
        <v>10021</v>
      </c>
      <c r="L3299" s="3">
        <v>26</v>
      </c>
      <c r="M3299" s="3" t="s">
        <v>10340</v>
      </c>
      <c r="N3299" s="3" t="str">
        <f>HYPERLINK("http://ictvonline.org/taxonomyHistory.asp?taxnode_id=20163375","ICTVonline=20163375")</f>
        <v>ICTVonline=20163375</v>
      </c>
    </row>
    <row r="3300" spans="1:14" x14ac:dyDescent="0.15">
      <c r="A3300" s="3">
        <v>3299</v>
      </c>
      <c r="B3300" s="1" t="s">
        <v>926</v>
      </c>
      <c r="C3300" s="1" t="s">
        <v>849</v>
      </c>
      <c r="E3300" s="1" t="s">
        <v>1727</v>
      </c>
      <c r="F3300" s="1" t="s">
        <v>2614</v>
      </c>
      <c r="G3300" s="3">
        <v>0</v>
      </c>
      <c r="J3300" s="20" t="s">
        <v>2860</v>
      </c>
      <c r="K3300" s="20" t="s">
        <v>10013</v>
      </c>
      <c r="L3300" s="3">
        <v>28</v>
      </c>
      <c r="M3300" s="3" t="s">
        <v>10341</v>
      </c>
      <c r="N3300" s="3" t="str">
        <f>HYPERLINK("http://ictvonline.org/taxonomyHistory.asp?taxnode_id=20163376","ICTVonline=20163376")</f>
        <v>ICTVonline=20163376</v>
      </c>
    </row>
    <row r="3301" spans="1:14" x14ac:dyDescent="0.15">
      <c r="A3301" s="3">
        <v>3300</v>
      </c>
      <c r="B3301" s="1" t="s">
        <v>926</v>
      </c>
      <c r="C3301" s="1" t="s">
        <v>849</v>
      </c>
      <c r="E3301" s="1" t="s">
        <v>1727</v>
      </c>
      <c r="F3301" s="1" t="s">
        <v>5594</v>
      </c>
      <c r="G3301" s="3">
        <v>0</v>
      </c>
      <c r="H3301" s="20" t="s">
        <v>6980</v>
      </c>
      <c r="I3301" s="20" t="s">
        <v>5595</v>
      </c>
      <c r="J3301" s="20" t="s">
        <v>2860</v>
      </c>
      <c r="K3301" s="20" t="s">
        <v>10013</v>
      </c>
      <c r="L3301" s="3">
        <v>30</v>
      </c>
      <c r="M3301" s="3" t="s">
        <v>10342</v>
      </c>
      <c r="N3301" s="3" t="str">
        <f>HYPERLINK("http://ictvonline.org/taxonomyHistory.asp?taxnode_id=20163377","ICTVonline=20163377")</f>
        <v>ICTVonline=20163377</v>
      </c>
    </row>
    <row r="3302" spans="1:14" x14ac:dyDescent="0.15">
      <c r="A3302" s="3">
        <v>3301</v>
      </c>
      <c r="B3302" s="1" t="s">
        <v>926</v>
      </c>
      <c r="C3302" s="1" t="s">
        <v>849</v>
      </c>
      <c r="E3302" s="1" t="s">
        <v>1728</v>
      </c>
      <c r="F3302" s="1" t="s">
        <v>189</v>
      </c>
      <c r="G3302" s="3">
        <v>1</v>
      </c>
      <c r="J3302" s="20" t="s">
        <v>2860</v>
      </c>
      <c r="K3302" s="20" t="s">
        <v>10021</v>
      </c>
      <c r="L3302" s="3">
        <v>26</v>
      </c>
      <c r="M3302" s="3" t="s">
        <v>10340</v>
      </c>
      <c r="N3302" s="3" t="str">
        <f>HYPERLINK("http://ictvonline.org/taxonomyHistory.asp?taxnode_id=20163379","ICTVonline=20163379")</f>
        <v>ICTVonline=20163379</v>
      </c>
    </row>
    <row r="3303" spans="1:14" x14ac:dyDescent="0.15">
      <c r="A3303" s="3">
        <v>3302</v>
      </c>
      <c r="B3303" s="1" t="s">
        <v>926</v>
      </c>
      <c r="C3303" s="1" t="s">
        <v>1729</v>
      </c>
      <c r="E3303" s="1" t="s">
        <v>2615</v>
      </c>
      <c r="F3303" s="1" t="s">
        <v>975</v>
      </c>
      <c r="G3303" s="3">
        <v>0</v>
      </c>
      <c r="H3303" s="20" t="s">
        <v>7209</v>
      </c>
      <c r="I3303" s="20" t="s">
        <v>5596</v>
      </c>
      <c r="J3303" s="20" t="s">
        <v>3176</v>
      </c>
      <c r="K3303" s="20" t="s">
        <v>10016</v>
      </c>
      <c r="L3303" s="3">
        <v>28</v>
      </c>
      <c r="M3303" s="3" t="s">
        <v>10343</v>
      </c>
      <c r="N3303" s="3" t="str">
        <f>HYPERLINK("http://ictvonline.org/taxonomyHistory.asp?taxnode_id=20163383","ICTVonline=20163383")</f>
        <v>ICTVonline=20163383</v>
      </c>
    </row>
    <row r="3304" spans="1:14" x14ac:dyDescent="0.15">
      <c r="A3304" s="3">
        <v>3303</v>
      </c>
      <c r="B3304" s="1" t="s">
        <v>926</v>
      </c>
      <c r="C3304" s="1" t="s">
        <v>1729</v>
      </c>
      <c r="E3304" s="1" t="s">
        <v>2615</v>
      </c>
      <c r="F3304" s="1" t="s">
        <v>2616</v>
      </c>
      <c r="G3304" s="3">
        <v>0</v>
      </c>
      <c r="H3304" s="20" t="s">
        <v>7210</v>
      </c>
      <c r="I3304" s="20" t="s">
        <v>5260</v>
      </c>
      <c r="J3304" s="20" t="s">
        <v>3176</v>
      </c>
      <c r="K3304" s="20" t="s">
        <v>10013</v>
      </c>
      <c r="L3304" s="3">
        <v>28</v>
      </c>
      <c r="M3304" s="3" t="s">
        <v>10343</v>
      </c>
      <c r="N3304" s="3" t="str">
        <f>HYPERLINK("http://ictvonline.org/taxonomyHistory.asp?taxnode_id=20163384","ICTVonline=20163384")</f>
        <v>ICTVonline=20163384</v>
      </c>
    </row>
    <row r="3305" spans="1:14" x14ac:dyDescent="0.15">
      <c r="A3305" s="3">
        <v>3304</v>
      </c>
      <c r="B3305" s="1" t="s">
        <v>926</v>
      </c>
      <c r="C3305" s="1" t="s">
        <v>1729</v>
      </c>
      <c r="E3305" s="1" t="s">
        <v>2615</v>
      </c>
      <c r="F3305" s="1" t="s">
        <v>2617</v>
      </c>
      <c r="G3305" s="3">
        <v>0</v>
      </c>
      <c r="H3305" s="20" t="s">
        <v>7211</v>
      </c>
      <c r="I3305" s="20" t="s">
        <v>5189</v>
      </c>
      <c r="J3305" s="20" t="s">
        <v>3176</v>
      </c>
      <c r="K3305" s="20" t="s">
        <v>10013</v>
      </c>
      <c r="L3305" s="3">
        <v>28</v>
      </c>
      <c r="M3305" s="3" t="s">
        <v>10343</v>
      </c>
      <c r="N3305" s="3" t="str">
        <f>HYPERLINK("http://ictvonline.org/taxonomyHistory.asp?taxnode_id=20163385","ICTVonline=20163385")</f>
        <v>ICTVonline=20163385</v>
      </c>
    </row>
    <row r="3306" spans="1:14" x14ac:dyDescent="0.15">
      <c r="A3306" s="3">
        <v>3305</v>
      </c>
      <c r="B3306" s="1" t="s">
        <v>926</v>
      </c>
      <c r="C3306" s="1" t="s">
        <v>1729</v>
      </c>
      <c r="E3306" s="1" t="s">
        <v>2615</v>
      </c>
      <c r="F3306" s="1" t="s">
        <v>2618</v>
      </c>
      <c r="G3306" s="3">
        <v>0</v>
      </c>
      <c r="H3306" s="20" t="s">
        <v>7212</v>
      </c>
      <c r="I3306" s="20" t="s">
        <v>5597</v>
      </c>
      <c r="J3306" s="20" t="s">
        <v>3176</v>
      </c>
      <c r="K3306" s="20" t="s">
        <v>10013</v>
      </c>
      <c r="L3306" s="3">
        <v>28</v>
      </c>
      <c r="M3306" s="3" t="s">
        <v>10343</v>
      </c>
      <c r="N3306" s="3" t="str">
        <f>HYPERLINK("http://ictvonline.org/taxonomyHistory.asp?taxnode_id=20163386","ICTVonline=20163386")</f>
        <v>ICTVonline=20163386</v>
      </c>
    </row>
    <row r="3307" spans="1:14" x14ac:dyDescent="0.15">
      <c r="A3307" s="3">
        <v>3306</v>
      </c>
      <c r="B3307" s="1" t="s">
        <v>926</v>
      </c>
      <c r="C3307" s="1" t="s">
        <v>1729</v>
      </c>
      <c r="E3307" s="1" t="s">
        <v>2615</v>
      </c>
      <c r="F3307" s="1" t="s">
        <v>2619</v>
      </c>
      <c r="G3307" s="3">
        <v>0</v>
      </c>
      <c r="H3307" s="20" t="s">
        <v>7213</v>
      </c>
      <c r="I3307" s="20" t="s">
        <v>5598</v>
      </c>
      <c r="J3307" s="20" t="s">
        <v>3176</v>
      </c>
      <c r="K3307" s="20" t="s">
        <v>10013</v>
      </c>
      <c r="L3307" s="3">
        <v>28</v>
      </c>
      <c r="M3307" s="3" t="s">
        <v>10343</v>
      </c>
      <c r="N3307" s="3" t="str">
        <f>HYPERLINK("http://ictvonline.org/taxonomyHistory.asp?taxnode_id=20163387","ICTVonline=20163387")</f>
        <v>ICTVonline=20163387</v>
      </c>
    </row>
    <row r="3308" spans="1:14" x14ac:dyDescent="0.15">
      <c r="A3308" s="3">
        <v>3307</v>
      </c>
      <c r="B3308" s="1" t="s">
        <v>926</v>
      </c>
      <c r="C3308" s="1" t="s">
        <v>1729</v>
      </c>
      <c r="E3308" s="1" t="s">
        <v>2615</v>
      </c>
      <c r="F3308" s="1" t="s">
        <v>2794</v>
      </c>
      <c r="G3308" s="3">
        <v>0</v>
      </c>
      <c r="H3308" s="20" t="s">
        <v>5599</v>
      </c>
      <c r="I3308" s="20" t="s">
        <v>5600</v>
      </c>
      <c r="J3308" s="20" t="s">
        <v>3176</v>
      </c>
      <c r="K3308" s="20" t="s">
        <v>10014</v>
      </c>
      <c r="L3308" s="3">
        <v>28</v>
      </c>
      <c r="M3308" s="3" t="s">
        <v>10343</v>
      </c>
      <c r="N3308" s="3" t="str">
        <f>HYPERLINK("http://ictvonline.org/taxonomyHistory.asp?taxnode_id=20163388","ICTVonline=20163388")</f>
        <v>ICTVonline=20163388</v>
      </c>
    </row>
    <row r="3309" spans="1:14" x14ac:dyDescent="0.15">
      <c r="A3309" s="3">
        <v>3308</v>
      </c>
      <c r="B3309" s="1" t="s">
        <v>926</v>
      </c>
      <c r="C3309" s="1" t="s">
        <v>1729</v>
      </c>
      <c r="E3309" s="1" t="s">
        <v>2615</v>
      </c>
      <c r="F3309" s="1" t="s">
        <v>2795</v>
      </c>
      <c r="G3309" s="3">
        <v>0</v>
      </c>
      <c r="H3309" s="20" t="s">
        <v>7214</v>
      </c>
      <c r="I3309" s="20" t="s">
        <v>5601</v>
      </c>
      <c r="J3309" s="20" t="s">
        <v>3176</v>
      </c>
      <c r="K3309" s="20" t="s">
        <v>10013</v>
      </c>
      <c r="L3309" s="3">
        <v>28</v>
      </c>
      <c r="M3309" s="3" t="s">
        <v>10343</v>
      </c>
      <c r="N3309" s="3" t="str">
        <f>HYPERLINK("http://ictvonline.org/taxonomyHistory.asp?taxnode_id=20163389","ICTVonline=20163389")</f>
        <v>ICTVonline=20163389</v>
      </c>
    </row>
    <row r="3310" spans="1:14" x14ac:dyDescent="0.15">
      <c r="A3310" s="3">
        <v>3309</v>
      </c>
      <c r="B3310" s="1" t="s">
        <v>926</v>
      </c>
      <c r="C3310" s="1" t="s">
        <v>1729</v>
      </c>
      <c r="E3310" s="1" t="s">
        <v>2615</v>
      </c>
      <c r="F3310" s="1" t="s">
        <v>2796</v>
      </c>
      <c r="G3310" s="3">
        <v>0</v>
      </c>
      <c r="H3310" s="20" t="s">
        <v>7215</v>
      </c>
      <c r="I3310" s="20" t="s">
        <v>6464</v>
      </c>
      <c r="J3310" s="20" t="s">
        <v>3176</v>
      </c>
      <c r="K3310" s="20" t="s">
        <v>10013</v>
      </c>
      <c r="L3310" s="3">
        <v>28</v>
      </c>
      <c r="M3310" s="3" t="s">
        <v>10343</v>
      </c>
      <c r="N3310" s="3" t="str">
        <f>HYPERLINK("http://ictvonline.org/taxonomyHistory.asp?taxnode_id=20163390","ICTVonline=20163390")</f>
        <v>ICTVonline=20163390</v>
      </c>
    </row>
    <row r="3311" spans="1:14" x14ac:dyDescent="0.15">
      <c r="A3311" s="3">
        <v>3310</v>
      </c>
      <c r="B3311" s="1" t="s">
        <v>926</v>
      </c>
      <c r="C3311" s="1" t="s">
        <v>1729</v>
      </c>
      <c r="E3311" s="1" t="s">
        <v>2615</v>
      </c>
      <c r="F3311" s="1" t="s">
        <v>5602</v>
      </c>
      <c r="G3311" s="3">
        <v>0</v>
      </c>
      <c r="H3311" s="20" t="s">
        <v>6981</v>
      </c>
      <c r="I3311" s="20" t="s">
        <v>5603</v>
      </c>
      <c r="J3311" s="20" t="s">
        <v>3176</v>
      </c>
      <c r="K3311" s="20" t="s">
        <v>10013</v>
      </c>
      <c r="L3311" s="3">
        <v>30</v>
      </c>
      <c r="M3311" s="3" t="s">
        <v>10344</v>
      </c>
      <c r="N3311" s="3" t="str">
        <f>HYPERLINK("http://ictvonline.org/taxonomyHistory.asp?taxnode_id=20163391","ICTVonline=20163391")</f>
        <v>ICTVonline=20163391</v>
      </c>
    </row>
    <row r="3312" spans="1:14" x14ac:dyDescent="0.15">
      <c r="A3312" s="3">
        <v>3311</v>
      </c>
      <c r="B3312" s="1" t="s">
        <v>926</v>
      </c>
      <c r="C3312" s="1" t="s">
        <v>1729</v>
      </c>
      <c r="E3312" s="1" t="s">
        <v>2615</v>
      </c>
      <c r="F3312" s="1" t="s">
        <v>5604</v>
      </c>
      <c r="G3312" s="3">
        <v>0</v>
      </c>
      <c r="H3312" s="20" t="s">
        <v>6982</v>
      </c>
      <c r="I3312" s="20" t="s">
        <v>5605</v>
      </c>
      <c r="J3312" s="20" t="s">
        <v>3176</v>
      </c>
      <c r="K3312" s="20" t="s">
        <v>10013</v>
      </c>
      <c r="L3312" s="3">
        <v>30</v>
      </c>
      <c r="M3312" s="3" t="s">
        <v>10344</v>
      </c>
      <c r="N3312" s="3" t="str">
        <f>HYPERLINK("http://ictvonline.org/taxonomyHistory.asp?taxnode_id=20163392","ICTVonline=20163392")</f>
        <v>ICTVonline=20163392</v>
      </c>
    </row>
    <row r="3313" spans="1:14" x14ac:dyDescent="0.15">
      <c r="A3313" s="3">
        <v>3312</v>
      </c>
      <c r="B3313" s="1" t="s">
        <v>926</v>
      </c>
      <c r="C3313" s="1" t="s">
        <v>1729</v>
      </c>
      <c r="E3313" s="1" t="s">
        <v>2615</v>
      </c>
      <c r="F3313" s="1" t="s">
        <v>5606</v>
      </c>
      <c r="G3313" s="3">
        <v>0</v>
      </c>
      <c r="H3313" s="20" t="s">
        <v>6983</v>
      </c>
      <c r="I3313" s="20" t="s">
        <v>5607</v>
      </c>
      <c r="J3313" s="20" t="s">
        <v>3176</v>
      </c>
      <c r="K3313" s="20" t="s">
        <v>10013</v>
      </c>
      <c r="L3313" s="3">
        <v>30</v>
      </c>
      <c r="M3313" s="3" t="s">
        <v>10344</v>
      </c>
      <c r="N3313" s="3" t="str">
        <f>HYPERLINK("http://ictvonline.org/taxonomyHistory.asp?taxnode_id=20163393","ICTVonline=20163393")</f>
        <v>ICTVonline=20163393</v>
      </c>
    </row>
    <row r="3314" spans="1:14" x14ac:dyDescent="0.15">
      <c r="A3314" s="3">
        <v>3313</v>
      </c>
      <c r="B3314" s="1" t="s">
        <v>926</v>
      </c>
      <c r="C3314" s="1" t="s">
        <v>1729</v>
      </c>
      <c r="E3314" s="1" t="s">
        <v>2615</v>
      </c>
      <c r="F3314" s="1" t="s">
        <v>2620</v>
      </c>
      <c r="G3314" s="3">
        <v>0</v>
      </c>
      <c r="H3314" s="20" t="s">
        <v>7216</v>
      </c>
      <c r="I3314" s="20" t="s">
        <v>5608</v>
      </c>
      <c r="J3314" s="20" t="s">
        <v>3176</v>
      </c>
      <c r="K3314" s="20" t="s">
        <v>10013</v>
      </c>
      <c r="L3314" s="3">
        <v>28</v>
      </c>
      <c r="M3314" s="3" t="s">
        <v>10343</v>
      </c>
      <c r="N3314" s="3" t="str">
        <f>HYPERLINK("http://ictvonline.org/taxonomyHistory.asp?taxnode_id=20163394","ICTVonline=20163394")</f>
        <v>ICTVonline=20163394</v>
      </c>
    </row>
    <row r="3315" spans="1:14" x14ac:dyDescent="0.15">
      <c r="A3315" s="3">
        <v>3314</v>
      </c>
      <c r="B3315" s="1" t="s">
        <v>926</v>
      </c>
      <c r="C3315" s="1" t="s">
        <v>1729</v>
      </c>
      <c r="E3315" s="1" t="s">
        <v>2615</v>
      </c>
      <c r="F3315" s="1" t="s">
        <v>901</v>
      </c>
      <c r="G3315" s="3">
        <v>0</v>
      </c>
      <c r="H3315" s="20" t="s">
        <v>7217</v>
      </c>
      <c r="I3315" s="20" t="s">
        <v>4816</v>
      </c>
      <c r="J3315" s="20" t="s">
        <v>3176</v>
      </c>
      <c r="K3315" s="20" t="s">
        <v>10016</v>
      </c>
      <c r="L3315" s="3">
        <v>28</v>
      </c>
      <c r="M3315" s="3" t="s">
        <v>10343</v>
      </c>
      <c r="N3315" s="3" t="str">
        <f>HYPERLINK("http://ictvonline.org/taxonomyHistory.asp?taxnode_id=20163395","ICTVonline=20163395")</f>
        <v>ICTVonline=20163395</v>
      </c>
    </row>
    <row r="3316" spans="1:14" x14ac:dyDescent="0.15">
      <c r="A3316" s="3">
        <v>3315</v>
      </c>
      <c r="B3316" s="1" t="s">
        <v>926</v>
      </c>
      <c r="C3316" s="1" t="s">
        <v>1729</v>
      </c>
      <c r="E3316" s="1" t="s">
        <v>2615</v>
      </c>
      <c r="F3316" s="1" t="s">
        <v>902</v>
      </c>
      <c r="G3316" s="3">
        <v>1</v>
      </c>
      <c r="H3316" s="20" t="s">
        <v>7218</v>
      </c>
      <c r="I3316" s="20" t="s">
        <v>5609</v>
      </c>
      <c r="J3316" s="20" t="s">
        <v>3176</v>
      </c>
      <c r="K3316" s="20" t="s">
        <v>10016</v>
      </c>
      <c r="L3316" s="3">
        <v>28</v>
      </c>
      <c r="M3316" s="3" t="s">
        <v>10343</v>
      </c>
      <c r="N3316" s="3" t="str">
        <f>HYPERLINK("http://ictvonline.org/taxonomyHistory.asp?taxnode_id=20163396","ICTVonline=20163396")</f>
        <v>ICTVonline=20163396</v>
      </c>
    </row>
    <row r="3317" spans="1:14" x14ac:dyDescent="0.15">
      <c r="A3317" s="3">
        <v>3316</v>
      </c>
      <c r="B3317" s="1" t="s">
        <v>926</v>
      </c>
      <c r="C3317" s="1" t="s">
        <v>1729</v>
      </c>
      <c r="E3317" s="1" t="s">
        <v>2621</v>
      </c>
      <c r="F3317" s="1" t="s">
        <v>1656</v>
      </c>
      <c r="G3317" s="3">
        <v>1</v>
      </c>
      <c r="H3317" s="20" t="s">
        <v>7219</v>
      </c>
      <c r="I3317" s="20" t="s">
        <v>5610</v>
      </c>
      <c r="J3317" s="20" t="s">
        <v>3176</v>
      </c>
      <c r="K3317" s="20" t="s">
        <v>10016</v>
      </c>
      <c r="L3317" s="3">
        <v>28</v>
      </c>
      <c r="M3317" s="3" t="s">
        <v>10343</v>
      </c>
      <c r="N3317" s="3" t="str">
        <f>HYPERLINK("http://ictvonline.org/taxonomyHistory.asp?taxnode_id=20163398","ICTVonline=20163398")</f>
        <v>ICTVonline=20163398</v>
      </c>
    </row>
    <row r="3318" spans="1:14" x14ac:dyDescent="0.15">
      <c r="A3318" s="3">
        <v>3317</v>
      </c>
      <c r="B3318" s="1" t="s">
        <v>926</v>
      </c>
      <c r="C3318" s="1" t="s">
        <v>1729</v>
      </c>
      <c r="E3318" s="1" t="s">
        <v>2621</v>
      </c>
      <c r="F3318" s="1" t="s">
        <v>2622</v>
      </c>
      <c r="G3318" s="3">
        <v>0</v>
      </c>
      <c r="H3318" s="20" t="s">
        <v>7220</v>
      </c>
      <c r="I3318" s="20" t="s">
        <v>5611</v>
      </c>
      <c r="J3318" s="20" t="s">
        <v>3176</v>
      </c>
      <c r="K3318" s="20" t="s">
        <v>10013</v>
      </c>
      <c r="L3318" s="3">
        <v>28</v>
      </c>
      <c r="M3318" s="3" t="s">
        <v>10343</v>
      </c>
      <c r="N3318" s="3" t="str">
        <f>HYPERLINK("http://ictvonline.org/taxonomyHistory.asp?taxnode_id=20163399","ICTVonline=20163399")</f>
        <v>ICTVonline=20163399</v>
      </c>
    </row>
    <row r="3319" spans="1:14" x14ac:dyDescent="0.15">
      <c r="A3319" s="3">
        <v>3318</v>
      </c>
      <c r="B3319" s="1" t="s">
        <v>926</v>
      </c>
      <c r="C3319" s="1" t="s">
        <v>1729</v>
      </c>
      <c r="E3319" s="1" t="s">
        <v>2621</v>
      </c>
      <c r="F3319" s="1" t="s">
        <v>795</v>
      </c>
      <c r="G3319" s="3">
        <v>0</v>
      </c>
      <c r="H3319" s="20" t="s">
        <v>7221</v>
      </c>
      <c r="I3319" s="20" t="s">
        <v>5612</v>
      </c>
      <c r="J3319" s="20" t="s">
        <v>3176</v>
      </c>
      <c r="K3319" s="20" t="s">
        <v>10016</v>
      </c>
      <c r="L3319" s="3">
        <v>28</v>
      </c>
      <c r="M3319" s="3" t="s">
        <v>10343</v>
      </c>
      <c r="N3319" s="3" t="str">
        <f>HYPERLINK("http://ictvonline.org/taxonomyHistory.asp?taxnode_id=20163400","ICTVonline=20163400")</f>
        <v>ICTVonline=20163400</v>
      </c>
    </row>
    <row r="3320" spans="1:14" x14ac:dyDescent="0.15">
      <c r="A3320" s="3">
        <v>3319</v>
      </c>
      <c r="B3320" s="1" t="s">
        <v>926</v>
      </c>
      <c r="C3320" s="1" t="s">
        <v>1729</v>
      </c>
      <c r="E3320" s="1" t="s">
        <v>2621</v>
      </c>
      <c r="F3320" s="1" t="s">
        <v>2623</v>
      </c>
      <c r="G3320" s="3">
        <v>0</v>
      </c>
      <c r="H3320" s="20" t="s">
        <v>7222</v>
      </c>
      <c r="I3320" s="20" t="s">
        <v>5613</v>
      </c>
      <c r="J3320" s="20" t="s">
        <v>3176</v>
      </c>
      <c r="K3320" s="20" t="s">
        <v>10013</v>
      </c>
      <c r="L3320" s="3">
        <v>28</v>
      </c>
      <c r="M3320" s="3" t="s">
        <v>10343</v>
      </c>
      <c r="N3320" s="3" t="str">
        <f>HYPERLINK("http://ictvonline.org/taxonomyHistory.asp?taxnode_id=20163401","ICTVonline=20163401")</f>
        <v>ICTVonline=20163401</v>
      </c>
    </row>
    <row r="3321" spans="1:14" x14ac:dyDescent="0.15">
      <c r="A3321" s="3">
        <v>3320</v>
      </c>
      <c r="B3321" s="1" t="s">
        <v>926</v>
      </c>
      <c r="C3321" s="1" t="s">
        <v>1729</v>
      </c>
      <c r="E3321" s="1" t="s">
        <v>2621</v>
      </c>
      <c r="F3321" s="1" t="s">
        <v>2624</v>
      </c>
      <c r="G3321" s="3">
        <v>0</v>
      </c>
      <c r="H3321" s="20" t="s">
        <v>7223</v>
      </c>
      <c r="I3321" s="20" t="s">
        <v>5614</v>
      </c>
      <c r="J3321" s="20" t="s">
        <v>3176</v>
      </c>
      <c r="K3321" s="20" t="s">
        <v>10013</v>
      </c>
      <c r="L3321" s="3">
        <v>28</v>
      </c>
      <c r="M3321" s="3" t="s">
        <v>10343</v>
      </c>
      <c r="N3321" s="3" t="str">
        <f>HYPERLINK("http://ictvonline.org/taxonomyHistory.asp?taxnode_id=20163402","ICTVonline=20163402")</f>
        <v>ICTVonline=20163402</v>
      </c>
    </row>
    <row r="3322" spans="1:14" x14ac:dyDescent="0.15">
      <c r="A3322" s="3">
        <v>3321</v>
      </c>
      <c r="B3322" s="1" t="s">
        <v>926</v>
      </c>
      <c r="C3322" s="1" t="s">
        <v>1729</v>
      </c>
      <c r="E3322" s="1" t="s">
        <v>2621</v>
      </c>
      <c r="F3322" s="1" t="s">
        <v>1989</v>
      </c>
      <c r="G3322" s="3">
        <v>0</v>
      </c>
      <c r="H3322" s="20" t="s">
        <v>7224</v>
      </c>
      <c r="I3322" s="20" t="s">
        <v>5615</v>
      </c>
      <c r="J3322" s="20" t="s">
        <v>3176</v>
      </c>
      <c r="K3322" s="20" t="s">
        <v>10016</v>
      </c>
      <c r="L3322" s="3">
        <v>28</v>
      </c>
      <c r="M3322" s="3" t="s">
        <v>10343</v>
      </c>
      <c r="N3322" s="3" t="str">
        <f>HYPERLINK("http://ictvonline.org/taxonomyHistory.asp?taxnode_id=20163403","ICTVonline=20163403")</f>
        <v>ICTVonline=20163403</v>
      </c>
    </row>
    <row r="3323" spans="1:14" x14ac:dyDescent="0.15">
      <c r="A3323" s="3">
        <v>3322</v>
      </c>
      <c r="B3323" s="1" t="s">
        <v>926</v>
      </c>
      <c r="C3323" s="1" t="s">
        <v>1729</v>
      </c>
      <c r="E3323" s="1" t="s">
        <v>2621</v>
      </c>
      <c r="F3323" s="1" t="s">
        <v>2797</v>
      </c>
      <c r="G3323" s="3">
        <v>0</v>
      </c>
      <c r="H3323" s="20" t="s">
        <v>7225</v>
      </c>
      <c r="I3323" s="20" t="s">
        <v>5616</v>
      </c>
      <c r="J3323" s="20" t="s">
        <v>3176</v>
      </c>
      <c r="K3323" s="20" t="s">
        <v>10013</v>
      </c>
      <c r="L3323" s="3">
        <v>28</v>
      </c>
      <c r="M3323" s="3" t="s">
        <v>10343</v>
      </c>
      <c r="N3323" s="3" t="str">
        <f>HYPERLINK("http://ictvonline.org/taxonomyHistory.asp?taxnode_id=20163404","ICTVonline=20163404")</f>
        <v>ICTVonline=20163404</v>
      </c>
    </row>
    <row r="3324" spans="1:14" x14ac:dyDescent="0.15">
      <c r="A3324" s="3">
        <v>3323</v>
      </c>
      <c r="B3324" s="1" t="s">
        <v>926</v>
      </c>
      <c r="C3324" s="1" t="s">
        <v>1729</v>
      </c>
      <c r="E3324" s="1" t="s">
        <v>2621</v>
      </c>
      <c r="F3324" s="1" t="s">
        <v>5617</v>
      </c>
      <c r="G3324" s="3">
        <v>0</v>
      </c>
      <c r="H3324" s="20" t="s">
        <v>6984</v>
      </c>
      <c r="I3324" s="20" t="s">
        <v>5618</v>
      </c>
      <c r="J3324" s="20" t="s">
        <v>3176</v>
      </c>
      <c r="K3324" s="20" t="s">
        <v>10013</v>
      </c>
      <c r="L3324" s="3">
        <v>30</v>
      </c>
      <c r="M3324" s="3" t="s">
        <v>10344</v>
      </c>
      <c r="N3324" s="3" t="str">
        <f>HYPERLINK("http://ictvonline.org/taxonomyHistory.asp?taxnode_id=20163405","ICTVonline=20163405")</f>
        <v>ICTVonline=20163405</v>
      </c>
    </row>
    <row r="3325" spans="1:14" x14ac:dyDescent="0.15">
      <c r="A3325" s="3">
        <v>3324</v>
      </c>
      <c r="B3325" s="1" t="s">
        <v>926</v>
      </c>
      <c r="C3325" s="1" t="s">
        <v>1729</v>
      </c>
      <c r="E3325" s="1" t="s">
        <v>2621</v>
      </c>
      <c r="F3325" s="1" t="s">
        <v>2798</v>
      </c>
      <c r="G3325" s="3">
        <v>0</v>
      </c>
      <c r="H3325" s="20" t="s">
        <v>7226</v>
      </c>
      <c r="I3325" s="20" t="s">
        <v>5619</v>
      </c>
      <c r="J3325" s="20" t="s">
        <v>3176</v>
      </c>
      <c r="K3325" s="20" t="s">
        <v>10013</v>
      </c>
      <c r="L3325" s="3">
        <v>28</v>
      </c>
      <c r="M3325" s="3" t="s">
        <v>10343</v>
      </c>
      <c r="N3325" s="3" t="str">
        <f>HYPERLINK("http://ictvonline.org/taxonomyHistory.asp?taxnode_id=20163406","ICTVonline=20163406")</f>
        <v>ICTVonline=20163406</v>
      </c>
    </row>
    <row r="3326" spans="1:14" x14ac:dyDescent="0.15">
      <c r="A3326" s="3">
        <v>3325</v>
      </c>
      <c r="B3326" s="1" t="s">
        <v>926</v>
      </c>
      <c r="C3326" s="1" t="s">
        <v>1729</v>
      </c>
      <c r="E3326" s="1" t="s">
        <v>2621</v>
      </c>
      <c r="F3326" s="1" t="s">
        <v>2799</v>
      </c>
      <c r="G3326" s="3">
        <v>0</v>
      </c>
      <c r="H3326" s="20" t="s">
        <v>5620</v>
      </c>
      <c r="I3326" s="20" t="s">
        <v>5621</v>
      </c>
      <c r="J3326" s="20" t="s">
        <v>3176</v>
      </c>
      <c r="K3326" s="20" t="s">
        <v>10014</v>
      </c>
      <c r="L3326" s="3">
        <v>28</v>
      </c>
      <c r="M3326" s="3" t="s">
        <v>10343</v>
      </c>
      <c r="N3326" s="3" t="str">
        <f>HYPERLINK("http://ictvonline.org/taxonomyHistory.asp?taxnode_id=20163407","ICTVonline=20163407")</f>
        <v>ICTVonline=20163407</v>
      </c>
    </row>
    <row r="3327" spans="1:14" x14ac:dyDescent="0.15">
      <c r="A3327" s="3">
        <v>3326</v>
      </c>
      <c r="B3327" s="1" t="s">
        <v>926</v>
      </c>
      <c r="C3327" s="1" t="s">
        <v>1729</v>
      </c>
      <c r="E3327" s="1" t="s">
        <v>2621</v>
      </c>
      <c r="F3327" s="1" t="s">
        <v>627</v>
      </c>
      <c r="G3327" s="3">
        <v>0</v>
      </c>
      <c r="H3327" s="20" t="s">
        <v>7227</v>
      </c>
      <c r="I3327" s="20" t="s">
        <v>5622</v>
      </c>
      <c r="J3327" s="20" t="s">
        <v>3176</v>
      </c>
      <c r="K3327" s="20" t="s">
        <v>10016</v>
      </c>
      <c r="L3327" s="3">
        <v>28</v>
      </c>
      <c r="M3327" s="3" t="s">
        <v>10343</v>
      </c>
      <c r="N3327" s="3" t="str">
        <f>HYPERLINK("http://ictvonline.org/taxonomyHistory.asp?taxnode_id=20163408","ICTVonline=20163408")</f>
        <v>ICTVonline=20163408</v>
      </c>
    </row>
    <row r="3328" spans="1:14" x14ac:dyDescent="0.15">
      <c r="A3328" s="3">
        <v>3327</v>
      </c>
      <c r="B3328" s="1" t="s">
        <v>926</v>
      </c>
      <c r="C3328" s="1" t="s">
        <v>1729</v>
      </c>
      <c r="E3328" s="1" t="s">
        <v>2621</v>
      </c>
      <c r="F3328" s="1" t="s">
        <v>1282</v>
      </c>
      <c r="G3328" s="3">
        <v>0</v>
      </c>
      <c r="H3328" s="20" t="s">
        <v>7228</v>
      </c>
      <c r="I3328" s="20" t="s">
        <v>4752</v>
      </c>
      <c r="J3328" s="20" t="s">
        <v>3176</v>
      </c>
      <c r="K3328" s="20" t="s">
        <v>10016</v>
      </c>
      <c r="L3328" s="3">
        <v>28</v>
      </c>
      <c r="M3328" s="3" t="s">
        <v>10343</v>
      </c>
      <c r="N3328" s="3" t="str">
        <f>HYPERLINK("http://ictvonline.org/taxonomyHistory.asp?taxnode_id=20163409","ICTVonline=20163409")</f>
        <v>ICTVonline=20163409</v>
      </c>
    </row>
    <row r="3329" spans="1:14" x14ac:dyDescent="0.15">
      <c r="A3329" s="3">
        <v>3328</v>
      </c>
      <c r="B3329" s="1" t="s">
        <v>926</v>
      </c>
      <c r="C3329" s="1" t="s">
        <v>1729</v>
      </c>
      <c r="E3329" s="1" t="s">
        <v>2621</v>
      </c>
      <c r="F3329" s="1" t="s">
        <v>2625</v>
      </c>
      <c r="G3329" s="3">
        <v>0</v>
      </c>
      <c r="H3329" s="20" t="s">
        <v>7229</v>
      </c>
      <c r="I3329" s="20" t="s">
        <v>5193</v>
      </c>
      <c r="J3329" s="20" t="s">
        <v>3176</v>
      </c>
      <c r="K3329" s="20" t="s">
        <v>10013</v>
      </c>
      <c r="L3329" s="3">
        <v>28</v>
      </c>
      <c r="M3329" s="3" t="s">
        <v>10343</v>
      </c>
      <c r="N3329" s="3" t="str">
        <f>HYPERLINK("http://ictvonline.org/taxonomyHistory.asp?taxnode_id=20163410","ICTVonline=20163410")</f>
        <v>ICTVonline=20163410</v>
      </c>
    </row>
    <row r="3330" spans="1:14" x14ac:dyDescent="0.15">
      <c r="A3330" s="3">
        <v>3329</v>
      </c>
      <c r="B3330" s="1" t="s">
        <v>926</v>
      </c>
      <c r="C3330" s="1" t="s">
        <v>1729</v>
      </c>
      <c r="E3330" s="1" t="s">
        <v>2621</v>
      </c>
      <c r="F3330" s="1" t="s">
        <v>628</v>
      </c>
      <c r="G3330" s="3">
        <v>0</v>
      </c>
      <c r="H3330" s="20" t="s">
        <v>7230</v>
      </c>
      <c r="I3330" s="20" t="s">
        <v>5623</v>
      </c>
      <c r="J3330" s="20" t="s">
        <v>3176</v>
      </c>
      <c r="K3330" s="20" t="s">
        <v>10016</v>
      </c>
      <c r="L3330" s="3">
        <v>28</v>
      </c>
      <c r="M3330" s="3" t="s">
        <v>10343</v>
      </c>
      <c r="N3330" s="3" t="str">
        <f>HYPERLINK("http://ictvonline.org/taxonomyHistory.asp?taxnode_id=20163411","ICTVonline=20163411")</f>
        <v>ICTVonline=20163411</v>
      </c>
    </row>
    <row r="3331" spans="1:14" x14ac:dyDescent="0.15">
      <c r="A3331" s="3">
        <v>3330</v>
      </c>
      <c r="B3331" s="1" t="s">
        <v>926</v>
      </c>
      <c r="C3331" s="1" t="s">
        <v>1729</v>
      </c>
      <c r="E3331" s="1" t="s">
        <v>2621</v>
      </c>
      <c r="F3331" s="1" t="s">
        <v>911</v>
      </c>
      <c r="G3331" s="3">
        <v>0</v>
      </c>
      <c r="H3331" s="20" t="s">
        <v>7231</v>
      </c>
      <c r="I3331" s="20" t="s">
        <v>6465</v>
      </c>
      <c r="J3331" s="20" t="s">
        <v>3176</v>
      </c>
      <c r="K3331" s="20" t="s">
        <v>10016</v>
      </c>
      <c r="L3331" s="3">
        <v>28</v>
      </c>
      <c r="M3331" s="3" t="s">
        <v>10343</v>
      </c>
      <c r="N3331" s="3" t="str">
        <f>HYPERLINK("http://ictvonline.org/taxonomyHistory.asp?taxnode_id=20163412","ICTVonline=20163412")</f>
        <v>ICTVonline=20163412</v>
      </c>
    </row>
    <row r="3332" spans="1:14" x14ac:dyDescent="0.15">
      <c r="A3332" s="3">
        <v>3331</v>
      </c>
      <c r="B3332" s="1" t="s">
        <v>926</v>
      </c>
      <c r="C3332" s="1" t="s">
        <v>1729</v>
      </c>
      <c r="E3332" s="1" t="s">
        <v>2621</v>
      </c>
      <c r="F3332" s="1" t="s">
        <v>1567</v>
      </c>
      <c r="G3332" s="3">
        <v>0</v>
      </c>
      <c r="H3332" s="20" t="s">
        <v>7232</v>
      </c>
      <c r="I3332" s="20" t="s">
        <v>5624</v>
      </c>
      <c r="J3332" s="20" t="s">
        <v>3176</v>
      </c>
      <c r="K3332" s="20" t="s">
        <v>10016</v>
      </c>
      <c r="L3332" s="3">
        <v>28</v>
      </c>
      <c r="M3332" s="3" t="s">
        <v>10343</v>
      </c>
      <c r="N3332" s="3" t="str">
        <f>HYPERLINK("http://ictvonline.org/taxonomyHistory.asp?taxnode_id=20163413","ICTVonline=20163413")</f>
        <v>ICTVonline=20163413</v>
      </c>
    </row>
    <row r="3333" spans="1:14" x14ac:dyDescent="0.15">
      <c r="A3333" s="3">
        <v>3332</v>
      </c>
      <c r="B3333" s="1" t="s">
        <v>926</v>
      </c>
      <c r="C3333" s="1" t="s">
        <v>1729</v>
      </c>
      <c r="E3333" s="1" t="s">
        <v>2621</v>
      </c>
      <c r="F3333" s="1" t="s">
        <v>629</v>
      </c>
      <c r="G3333" s="3">
        <v>0</v>
      </c>
      <c r="H3333" s="20" t="s">
        <v>7233</v>
      </c>
      <c r="I3333" s="20" t="s">
        <v>5260</v>
      </c>
      <c r="J3333" s="20" t="s">
        <v>3176</v>
      </c>
      <c r="K3333" s="20" t="s">
        <v>10016</v>
      </c>
      <c r="L3333" s="3">
        <v>28</v>
      </c>
      <c r="M3333" s="3" t="s">
        <v>10343</v>
      </c>
      <c r="N3333" s="3" t="str">
        <f>HYPERLINK("http://ictvonline.org/taxonomyHistory.asp?taxnode_id=20163414","ICTVonline=20163414")</f>
        <v>ICTVonline=20163414</v>
      </c>
    </row>
    <row r="3334" spans="1:14" x14ac:dyDescent="0.15">
      <c r="A3334" s="3">
        <v>3333</v>
      </c>
      <c r="B3334" s="1" t="s">
        <v>926</v>
      </c>
      <c r="C3334" s="1" t="s">
        <v>1729</v>
      </c>
      <c r="E3334" s="1" t="s">
        <v>1283</v>
      </c>
      <c r="F3334" s="1" t="s">
        <v>297</v>
      </c>
      <c r="G3334" s="3">
        <v>1</v>
      </c>
      <c r="H3334" s="20" t="s">
        <v>7234</v>
      </c>
      <c r="I3334" s="20" t="s">
        <v>5625</v>
      </c>
      <c r="J3334" s="20" t="s">
        <v>3176</v>
      </c>
      <c r="K3334" s="20" t="s">
        <v>10072</v>
      </c>
      <c r="L3334" s="3">
        <v>25</v>
      </c>
      <c r="M3334" s="3" t="s">
        <v>10345</v>
      </c>
      <c r="N3334" s="3" t="str">
        <f>HYPERLINK("http://ictvonline.org/taxonomyHistory.asp?taxnode_id=20163416","ICTVonline=20163416")</f>
        <v>ICTVonline=20163416</v>
      </c>
    </row>
    <row r="3335" spans="1:14" x14ac:dyDescent="0.15">
      <c r="A3335" s="3">
        <v>3334</v>
      </c>
      <c r="B3335" s="1" t="s">
        <v>926</v>
      </c>
      <c r="C3335" s="1" t="s">
        <v>1729</v>
      </c>
      <c r="E3335" s="1" t="s">
        <v>2626</v>
      </c>
      <c r="F3335" s="1" t="s">
        <v>976</v>
      </c>
      <c r="G3335" s="3">
        <v>0</v>
      </c>
      <c r="H3335" s="20" t="s">
        <v>7235</v>
      </c>
      <c r="I3335" s="20" t="s">
        <v>5596</v>
      </c>
      <c r="J3335" s="20" t="s">
        <v>3176</v>
      </c>
      <c r="K3335" s="20" t="s">
        <v>10016</v>
      </c>
      <c r="L3335" s="3">
        <v>28</v>
      </c>
      <c r="M3335" s="3" t="s">
        <v>10343</v>
      </c>
      <c r="N3335" s="3" t="str">
        <f>HYPERLINK("http://ictvonline.org/taxonomyHistory.asp?taxnode_id=20163418","ICTVonline=20163418")</f>
        <v>ICTVonline=20163418</v>
      </c>
    </row>
    <row r="3336" spans="1:14" x14ac:dyDescent="0.15">
      <c r="A3336" s="3">
        <v>3335</v>
      </c>
      <c r="B3336" s="1" t="s">
        <v>926</v>
      </c>
      <c r="C3336" s="1" t="s">
        <v>1729</v>
      </c>
      <c r="E3336" s="1" t="s">
        <v>2626</v>
      </c>
      <c r="F3336" s="1" t="s">
        <v>977</v>
      </c>
      <c r="G3336" s="3">
        <v>0</v>
      </c>
      <c r="H3336" s="20" t="s">
        <v>5626</v>
      </c>
      <c r="I3336" s="20" t="s">
        <v>5627</v>
      </c>
      <c r="J3336" s="20" t="s">
        <v>3176</v>
      </c>
      <c r="K3336" s="20" t="s">
        <v>10016</v>
      </c>
      <c r="L3336" s="3">
        <v>28</v>
      </c>
      <c r="M3336" s="3" t="s">
        <v>10343</v>
      </c>
      <c r="N3336" s="3" t="str">
        <f>HYPERLINK("http://ictvonline.org/taxonomyHistory.asp?taxnode_id=20163419","ICTVonline=20163419")</f>
        <v>ICTVonline=20163419</v>
      </c>
    </row>
    <row r="3337" spans="1:14" x14ac:dyDescent="0.15">
      <c r="A3337" s="3">
        <v>3336</v>
      </c>
      <c r="B3337" s="1" t="s">
        <v>926</v>
      </c>
      <c r="C3337" s="1" t="s">
        <v>1729</v>
      </c>
      <c r="E3337" s="1" t="s">
        <v>2626</v>
      </c>
      <c r="F3337" s="1" t="s">
        <v>2627</v>
      </c>
      <c r="G3337" s="3">
        <v>0</v>
      </c>
      <c r="H3337" s="20" t="s">
        <v>7236</v>
      </c>
      <c r="I3337" s="20" t="s">
        <v>5628</v>
      </c>
      <c r="J3337" s="20" t="s">
        <v>3176</v>
      </c>
      <c r="K3337" s="20" t="s">
        <v>10013</v>
      </c>
      <c r="L3337" s="3">
        <v>28</v>
      </c>
      <c r="M3337" s="3" t="s">
        <v>10343</v>
      </c>
      <c r="N3337" s="3" t="str">
        <f>HYPERLINK("http://ictvonline.org/taxonomyHistory.asp?taxnode_id=20163420","ICTVonline=20163420")</f>
        <v>ICTVonline=20163420</v>
      </c>
    </row>
    <row r="3338" spans="1:14" x14ac:dyDescent="0.15">
      <c r="A3338" s="3">
        <v>3337</v>
      </c>
      <c r="B3338" s="1" t="s">
        <v>926</v>
      </c>
      <c r="C3338" s="1" t="s">
        <v>1729</v>
      </c>
      <c r="E3338" s="1" t="s">
        <v>2626</v>
      </c>
      <c r="F3338" s="1" t="s">
        <v>2628</v>
      </c>
      <c r="G3338" s="3">
        <v>1</v>
      </c>
      <c r="H3338" s="20" t="s">
        <v>5629</v>
      </c>
      <c r="I3338" s="20" t="s">
        <v>5630</v>
      </c>
      <c r="J3338" s="20" t="s">
        <v>3176</v>
      </c>
      <c r="K3338" s="20" t="s">
        <v>10013</v>
      </c>
      <c r="L3338" s="3">
        <v>28</v>
      </c>
      <c r="M3338" s="3" t="s">
        <v>10343</v>
      </c>
      <c r="N3338" s="3" t="str">
        <f>HYPERLINK("http://ictvonline.org/taxonomyHistory.asp?taxnode_id=20163421","ICTVonline=20163421")</f>
        <v>ICTVonline=20163421</v>
      </c>
    </row>
    <row r="3339" spans="1:14" x14ac:dyDescent="0.15">
      <c r="A3339" s="3">
        <v>3338</v>
      </c>
      <c r="B3339" s="1" t="s">
        <v>926</v>
      </c>
      <c r="C3339" s="1" t="s">
        <v>1729</v>
      </c>
      <c r="E3339" s="1" t="s">
        <v>2626</v>
      </c>
      <c r="F3339" s="1" t="s">
        <v>2629</v>
      </c>
      <c r="G3339" s="3">
        <v>0</v>
      </c>
      <c r="H3339" s="20" t="s">
        <v>7237</v>
      </c>
      <c r="I3339" s="20" t="s">
        <v>5631</v>
      </c>
      <c r="J3339" s="20" t="s">
        <v>3176</v>
      </c>
      <c r="K3339" s="20" t="s">
        <v>10013</v>
      </c>
      <c r="L3339" s="3">
        <v>28</v>
      </c>
      <c r="M3339" s="3" t="s">
        <v>10343</v>
      </c>
      <c r="N3339" s="3" t="str">
        <f>HYPERLINK("http://ictvonline.org/taxonomyHistory.asp?taxnode_id=20163422","ICTVonline=20163422")</f>
        <v>ICTVonline=20163422</v>
      </c>
    </row>
    <row r="3340" spans="1:14" x14ac:dyDescent="0.15">
      <c r="A3340" s="3">
        <v>3339</v>
      </c>
      <c r="B3340" s="1" t="s">
        <v>926</v>
      </c>
      <c r="C3340" s="1" t="s">
        <v>1729</v>
      </c>
      <c r="E3340" s="1" t="s">
        <v>2630</v>
      </c>
      <c r="F3340" s="1" t="s">
        <v>631</v>
      </c>
      <c r="G3340" s="3">
        <v>0</v>
      </c>
      <c r="H3340" s="20" t="s">
        <v>7238</v>
      </c>
      <c r="I3340" s="20" t="s">
        <v>5632</v>
      </c>
      <c r="J3340" s="20" t="s">
        <v>3176</v>
      </c>
      <c r="K3340" s="20" t="s">
        <v>10016</v>
      </c>
      <c r="L3340" s="3">
        <v>28</v>
      </c>
      <c r="M3340" s="3" t="s">
        <v>10343</v>
      </c>
      <c r="N3340" s="3" t="str">
        <f>HYPERLINK("http://ictvonline.org/taxonomyHistory.asp?taxnode_id=20163424","ICTVonline=20163424")</f>
        <v>ICTVonline=20163424</v>
      </c>
    </row>
    <row r="3341" spans="1:14" x14ac:dyDescent="0.15">
      <c r="A3341" s="3">
        <v>3340</v>
      </c>
      <c r="B3341" s="1" t="s">
        <v>926</v>
      </c>
      <c r="C3341" s="1" t="s">
        <v>1729</v>
      </c>
      <c r="E3341" s="1" t="s">
        <v>2630</v>
      </c>
      <c r="F3341" s="1" t="s">
        <v>1657</v>
      </c>
      <c r="G3341" s="3">
        <v>0</v>
      </c>
      <c r="H3341" s="20" t="s">
        <v>7239</v>
      </c>
      <c r="I3341" s="20" t="s">
        <v>6466</v>
      </c>
      <c r="J3341" s="20" t="s">
        <v>3176</v>
      </c>
      <c r="K3341" s="20" t="s">
        <v>10016</v>
      </c>
      <c r="L3341" s="3">
        <v>28</v>
      </c>
      <c r="M3341" s="3" t="s">
        <v>10343</v>
      </c>
      <c r="N3341" s="3" t="str">
        <f>HYPERLINK("http://ictvonline.org/taxonomyHistory.asp?taxnode_id=20163425","ICTVonline=20163425")</f>
        <v>ICTVonline=20163425</v>
      </c>
    </row>
    <row r="3342" spans="1:14" x14ac:dyDescent="0.15">
      <c r="A3342" s="3">
        <v>3341</v>
      </c>
      <c r="B3342" s="1" t="s">
        <v>926</v>
      </c>
      <c r="C3342" s="1" t="s">
        <v>1729</v>
      </c>
      <c r="E3342" s="1" t="s">
        <v>2630</v>
      </c>
      <c r="F3342" s="1" t="s">
        <v>1988</v>
      </c>
      <c r="G3342" s="3">
        <v>0</v>
      </c>
      <c r="H3342" s="20" t="s">
        <v>7240</v>
      </c>
      <c r="I3342" s="20" t="s">
        <v>5633</v>
      </c>
      <c r="J3342" s="20" t="s">
        <v>3176</v>
      </c>
      <c r="K3342" s="20" t="s">
        <v>10016</v>
      </c>
      <c r="L3342" s="3">
        <v>28</v>
      </c>
      <c r="M3342" s="3" t="s">
        <v>10343</v>
      </c>
      <c r="N3342" s="3" t="str">
        <f>HYPERLINK("http://ictvonline.org/taxonomyHistory.asp?taxnode_id=20163426","ICTVonline=20163426")</f>
        <v>ICTVonline=20163426</v>
      </c>
    </row>
    <row r="3343" spans="1:14" x14ac:dyDescent="0.15">
      <c r="A3343" s="3">
        <v>3342</v>
      </c>
      <c r="B3343" s="1" t="s">
        <v>926</v>
      </c>
      <c r="C3343" s="1" t="s">
        <v>1729</v>
      </c>
      <c r="E3343" s="1" t="s">
        <v>2630</v>
      </c>
      <c r="F3343" s="1" t="s">
        <v>1990</v>
      </c>
      <c r="G3343" s="3">
        <v>0</v>
      </c>
      <c r="H3343" s="20" t="s">
        <v>7241</v>
      </c>
      <c r="I3343" s="20" t="s">
        <v>5634</v>
      </c>
      <c r="J3343" s="20" t="s">
        <v>3176</v>
      </c>
      <c r="K3343" s="20" t="s">
        <v>10016</v>
      </c>
      <c r="L3343" s="3">
        <v>28</v>
      </c>
      <c r="M3343" s="3" t="s">
        <v>10343</v>
      </c>
      <c r="N3343" s="3" t="str">
        <f>HYPERLINK("http://ictvonline.org/taxonomyHistory.asp?taxnode_id=20163427","ICTVonline=20163427")</f>
        <v>ICTVonline=20163427</v>
      </c>
    </row>
    <row r="3344" spans="1:14" x14ac:dyDescent="0.15">
      <c r="A3344" s="3">
        <v>3343</v>
      </c>
      <c r="B3344" s="1" t="s">
        <v>926</v>
      </c>
      <c r="C3344" s="1" t="s">
        <v>1729</v>
      </c>
      <c r="E3344" s="1" t="s">
        <v>2630</v>
      </c>
      <c r="F3344" s="1" t="s">
        <v>918</v>
      </c>
      <c r="G3344" s="3">
        <v>0</v>
      </c>
      <c r="H3344" s="20" t="s">
        <v>7242</v>
      </c>
      <c r="I3344" s="20" t="s">
        <v>5635</v>
      </c>
      <c r="J3344" s="20" t="s">
        <v>3176</v>
      </c>
      <c r="K3344" s="20" t="s">
        <v>10016</v>
      </c>
      <c r="L3344" s="3">
        <v>28</v>
      </c>
      <c r="M3344" s="3" t="s">
        <v>10343</v>
      </c>
      <c r="N3344" s="3" t="str">
        <f>HYPERLINK("http://ictvonline.org/taxonomyHistory.asp?taxnode_id=20163428","ICTVonline=20163428")</f>
        <v>ICTVonline=20163428</v>
      </c>
    </row>
    <row r="3345" spans="1:14" x14ac:dyDescent="0.15">
      <c r="A3345" s="3">
        <v>3344</v>
      </c>
      <c r="B3345" s="1" t="s">
        <v>926</v>
      </c>
      <c r="C3345" s="1" t="s">
        <v>1729</v>
      </c>
      <c r="E3345" s="1" t="s">
        <v>2630</v>
      </c>
      <c r="F3345" s="1" t="s">
        <v>1280</v>
      </c>
      <c r="G3345" s="3">
        <v>0</v>
      </c>
      <c r="H3345" s="20" t="s">
        <v>7243</v>
      </c>
      <c r="I3345" s="20" t="s">
        <v>5636</v>
      </c>
      <c r="J3345" s="20" t="s">
        <v>3176</v>
      </c>
      <c r="K3345" s="20" t="s">
        <v>10016</v>
      </c>
      <c r="L3345" s="3">
        <v>28</v>
      </c>
      <c r="M3345" s="3" t="s">
        <v>10343</v>
      </c>
      <c r="N3345" s="3" t="str">
        <f>HYPERLINK("http://ictvonline.org/taxonomyHistory.asp?taxnode_id=20163429","ICTVonline=20163429")</f>
        <v>ICTVonline=20163429</v>
      </c>
    </row>
    <row r="3346" spans="1:14" x14ac:dyDescent="0.15">
      <c r="A3346" s="3">
        <v>3345</v>
      </c>
      <c r="B3346" s="1" t="s">
        <v>926</v>
      </c>
      <c r="C3346" s="1" t="s">
        <v>1729</v>
      </c>
      <c r="E3346" s="1" t="s">
        <v>2630</v>
      </c>
      <c r="F3346" s="1" t="s">
        <v>1281</v>
      </c>
      <c r="G3346" s="3">
        <v>0</v>
      </c>
      <c r="H3346" s="20" t="s">
        <v>7244</v>
      </c>
      <c r="I3346" s="20" t="s">
        <v>4610</v>
      </c>
      <c r="J3346" s="20" t="s">
        <v>3176</v>
      </c>
      <c r="K3346" s="20" t="s">
        <v>10016</v>
      </c>
      <c r="L3346" s="3">
        <v>28</v>
      </c>
      <c r="M3346" s="3" t="s">
        <v>10343</v>
      </c>
      <c r="N3346" s="3" t="str">
        <f>HYPERLINK("http://ictvonline.org/taxonomyHistory.asp?taxnode_id=20163430","ICTVonline=20163430")</f>
        <v>ICTVonline=20163430</v>
      </c>
    </row>
    <row r="3347" spans="1:14" x14ac:dyDescent="0.15">
      <c r="A3347" s="3">
        <v>3346</v>
      </c>
      <c r="B3347" s="1" t="s">
        <v>926</v>
      </c>
      <c r="C3347" s="1" t="s">
        <v>1729</v>
      </c>
      <c r="E3347" s="1" t="s">
        <v>2630</v>
      </c>
      <c r="F3347" s="1" t="s">
        <v>910</v>
      </c>
      <c r="G3347" s="3">
        <v>1</v>
      </c>
      <c r="H3347" s="20" t="s">
        <v>7245</v>
      </c>
      <c r="I3347" s="20" t="s">
        <v>5637</v>
      </c>
      <c r="J3347" s="20" t="s">
        <v>3176</v>
      </c>
      <c r="K3347" s="20" t="s">
        <v>10016</v>
      </c>
      <c r="L3347" s="3">
        <v>28</v>
      </c>
      <c r="M3347" s="3" t="s">
        <v>10343</v>
      </c>
      <c r="N3347" s="3" t="str">
        <f>HYPERLINK("http://ictvonline.org/taxonomyHistory.asp?taxnode_id=20163431","ICTVonline=20163431")</f>
        <v>ICTVonline=20163431</v>
      </c>
    </row>
    <row r="3348" spans="1:14" x14ac:dyDescent="0.15">
      <c r="A3348" s="3">
        <v>3347</v>
      </c>
      <c r="B3348" s="1" t="s">
        <v>926</v>
      </c>
      <c r="C3348" s="1" t="s">
        <v>1729</v>
      </c>
      <c r="E3348" s="1" t="s">
        <v>926</v>
      </c>
      <c r="F3348" s="1" t="s">
        <v>630</v>
      </c>
      <c r="G3348" s="3">
        <v>0</v>
      </c>
      <c r="J3348" s="20" t="s">
        <v>3176</v>
      </c>
      <c r="K3348" s="20" t="s">
        <v>10016</v>
      </c>
      <c r="L3348" s="3">
        <v>28</v>
      </c>
      <c r="M3348" s="3" t="s">
        <v>10343</v>
      </c>
      <c r="N3348" s="3" t="str">
        <f>HYPERLINK("http://ictvonline.org/taxonomyHistory.asp?taxnode_id=20163433","ICTVonline=20163433")</f>
        <v>ICTVonline=20163433</v>
      </c>
    </row>
    <row r="3349" spans="1:14" x14ac:dyDescent="0.15">
      <c r="A3349" s="3">
        <v>3348</v>
      </c>
      <c r="B3349" s="1" t="s">
        <v>926</v>
      </c>
      <c r="C3349" s="1" t="s">
        <v>1729</v>
      </c>
      <c r="E3349" s="1" t="s">
        <v>926</v>
      </c>
      <c r="F3349" s="1" t="s">
        <v>974</v>
      </c>
      <c r="G3349" s="3">
        <v>0</v>
      </c>
      <c r="J3349" s="20" t="s">
        <v>3176</v>
      </c>
      <c r="K3349" s="20" t="s">
        <v>10016</v>
      </c>
      <c r="L3349" s="3">
        <v>28</v>
      </c>
      <c r="M3349" s="3" t="s">
        <v>10343</v>
      </c>
      <c r="N3349" s="3" t="str">
        <f>HYPERLINK("http://ictvonline.org/taxonomyHistory.asp?taxnode_id=20163434","ICTVonline=20163434")</f>
        <v>ICTVonline=20163434</v>
      </c>
    </row>
    <row r="3350" spans="1:14" x14ac:dyDescent="0.15">
      <c r="A3350" s="3">
        <v>3349</v>
      </c>
      <c r="B3350" s="1" t="s">
        <v>926</v>
      </c>
      <c r="C3350" s="1" t="s">
        <v>1729</v>
      </c>
      <c r="E3350" s="1" t="s">
        <v>926</v>
      </c>
      <c r="F3350" s="1" t="s">
        <v>978</v>
      </c>
      <c r="G3350" s="3">
        <v>0</v>
      </c>
      <c r="J3350" s="20" t="s">
        <v>3176</v>
      </c>
      <c r="K3350" s="20" t="s">
        <v>10016</v>
      </c>
      <c r="L3350" s="3">
        <v>28</v>
      </c>
      <c r="M3350" s="3" t="s">
        <v>10343</v>
      </c>
      <c r="N3350" s="3" t="str">
        <f>HYPERLINK("http://ictvonline.org/taxonomyHistory.asp?taxnode_id=20163435","ICTVonline=20163435")</f>
        <v>ICTVonline=20163435</v>
      </c>
    </row>
    <row r="3351" spans="1:14" x14ac:dyDescent="0.15">
      <c r="A3351" s="3">
        <v>3350</v>
      </c>
      <c r="B3351" s="1" t="s">
        <v>926</v>
      </c>
      <c r="C3351" s="1" t="s">
        <v>1729</v>
      </c>
      <c r="E3351" s="1" t="s">
        <v>926</v>
      </c>
      <c r="F3351" s="1" t="s">
        <v>979</v>
      </c>
      <c r="G3351" s="3">
        <v>0</v>
      </c>
      <c r="J3351" s="20" t="s">
        <v>3176</v>
      </c>
      <c r="K3351" s="20" t="s">
        <v>10016</v>
      </c>
      <c r="L3351" s="3">
        <v>28</v>
      </c>
      <c r="M3351" s="3" t="s">
        <v>10343</v>
      </c>
      <c r="N3351" s="3" t="str">
        <f>HYPERLINK("http://ictvonline.org/taxonomyHistory.asp?taxnode_id=20163436","ICTVonline=20163436")</f>
        <v>ICTVonline=20163436</v>
      </c>
    </row>
    <row r="3352" spans="1:14" x14ac:dyDescent="0.15">
      <c r="A3352" s="3">
        <v>3351</v>
      </c>
      <c r="B3352" s="1" t="s">
        <v>926</v>
      </c>
      <c r="C3352" s="1" t="s">
        <v>1729</v>
      </c>
      <c r="E3352" s="1" t="s">
        <v>926</v>
      </c>
      <c r="F3352" s="1" t="s">
        <v>626</v>
      </c>
      <c r="G3352" s="3">
        <v>0</v>
      </c>
      <c r="J3352" s="20" t="s">
        <v>3176</v>
      </c>
      <c r="K3352" s="20" t="s">
        <v>10016</v>
      </c>
      <c r="L3352" s="3">
        <v>28</v>
      </c>
      <c r="M3352" s="3" t="s">
        <v>10343</v>
      </c>
      <c r="N3352" s="3" t="str">
        <f>HYPERLINK("http://ictvonline.org/taxonomyHistory.asp?taxnode_id=20163437","ICTVonline=20163437")</f>
        <v>ICTVonline=20163437</v>
      </c>
    </row>
    <row r="3353" spans="1:14" x14ac:dyDescent="0.15">
      <c r="A3353" s="3">
        <v>3352</v>
      </c>
      <c r="B3353" s="1" t="s">
        <v>926</v>
      </c>
      <c r="C3353" s="1" t="s">
        <v>1729</v>
      </c>
      <c r="E3353" s="1" t="s">
        <v>926</v>
      </c>
      <c r="F3353" s="1" t="s">
        <v>980</v>
      </c>
      <c r="G3353" s="3">
        <v>0</v>
      </c>
      <c r="J3353" s="20" t="s">
        <v>3176</v>
      </c>
      <c r="K3353" s="20" t="s">
        <v>10016</v>
      </c>
      <c r="L3353" s="3">
        <v>28</v>
      </c>
      <c r="M3353" s="3" t="s">
        <v>10343</v>
      </c>
      <c r="N3353" s="3" t="str">
        <f>HYPERLINK("http://ictvonline.org/taxonomyHistory.asp?taxnode_id=20163438","ICTVonline=20163438")</f>
        <v>ICTVonline=20163438</v>
      </c>
    </row>
    <row r="3354" spans="1:14" x14ac:dyDescent="0.15">
      <c r="A3354" s="3">
        <v>3353</v>
      </c>
      <c r="B3354" s="1" t="s">
        <v>926</v>
      </c>
      <c r="C3354" s="1" t="s">
        <v>1729</v>
      </c>
      <c r="E3354" s="1" t="s">
        <v>926</v>
      </c>
      <c r="F3354" s="1" t="s">
        <v>981</v>
      </c>
      <c r="G3354" s="3">
        <v>0</v>
      </c>
      <c r="J3354" s="20" t="s">
        <v>3176</v>
      </c>
      <c r="K3354" s="20" t="s">
        <v>10016</v>
      </c>
      <c r="L3354" s="3">
        <v>28</v>
      </c>
      <c r="M3354" s="3" t="s">
        <v>10343</v>
      </c>
      <c r="N3354" s="3" t="str">
        <f>HYPERLINK("http://ictvonline.org/taxonomyHistory.asp?taxnode_id=20163439","ICTVonline=20163439")</f>
        <v>ICTVonline=20163439</v>
      </c>
    </row>
    <row r="3355" spans="1:14" x14ac:dyDescent="0.15">
      <c r="A3355" s="3">
        <v>3354</v>
      </c>
      <c r="B3355" s="1" t="s">
        <v>926</v>
      </c>
      <c r="C3355" s="1" t="s">
        <v>1729</v>
      </c>
      <c r="E3355" s="1" t="s">
        <v>926</v>
      </c>
      <c r="F3355" s="1" t="s">
        <v>1661</v>
      </c>
      <c r="G3355" s="3">
        <v>0</v>
      </c>
      <c r="J3355" s="20" t="s">
        <v>3176</v>
      </c>
      <c r="K3355" s="20" t="s">
        <v>10016</v>
      </c>
      <c r="L3355" s="3">
        <v>28</v>
      </c>
      <c r="M3355" s="3" t="s">
        <v>10343</v>
      </c>
      <c r="N3355" s="3" t="str">
        <f>HYPERLINK("http://ictvonline.org/taxonomyHistory.asp?taxnode_id=20163440","ICTVonline=20163440")</f>
        <v>ICTVonline=20163440</v>
      </c>
    </row>
    <row r="3356" spans="1:14" x14ac:dyDescent="0.15">
      <c r="A3356" s="3">
        <v>3355</v>
      </c>
      <c r="B3356" s="1" t="s">
        <v>926</v>
      </c>
      <c r="C3356" s="1" t="s">
        <v>1729</v>
      </c>
      <c r="E3356" s="1" t="s">
        <v>926</v>
      </c>
      <c r="F3356" s="1" t="s">
        <v>1994</v>
      </c>
      <c r="G3356" s="3">
        <v>0</v>
      </c>
      <c r="J3356" s="20" t="s">
        <v>3176</v>
      </c>
      <c r="K3356" s="20" t="s">
        <v>10016</v>
      </c>
      <c r="L3356" s="3">
        <v>28</v>
      </c>
      <c r="M3356" s="3" t="s">
        <v>10343</v>
      </c>
      <c r="N3356" s="3" t="str">
        <f>HYPERLINK("http://ictvonline.org/taxonomyHistory.asp?taxnode_id=20163441","ICTVonline=20163441")</f>
        <v>ICTVonline=20163441</v>
      </c>
    </row>
    <row r="3357" spans="1:14" x14ac:dyDescent="0.15">
      <c r="A3357" s="3">
        <v>3356</v>
      </c>
      <c r="B3357" s="1" t="s">
        <v>926</v>
      </c>
      <c r="C3357" s="1" t="s">
        <v>1729</v>
      </c>
      <c r="E3357" s="1" t="s">
        <v>926</v>
      </c>
      <c r="F3357" s="1" t="s">
        <v>896</v>
      </c>
      <c r="G3357" s="3">
        <v>0</v>
      </c>
      <c r="J3357" s="20" t="s">
        <v>3176</v>
      </c>
      <c r="K3357" s="20" t="s">
        <v>10016</v>
      </c>
      <c r="L3357" s="3">
        <v>28</v>
      </c>
      <c r="M3357" s="3" t="s">
        <v>10343</v>
      </c>
      <c r="N3357" s="3" t="str">
        <f>HYPERLINK("http://ictvonline.org/taxonomyHistory.asp?taxnode_id=20163442","ICTVonline=20163442")</f>
        <v>ICTVonline=20163442</v>
      </c>
    </row>
    <row r="3358" spans="1:14" x14ac:dyDescent="0.15">
      <c r="A3358" s="3">
        <v>3357</v>
      </c>
      <c r="B3358" s="1" t="s">
        <v>926</v>
      </c>
      <c r="C3358" s="1" t="s">
        <v>1729</v>
      </c>
      <c r="E3358" s="1" t="s">
        <v>926</v>
      </c>
      <c r="F3358" s="1" t="s">
        <v>897</v>
      </c>
      <c r="G3358" s="3">
        <v>0</v>
      </c>
      <c r="J3358" s="20" t="s">
        <v>3176</v>
      </c>
      <c r="K3358" s="20" t="s">
        <v>10016</v>
      </c>
      <c r="L3358" s="3">
        <v>28</v>
      </c>
      <c r="M3358" s="3" t="s">
        <v>10343</v>
      </c>
      <c r="N3358" s="3" t="str">
        <f>HYPERLINK("http://ictvonline.org/taxonomyHistory.asp?taxnode_id=20163443","ICTVonline=20163443")</f>
        <v>ICTVonline=20163443</v>
      </c>
    </row>
    <row r="3359" spans="1:14" x14ac:dyDescent="0.15">
      <c r="A3359" s="3">
        <v>3358</v>
      </c>
      <c r="B3359" s="1" t="s">
        <v>926</v>
      </c>
      <c r="C3359" s="1" t="s">
        <v>1729</v>
      </c>
      <c r="E3359" s="1" t="s">
        <v>926</v>
      </c>
      <c r="F3359" s="1" t="s">
        <v>898</v>
      </c>
      <c r="G3359" s="3">
        <v>0</v>
      </c>
      <c r="J3359" s="20" t="s">
        <v>3176</v>
      </c>
      <c r="K3359" s="20" t="s">
        <v>10016</v>
      </c>
      <c r="L3359" s="3">
        <v>28</v>
      </c>
      <c r="M3359" s="3" t="s">
        <v>10343</v>
      </c>
      <c r="N3359" s="3" t="str">
        <f>HYPERLINK("http://ictvonline.org/taxonomyHistory.asp?taxnode_id=20163444","ICTVonline=20163444")</f>
        <v>ICTVonline=20163444</v>
      </c>
    </row>
    <row r="3360" spans="1:14" x14ac:dyDescent="0.15">
      <c r="A3360" s="3">
        <v>3359</v>
      </c>
      <c r="B3360" s="1" t="s">
        <v>926</v>
      </c>
      <c r="C3360" s="1" t="s">
        <v>1729</v>
      </c>
      <c r="E3360" s="1" t="s">
        <v>926</v>
      </c>
      <c r="F3360" s="1" t="s">
        <v>899</v>
      </c>
      <c r="G3360" s="3">
        <v>0</v>
      </c>
      <c r="J3360" s="20" t="s">
        <v>3176</v>
      </c>
      <c r="K3360" s="20" t="s">
        <v>10016</v>
      </c>
      <c r="L3360" s="3">
        <v>28</v>
      </c>
      <c r="M3360" s="3" t="s">
        <v>10343</v>
      </c>
      <c r="N3360" s="3" t="str">
        <f>HYPERLINK("http://ictvonline.org/taxonomyHistory.asp?taxnode_id=20163445","ICTVonline=20163445")</f>
        <v>ICTVonline=20163445</v>
      </c>
    </row>
    <row r="3361" spans="1:14" x14ac:dyDescent="0.15">
      <c r="A3361" s="3">
        <v>3360</v>
      </c>
      <c r="B3361" s="1" t="s">
        <v>926</v>
      </c>
      <c r="C3361" s="1" t="s">
        <v>1729</v>
      </c>
      <c r="E3361" s="1" t="s">
        <v>926</v>
      </c>
      <c r="F3361" s="1" t="s">
        <v>900</v>
      </c>
      <c r="G3361" s="3">
        <v>0</v>
      </c>
      <c r="J3361" s="20" t="s">
        <v>3176</v>
      </c>
      <c r="K3361" s="20" t="s">
        <v>10016</v>
      </c>
      <c r="L3361" s="3">
        <v>28</v>
      </c>
      <c r="M3361" s="3" t="s">
        <v>10343</v>
      </c>
      <c r="N3361" s="3" t="str">
        <f>HYPERLINK("http://ictvonline.org/taxonomyHistory.asp?taxnode_id=20163446","ICTVonline=20163446")</f>
        <v>ICTVonline=20163446</v>
      </c>
    </row>
    <row r="3362" spans="1:14" x14ac:dyDescent="0.15">
      <c r="A3362" s="3">
        <v>3361</v>
      </c>
      <c r="B3362" s="1" t="s">
        <v>926</v>
      </c>
      <c r="C3362" s="1" t="s">
        <v>1729</v>
      </c>
      <c r="E3362" s="1" t="s">
        <v>926</v>
      </c>
      <c r="F3362" s="1" t="s">
        <v>903</v>
      </c>
      <c r="G3362" s="3">
        <v>0</v>
      </c>
      <c r="J3362" s="20" t="s">
        <v>3176</v>
      </c>
      <c r="K3362" s="20" t="s">
        <v>10016</v>
      </c>
      <c r="L3362" s="3">
        <v>28</v>
      </c>
      <c r="M3362" s="3" t="s">
        <v>10343</v>
      </c>
      <c r="N3362" s="3" t="str">
        <f>HYPERLINK("http://ictvonline.org/taxonomyHistory.asp?taxnode_id=20163447","ICTVonline=20163447")</f>
        <v>ICTVonline=20163447</v>
      </c>
    </row>
    <row r="3363" spans="1:14" x14ac:dyDescent="0.15">
      <c r="A3363" s="3">
        <v>3362</v>
      </c>
      <c r="B3363" s="1" t="s">
        <v>926</v>
      </c>
      <c r="C3363" s="1" t="s">
        <v>1991</v>
      </c>
      <c r="D3363" s="1" t="s">
        <v>1992</v>
      </c>
      <c r="E3363" s="1" t="s">
        <v>2631</v>
      </c>
      <c r="F3363" s="1" t="s">
        <v>9671</v>
      </c>
      <c r="G3363" s="3">
        <v>0</v>
      </c>
      <c r="H3363" s="20" t="s">
        <v>9672</v>
      </c>
      <c r="I3363" s="20" t="s">
        <v>9673</v>
      </c>
      <c r="J3363" s="20" t="s">
        <v>5199</v>
      </c>
      <c r="K3363" s="20" t="s">
        <v>10013</v>
      </c>
      <c r="L3363" s="3">
        <v>31</v>
      </c>
      <c r="M3363" s="3" t="s">
        <v>9674</v>
      </c>
      <c r="N3363" s="3" t="str">
        <f>HYPERLINK("http://ictvonline.org/taxonomyHistory.asp?taxnode_id=20165407","ICTVonline=20165407")</f>
        <v>ICTVonline=20165407</v>
      </c>
    </row>
    <row r="3364" spans="1:14" x14ac:dyDescent="0.15">
      <c r="A3364" s="3">
        <v>3363</v>
      </c>
      <c r="B3364" s="1" t="s">
        <v>926</v>
      </c>
      <c r="C3364" s="1" t="s">
        <v>1991</v>
      </c>
      <c r="D3364" s="1" t="s">
        <v>1992</v>
      </c>
      <c r="E3364" s="1" t="s">
        <v>2631</v>
      </c>
      <c r="F3364" s="1" t="s">
        <v>2632</v>
      </c>
      <c r="G3364" s="3">
        <v>0</v>
      </c>
      <c r="J3364" s="20" t="s">
        <v>5199</v>
      </c>
      <c r="K3364" s="20" t="s">
        <v>10013</v>
      </c>
      <c r="L3364" s="3">
        <v>28</v>
      </c>
      <c r="M3364" s="3" t="s">
        <v>10346</v>
      </c>
      <c r="N3364" s="3" t="str">
        <f>HYPERLINK("http://ictvonline.org/taxonomyHistory.asp?taxnode_id=20163451","ICTVonline=20163451")</f>
        <v>ICTVonline=20163451</v>
      </c>
    </row>
    <row r="3365" spans="1:14" x14ac:dyDescent="0.15">
      <c r="A3365" s="3">
        <v>3364</v>
      </c>
      <c r="B3365" s="1" t="s">
        <v>926</v>
      </c>
      <c r="C3365" s="1" t="s">
        <v>1991</v>
      </c>
      <c r="D3365" s="1" t="s">
        <v>1992</v>
      </c>
      <c r="E3365" s="1" t="s">
        <v>2631</v>
      </c>
      <c r="F3365" s="1" t="s">
        <v>2633</v>
      </c>
      <c r="G3365" s="3">
        <v>0</v>
      </c>
      <c r="J3365" s="20" t="s">
        <v>5199</v>
      </c>
      <c r="K3365" s="20" t="s">
        <v>10013</v>
      </c>
      <c r="L3365" s="3">
        <v>28</v>
      </c>
      <c r="M3365" s="3" t="s">
        <v>10346</v>
      </c>
      <c r="N3365" s="3" t="str">
        <f>HYPERLINK("http://ictvonline.org/taxonomyHistory.asp?taxnode_id=20163452","ICTVonline=20163452")</f>
        <v>ICTVonline=20163452</v>
      </c>
    </row>
    <row r="3366" spans="1:14" x14ac:dyDescent="0.15">
      <c r="A3366" s="3">
        <v>3365</v>
      </c>
      <c r="B3366" s="1" t="s">
        <v>926</v>
      </c>
      <c r="C3366" s="1" t="s">
        <v>1991</v>
      </c>
      <c r="D3366" s="1" t="s">
        <v>1992</v>
      </c>
      <c r="E3366" s="1" t="s">
        <v>2631</v>
      </c>
      <c r="F3366" s="1" t="s">
        <v>9675</v>
      </c>
      <c r="G3366" s="3">
        <v>0</v>
      </c>
      <c r="H3366" s="20" t="s">
        <v>9676</v>
      </c>
      <c r="I3366" s="20" t="s">
        <v>9677</v>
      </c>
      <c r="J3366" s="20" t="s">
        <v>5199</v>
      </c>
      <c r="K3366" s="20" t="s">
        <v>10013</v>
      </c>
      <c r="L3366" s="3">
        <v>31</v>
      </c>
      <c r="M3366" s="3" t="s">
        <v>9674</v>
      </c>
      <c r="N3366" s="3" t="str">
        <f>HYPERLINK("http://ictvonline.org/taxonomyHistory.asp?taxnode_id=20165408","ICTVonline=20165408")</f>
        <v>ICTVonline=20165408</v>
      </c>
    </row>
    <row r="3367" spans="1:14" x14ac:dyDescent="0.15">
      <c r="A3367" s="3">
        <v>3366</v>
      </c>
      <c r="B3367" s="1" t="s">
        <v>926</v>
      </c>
      <c r="C3367" s="1" t="s">
        <v>1991</v>
      </c>
      <c r="D3367" s="1" t="s">
        <v>1992</v>
      </c>
      <c r="E3367" s="1" t="s">
        <v>2631</v>
      </c>
      <c r="F3367" s="1" t="s">
        <v>2634</v>
      </c>
      <c r="G3367" s="3">
        <v>0</v>
      </c>
      <c r="J3367" s="20" t="s">
        <v>5199</v>
      </c>
      <c r="K3367" s="20" t="s">
        <v>10013</v>
      </c>
      <c r="L3367" s="3">
        <v>28</v>
      </c>
      <c r="M3367" s="3" t="s">
        <v>10346</v>
      </c>
      <c r="N3367" s="3" t="str">
        <f>HYPERLINK("http://ictvonline.org/taxonomyHistory.asp?taxnode_id=20163453","ICTVonline=20163453")</f>
        <v>ICTVonline=20163453</v>
      </c>
    </row>
    <row r="3368" spans="1:14" x14ac:dyDescent="0.15">
      <c r="A3368" s="3">
        <v>3367</v>
      </c>
      <c r="B3368" s="1" t="s">
        <v>926</v>
      </c>
      <c r="C3368" s="1" t="s">
        <v>1991</v>
      </c>
      <c r="D3368" s="1" t="s">
        <v>1992</v>
      </c>
      <c r="E3368" s="1" t="s">
        <v>2631</v>
      </c>
      <c r="F3368" s="1" t="s">
        <v>2635</v>
      </c>
      <c r="G3368" s="3">
        <v>0</v>
      </c>
      <c r="J3368" s="20" t="s">
        <v>5199</v>
      </c>
      <c r="K3368" s="20" t="s">
        <v>10013</v>
      </c>
      <c r="L3368" s="3">
        <v>28</v>
      </c>
      <c r="M3368" s="3" t="s">
        <v>10346</v>
      </c>
      <c r="N3368" s="3" t="str">
        <f>HYPERLINK("http://ictvonline.org/taxonomyHistory.asp?taxnode_id=20163454","ICTVonline=20163454")</f>
        <v>ICTVonline=20163454</v>
      </c>
    </row>
    <row r="3369" spans="1:14" x14ac:dyDescent="0.15">
      <c r="A3369" s="3">
        <v>3368</v>
      </c>
      <c r="B3369" s="1" t="s">
        <v>926</v>
      </c>
      <c r="C3369" s="1" t="s">
        <v>1991</v>
      </c>
      <c r="D3369" s="1" t="s">
        <v>1992</v>
      </c>
      <c r="E3369" s="1" t="s">
        <v>2631</v>
      </c>
      <c r="F3369" s="1" t="s">
        <v>9678</v>
      </c>
      <c r="G3369" s="3">
        <v>0</v>
      </c>
      <c r="H3369" s="20" t="s">
        <v>9679</v>
      </c>
      <c r="I3369" s="20" t="s">
        <v>9680</v>
      </c>
      <c r="J3369" s="20" t="s">
        <v>5199</v>
      </c>
      <c r="K3369" s="20" t="s">
        <v>10013</v>
      </c>
      <c r="L3369" s="3">
        <v>31</v>
      </c>
      <c r="M3369" s="3" t="s">
        <v>9674</v>
      </c>
      <c r="N3369" s="3" t="str">
        <f>HYPERLINK("http://ictvonline.org/taxonomyHistory.asp?taxnode_id=20165409","ICTVonline=20165409")</f>
        <v>ICTVonline=20165409</v>
      </c>
    </row>
    <row r="3370" spans="1:14" x14ac:dyDescent="0.15">
      <c r="A3370" s="3">
        <v>3369</v>
      </c>
      <c r="B3370" s="1" t="s">
        <v>926</v>
      </c>
      <c r="C3370" s="1" t="s">
        <v>1991</v>
      </c>
      <c r="D3370" s="1" t="s">
        <v>1992</v>
      </c>
      <c r="E3370" s="1" t="s">
        <v>2631</v>
      </c>
      <c r="F3370" s="1" t="s">
        <v>9681</v>
      </c>
      <c r="G3370" s="3">
        <v>0</v>
      </c>
      <c r="H3370" s="20" t="s">
        <v>9682</v>
      </c>
      <c r="I3370" s="20" t="s">
        <v>9683</v>
      </c>
      <c r="J3370" s="20" t="s">
        <v>5199</v>
      </c>
      <c r="K3370" s="20" t="s">
        <v>10013</v>
      </c>
      <c r="L3370" s="3">
        <v>31</v>
      </c>
      <c r="M3370" s="3" t="s">
        <v>9674</v>
      </c>
      <c r="N3370" s="3" t="str">
        <f>HYPERLINK("http://ictvonline.org/taxonomyHistory.asp?taxnode_id=20165410","ICTVonline=20165410")</f>
        <v>ICTVonline=20165410</v>
      </c>
    </row>
    <row r="3371" spans="1:14" x14ac:dyDescent="0.15">
      <c r="A3371" s="3">
        <v>3370</v>
      </c>
      <c r="B3371" s="1" t="s">
        <v>926</v>
      </c>
      <c r="C3371" s="1" t="s">
        <v>1991</v>
      </c>
      <c r="D3371" s="1" t="s">
        <v>1992</v>
      </c>
      <c r="E3371" s="1" t="s">
        <v>2631</v>
      </c>
      <c r="F3371" s="1" t="s">
        <v>9684</v>
      </c>
      <c r="G3371" s="3">
        <v>0</v>
      </c>
      <c r="H3371" s="20" t="s">
        <v>9685</v>
      </c>
      <c r="I3371" s="20" t="s">
        <v>9686</v>
      </c>
      <c r="J3371" s="20" t="s">
        <v>5199</v>
      </c>
      <c r="K3371" s="20" t="s">
        <v>10013</v>
      </c>
      <c r="L3371" s="3">
        <v>31</v>
      </c>
      <c r="M3371" s="3" t="s">
        <v>9674</v>
      </c>
      <c r="N3371" s="3" t="str">
        <f>HYPERLINK("http://ictvonline.org/taxonomyHistory.asp?taxnode_id=20165411","ICTVonline=20165411")</f>
        <v>ICTVonline=20165411</v>
      </c>
    </row>
    <row r="3372" spans="1:14" x14ac:dyDescent="0.15">
      <c r="A3372" s="3">
        <v>3371</v>
      </c>
      <c r="B3372" s="1" t="s">
        <v>926</v>
      </c>
      <c r="C3372" s="1" t="s">
        <v>1991</v>
      </c>
      <c r="D3372" s="1" t="s">
        <v>1992</v>
      </c>
      <c r="E3372" s="1" t="s">
        <v>2631</v>
      </c>
      <c r="F3372" s="1" t="s">
        <v>2636</v>
      </c>
      <c r="G3372" s="3">
        <v>1</v>
      </c>
      <c r="J3372" s="20" t="s">
        <v>5199</v>
      </c>
      <c r="K3372" s="20" t="s">
        <v>10013</v>
      </c>
      <c r="L3372" s="3">
        <v>28</v>
      </c>
      <c r="M3372" s="3" t="s">
        <v>10346</v>
      </c>
      <c r="N3372" s="3" t="str">
        <f>HYPERLINK("http://ictvonline.org/taxonomyHistory.asp?taxnode_id=20163455","ICTVonline=20163455")</f>
        <v>ICTVonline=20163455</v>
      </c>
    </row>
    <row r="3373" spans="1:14" x14ac:dyDescent="0.15">
      <c r="A3373" s="3">
        <v>3372</v>
      </c>
      <c r="B3373" s="1" t="s">
        <v>926</v>
      </c>
      <c r="C3373" s="1" t="s">
        <v>1991</v>
      </c>
      <c r="D3373" s="1" t="s">
        <v>1992</v>
      </c>
      <c r="E3373" s="1" t="s">
        <v>2631</v>
      </c>
      <c r="F3373" s="1" t="s">
        <v>2637</v>
      </c>
      <c r="G3373" s="3">
        <v>0</v>
      </c>
      <c r="J3373" s="20" t="s">
        <v>5199</v>
      </c>
      <c r="K3373" s="20" t="s">
        <v>10013</v>
      </c>
      <c r="L3373" s="3">
        <v>28</v>
      </c>
      <c r="M3373" s="3" t="s">
        <v>10346</v>
      </c>
      <c r="N3373" s="3" t="str">
        <f>HYPERLINK("http://ictvonline.org/taxonomyHistory.asp?taxnode_id=20163456","ICTVonline=20163456")</f>
        <v>ICTVonline=20163456</v>
      </c>
    </row>
    <row r="3374" spans="1:14" x14ac:dyDescent="0.15">
      <c r="A3374" s="3">
        <v>3373</v>
      </c>
      <c r="B3374" s="1" t="s">
        <v>926</v>
      </c>
      <c r="C3374" s="1" t="s">
        <v>1991</v>
      </c>
      <c r="D3374" s="1" t="s">
        <v>1992</v>
      </c>
      <c r="E3374" s="1" t="s">
        <v>1993</v>
      </c>
      <c r="F3374" s="1" t="s">
        <v>2638</v>
      </c>
      <c r="G3374" s="3">
        <v>1</v>
      </c>
      <c r="J3374" s="20" t="s">
        <v>5199</v>
      </c>
      <c r="K3374" s="20" t="s">
        <v>10013</v>
      </c>
      <c r="L3374" s="3">
        <v>28</v>
      </c>
      <c r="M3374" s="3" t="s">
        <v>10346</v>
      </c>
      <c r="N3374" s="3" t="str">
        <f>HYPERLINK("http://ictvonline.org/taxonomyHistory.asp?taxnode_id=20163458","ICTVonline=20163458")</f>
        <v>ICTVonline=20163458</v>
      </c>
    </row>
    <row r="3375" spans="1:14" x14ac:dyDescent="0.15">
      <c r="A3375" s="3">
        <v>3374</v>
      </c>
      <c r="B3375" s="1" t="s">
        <v>926</v>
      </c>
      <c r="C3375" s="1" t="s">
        <v>1991</v>
      </c>
      <c r="D3375" s="1" t="s">
        <v>1992</v>
      </c>
      <c r="E3375" s="1" t="s">
        <v>1993</v>
      </c>
      <c r="F3375" s="1" t="s">
        <v>2639</v>
      </c>
      <c r="G3375" s="3">
        <v>0</v>
      </c>
      <c r="J3375" s="20" t="s">
        <v>5199</v>
      </c>
      <c r="K3375" s="20" t="s">
        <v>10013</v>
      </c>
      <c r="L3375" s="3">
        <v>28</v>
      </c>
      <c r="M3375" s="3" t="s">
        <v>10346</v>
      </c>
      <c r="N3375" s="3" t="str">
        <f>HYPERLINK("http://ictvonline.org/taxonomyHistory.asp?taxnode_id=20163459","ICTVonline=20163459")</f>
        <v>ICTVonline=20163459</v>
      </c>
    </row>
    <row r="3376" spans="1:14" x14ac:dyDescent="0.15">
      <c r="A3376" s="3">
        <v>3375</v>
      </c>
      <c r="B3376" s="1" t="s">
        <v>926</v>
      </c>
      <c r="C3376" s="1" t="s">
        <v>1991</v>
      </c>
      <c r="D3376" s="1" t="s">
        <v>1992</v>
      </c>
      <c r="E3376" s="1" t="s">
        <v>2640</v>
      </c>
      <c r="F3376" s="1" t="s">
        <v>2641</v>
      </c>
      <c r="G3376" s="3">
        <v>1</v>
      </c>
      <c r="J3376" s="20" t="s">
        <v>5199</v>
      </c>
      <c r="K3376" s="20" t="s">
        <v>10013</v>
      </c>
      <c r="L3376" s="3">
        <v>28</v>
      </c>
      <c r="M3376" s="3" t="s">
        <v>10346</v>
      </c>
      <c r="N3376" s="3" t="str">
        <f>HYPERLINK("http://ictvonline.org/taxonomyHistory.asp?taxnode_id=20163461","ICTVonline=20163461")</f>
        <v>ICTVonline=20163461</v>
      </c>
    </row>
    <row r="3377" spans="1:14" x14ac:dyDescent="0.15">
      <c r="A3377" s="3">
        <v>3376</v>
      </c>
      <c r="B3377" s="1" t="s">
        <v>926</v>
      </c>
      <c r="C3377" s="1" t="s">
        <v>1991</v>
      </c>
      <c r="D3377" s="1" t="s">
        <v>1992</v>
      </c>
      <c r="E3377" s="1" t="s">
        <v>2642</v>
      </c>
      <c r="F3377" s="1" t="s">
        <v>2643</v>
      </c>
      <c r="G3377" s="3">
        <v>1</v>
      </c>
      <c r="J3377" s="20" t="s">
        <v>5199</v>
      </c>
      <c r="K3377" s="20" t="s">
        <v>10013</v>
      </c>
      <c r="L3377" s="3">
        <v>28</v>
      </c>
      <c r="M3377" s="3" t="s">
        <v>10346</v>
      </c>
      <c r="N3377" s="3" t="str">
        <f>HYPERLINK("http://ictvonline.org/taxonomyHistory.asp?taxnode_id=20163463","ICTVonline=20163463")</f>
        <v>ICTVonline=20163463</v>
      </c>
    </row>
    <row r="3378" spans="1:14" x14ac:dyDescent="0.15">
      <c r="A3378" s="3">
        <v>3377</v>
      </c>
      <c r="B3378" s="1" t="s">
        <v>926</v>
      </c>
      <c r="C3378" s="1" t="s">
        <v>1991</v>
      </c>
      <c r="D3378" s="1" t="s">
        <v>1992</v>
      </c>
      <c r="E3378" s="1" t="s">
        <v>2642</v>
      </c>
      <c r="F3378" s="1" t="s">
        <v>2644</v>
      </c>
      <c r="G3378" s="3">
        <v>0</v>
      </c>
      <c r="J3378" s="20" t="s">
        <v>5199</v>
      </c>
      <c r="K3378" s="20" t="s">
        <v>10013</v>
      </c>
      <c r="L3378" s="3">
        <v>28</v>
      </c>
      <c r="M3378" s="3" t="s">
        <v>10346</v>
      </c>
      <c r="N3378" s="3" t="str">
        <f>HYPERLINK("http://ictvonline.org/taxonomyHistory.asp?taxnode_id=20163464","ICTVonline=20163464")</f>
        <v>ICTVonline=20163464</v>
      </c>
    </row>
    <row r="3379" spans="1:14" x14ac:dyDescent="0.15">
      <c r="A3379" s="3">
        <v>3378</v>
      </c>
      <c r="B3379" s="1" t="s">
        <v>926</v>
      </c>
      <c r="C3379" s="1" t="s">
        <v>1991</v>
      </c>
      <c r="D3379" s="1" t="s">
        <v>1992</v>
      </c>
      <c r="E3379" s="1" t="s">
        <v>2642</v>
      </c>
      <c r="F3379" s="1" t="s">
        <v>2645</v>
      </c>
      <c r="G3379" s="3">
        <v>0</v>
      </c>
      <c r="J3379" s="20" t="s">
        <v>5199</v>
      </c>
      <c r="K3379" s="20" t="s">
        <v>10013</v>
      </c>
      <c r="L3379" s="3">
        <v>28</v>
      </c>
      <c r="M3379" s="3" t="s">
        <v>10346</v>
      </c>
      <c r="N3379" s="3" t="str">
        <f>HYPERLINK("http://ictvonline.org/taxonomyHistory.asp?taxnode_id=20163465","ICTVonline=20163465")</f>
        <v>ICTVonline=20163465</v>
      </c>
    </row>
    <row r="3380" spans="1:14" x14ac:dyDescent="0.15">
      <c r="A3380" s="3">
        <v>3379</v>
      </c>
      <c r="B3380" s="1" t="s">
        <v>926</v>
      </c>
      <c r="C3380" s="1" t="s">
        <v>1991</v>
      </c>
      <c r="D3380" s="1" t="s">
        <v>1992</v>
      </c>
      <c r="E3380" s="1" t="s">
        <v>2642</v>
      </c>
      <c r="F3380" s="1" t="s">
        <v>2646</v>
      </c>
      <c r="G3380" s="3">
        <v>0</v>
      </c>
      <c r="J3380" s="20" t="s">
        <v>5199</v>
      </c>
      <c r="K3380" s="20" t="s">
        <v>10013</v>
      </c>
      <c r="L3380" s="3">
        <v>28</v>
      </c>
      <c r="M3380" s="3" t="s">
        <v>10346</v>
      </c>
      <c r="N3380" s="3" t="str">
        <f>HYPERLINK("http://ictvonline.org/taxonomyHistory.asp?taxnode_id=20163466","ICTVonline=20163466")</f>
        <v>ICTVonline=20163466</v>
      </c>
    </row>
    <row r="3381" spans="1:14" x14ac:dyDescent="0.15">
      <c r="A3381" s="3">
        <v>3380</v>
      </c>
      <c r="B3381" s="1" t="s">
        <v>926</v>
      </c>
      <c r="C3381" s="1" t="s">
        <v>1991</v>
      </c>
      <c r="D3381" s="1" t="s">
        <v>1992</v>
      </c>
      <c r="E3381" s="1" t="s">
        <v>2642</v>
      </c>
      <c r="F3381" s="1" t="s">
        <v>2647</v>
      </c>
      <c r="G3381" s="3">
        <v>0</v>
      </c>
      <c r="J3381" s="20" t="s">
        <v>5199</v>
      </c>
      <c r="K3381" s="20" t="s">
        <v>10013</v>
      </c>
      <c r="L3381" s="3">
        <v>28</v>
      </c>
      <c r="M3381" s="3" t="s">
        <v>10346</v>
      </c>
      <c r="N3381" s="3" t="str">
        <f>HYPERLINK("http://ictvonline.org/taxonomyHistory.asp?taxnode_id=20163467","ICTVonline=20163467")</f>
        <v>ICTVonline=20163467</v>
      </c>
    </row>
    <row r="3382" spans="1:14" x14ac:dyDescent="0.15">
      <c r="A3382" s="3">
        <v>3381</v>
      </c>
      <c r="B3382" s="1" t="s">
        <v>926</v>
      </c>
      <c r="C3382" s="1" t="s">
        <v>1991</v>
      </c>
      <c r="D3382" s="1" t="s">
        <v>1992</v>
      </c>
      <c r="E3382" s="1" t="s">
        <v>2648</v>
      </c>
      <c r="F3382" s="1" t="s">
        <v>2649</v>
      </c>
      <c r="G3382" s="3">
        <v>1</v>
      </c>
      <c r="J3382" s="20" t="s">
        <v>5199</v>
      </c>
      <c r="K3382" s="20" t="s">
        <v>10013</v>
      </c>
      <c r="L3382" s="3">
        <v>28</v>
      </c>
      <c r="M3382" s="3" t="s">
        <v>10346</v>
      </c>
      <c r="N3382" s="3" t="str">
        <f>HYPERLINK("http://ictvonline.org/taxonomyHistory.asp?taxnode_id=20163469","ICTVonline=20163469")</f>
        <v>ICTVonline=20163469</v>
      </c>
    </row>
    <row r="3383" spans="1:14" x14ac:dyDescent="0.15">
      <c r="A3383" s="3">
        <v>3382</v>
      </c>
      <c r="B3383" s="1" t="s">
        <v>926</v>
      </c>
      <c r="C3383" s="1" t="s">
        <v>1991</v>
      </c>
      <c r="D3383" s="1" t="s">
        <v>1992</v>
      </c>
      <c r="E3383" s="1" t="s">
        <v>926</v>
      </c>
      <c r="F3383" s="1" t="s">
        <v>9687</v>
      </c>
      <c r="G3383" s="3">
        <v>0</v>
      </c>
      <c r="H3383" s="20" t="s">
        <v>9688</v>
      </c>
      <c r="I3383" s="20" t="s">
        <v>9689</v>
      </c>
      <c r="J3383" s="20" t="s">
        <v>5199</v>
      </c>
      <c r="K3383" s="20" t="s">
        <v>10013</v>
      </c>
      <c r="L3383" s="3">
        <v>31</v>
      </c>
      <c r="M3383" s="3" t="s">
        <v>9674</v>
      </c>
      <c r="N3383" s="3" t="str">
        <f>HYPERLINK("http://ictvonline.org/taxonomyHistory.asp?taxnode_id=20165412","ICTVonline=20165412")</f>
        <v>ICTVonline=20165412</v>
      </c>
    </row>
    <row r="3384" spans="1:14" x14ac:dyDescent="0.15">
      <c r="A3384" s="3">
        <v>3383</v>
      </c>
      <c r="B3384" s="1" t="s">
        <v>926</v>
      </c>
      <c r="C3384" s="1" t="s">
        <v>1991</v>
      </c>
      <c r="D3384" s="1" t="s">
        <v>1673</v>
      </c>
      <c r="E3384" s="1" t="s">
        <v>2650</v>
      </c>
      <c r="F3384" s="1" t="s">
        <v>2651</v>
      </c>
      <c r="G3384" s="3">
        <v>1</v>
      </c>
      <c r="J3384" s="20" t="s">
        <v>5199</v>
      </c>
      <c r="K3384" s="20" t="s">
        <v>10013</v>
      </c>
      <c r="L3384" s="3">
        <v>28</v>
      </c>
      <c r="M3384" s="3" t="s">
        <v>10346</v>
      </c>
      <c r="N3384" s="3" t="str">
        <f>HYPERLINK("http://ictvonline.org/taxonomyHistory.asp?taxnode_id=20163472","ICTVonline=20163472")</f>
        <v>ICTVonline=20163472</v>
      </c>
    </row>
    <row r="3385" spans="1:14" x14ac:dyDescent="0.15">
      <c r="A3385" s="3">
        <v>3384</v>
      </c>
      <c r="B3385" s="1" t="s">
        <v>926</v>
      </c>
      <c r="C3385" s="1" t="s">
        <v>1991</v>
      </c>
      <c r="D3385" s="1" t="s">
        <v>1673</v>
      </c>
      <c r="E3385" s="1" t="s">
        <v>2650</v>
      </c>
      <c r="F3385" s="1" t="s">
        <v>2652</v>
      </c>
      <c r="G3385" s="3">
        <v>0</v>
      </c>
      <c r="J3385" s="20" t="s">
        <v>5199</v>
      </c>
      <c r="K3385" s="20" t="s">
        <v>10013</v>
      </c>
      <c r="L3385" s="3">
        <v>28</v>
      </c>
      <c r="M3385" s="3" t="s">
        <v>10346</v>
      </c>
      <c r="N3385" s="3" t="str">
        <f>HYPERLINK("http://ictvonline.org/taxonomyHistory.asp?taxnode_id=20163473","ICTVonline=20163473")</f>
        <v>ICTVonline=20163473</v>
      </c>
    </row>
    <row r="3386" spans="1:14" x14ac:dyDescent="0.15">
      <c r="A3386" s="3">
        <v>3385</v>
      </c>
      <c r="B3386" s="1" t="s">
        <v>926</v>
      </c>
      <c r="C3386" s="1" t="s">
        <v>1991</v>
      </c>
      <c r="D3386" s="1" t="s">
        <v>1673</v>
      </c>
      <c r="E3386" s="1" t="s">
        <v>2653</v>
      </c>
      <c r="F3386" s="1" t="s">
        <v>2654</v>
      </c>
      <c r="G3386" s="3">
        <v>1</v>
      </c>
      <c r="J3386" s="20" t="s">
        <v>5199</v>
      </c>
      <c r="K3386" s="20" t="s">
        <v>10013</v>
      </c>
      <c r="L3386" s="3">
        <v>28</v>
      </c>
      <c r="M3386" s="3" t="s">
        <v>10346</v>
      </c>
      <c r="N3386" s="3" t="str">
        <f>HYPERLINK("http://ictvonline.org/taxonomyHistory.asp?taxnode_id=20163475","ICTVonline=20163475")</f>
        <v>ICTVonline=20163475</v>
      </c>
    </row>
    <row r="3387" spans="1:14" x14ac:dyDescent="0.15">
      <c r="A3387" s="3">
        <v>3386</v>
      </c>
      <c r="B3387" s="1" t="s">
        <v>926</v>
      </c>
      <c r="C3387" s="1" t="s">
        <v>1991</v>
      </c>
      <c r="D3387" s="1" t="s">
        <v>1673</v>
      </c>
      <c r="E3387" s="1" t="s">
        <v>2655</v>
      </c>
      <c r="F3387" s="1" t="s">
        <v>2656</v>
      </c>
      <c r="G3387" s="3">
        <v>0</v>
      </c>
      <c r="J3387" s="20" t="s">
        <v>5199</v>
      </c>
      <c r="K3387" s="20" t="s">
        <v>10013</v>
      </c>
      <c r="L3387" s="3">
        <v>28</v>
      </c>
      <c r="M3387" s="3" t="s">
        <v>10346</v>
      </c>
      <c r="N3387" s="3" t="str">
        <f>HYPERLINK("http://ictvonline.org/taxonomyHistory.asp?taxnode_id=20163477","ICTVonline=20163477")</f>
        <v>ICTVonline=20163477</v>
      </c>
    </row>
    <row r="3388" spans="1:14" x14ac:dyDescent="0.15">
      <c r="A3388" s="3">
        <v>3387</v>
      </c>
      <c r="B3388" s="1" t="s">
        <v>926</v>
      </c>
      <c r="C3388" s="1" t="s">
        <v>1991</v>
      </c>
      <c r="D3388" s="1" t="s">
        <v>1673</v>
      </c>
      <c r="E3388" s="1" t="s">
        <v>2655</v>
      </c>
      <c r="F3388" s="1" t="s">
        <v>2657</v>
      </c>
      <c r="G3388" s="3">
        <v>0</v>
      </c>
      <c r="J3388" s="20" t="s">
        <v>5199</v>
      </c>
      <c r="K3388" s="20" t="s">
        <v>10013</v>
      </c>
      <c r="L3388" s="3">
        <v>28</v>
      </c>
      <c r="M3388" s="3" t="s">
        <v>10346</v>
      </c>
      <c r="N3388" s="3" t="str">
        <f>HYPERLINK("http://ictvonline.org/taxonomyHistory.asp?taxnode_id=20163478","ICTVonline=20163478")</f>
        <v>ICTVonline=20163478</v>
      </c>
    </row>
    <row r="3389" spans="1:14" x14ac:dyDescent="0.15">
      <c r="A3389" s="3">
        <v>3388</v>
      </c>
      <c r="B3389" s="1" t="s">
        <v>926</v>
      </c>
      <c r="C3389" s="1" t="s">
        <v>1991</v>
      </c>
      <c r="D3389" s="1" t="s">
        <v>1673</v>
      </c>
      <c r="E3389" s="1" t="s">
        <v>2655</v>
      </c>
      <c r="F3389" s="1" t="s">
        <v>2658</v>
      </c>
      <c r="G3389" s="3">
        <v>0</v>
      </c>
      <c r="J3389" s="20" t="s">
        <v>5199</v>
      </c>
      <c r="K3389" s="20" t="s">
        <v>10013</v>
      </c>
      <c r="L3389" s="3">
        <v>28</v>
      </c>
      <c r="M3389" s="3" t="s">
        <v>10346</v>
      </c>
      <c r="N3389" s="3" t="str">
        <f>HYPERLINK("http://ictvonline.org/taxonomyHistory.asp?taxnode_id=20163479","ICTVonline=20163479")</f>
        <v>ICTVonline=20163479</v>
      </c>
    </row>
    <row r="3390" spans="1:14" x14ac:dyDescent="0.15">
      <c r="A3390" s="3">
        <v>3389</v>
      </c>
      <c r="B3390" s="1" t="s">
        <v>926</v>
      </c>
      <c r="C3390" s="1" t="s">
        <v>1991</v>
      </c>
      <c r="D3390" s="1" t="s">
        <v>1673</v>
      </c>
      <c r="E3390" s="1" t="s">
        <v>2655</v>
      </c>
      <c r="F3390" s="1" t="s">
        <v>2659</v>
      </c>
      <c r="G3390" s="3">
        <v>0</v>
      </c>
      <c r="J3390" s="20" t="s">
        <v>5199</v>
      </c>
      <c r="K3390" s="20" t="s">
        <v>10013</v>
      </c>
      <c r="L3390" s="3">
        <v>28</v>
      </c>
      <c r="M3390" s="3" t="s">
        <v>10346</v>
      </c>
      <c r="N3390" s="3" t="str">
        <f>HYPERLINK("http://ictvonline.org/taxonomyHistory.asp?taxnode_id=20163480","ICTVonline=20163480")</f>
        <v>ICTVonline=20163480</v>
      </c>
    </row>
    <row r="3391" spans="1:14" x14ac:dyDescent="0.15">
      <c r="A3391" s="3">
        <v>3390</v>
      </c>
      <c r="B3391" s="1" t="s">
        <v>926</v>
      </c>
      <c r="C3391" s="1" t="s">
        <v>1991</v>
      </c>
      <c r="D3391" s="1" t="s">
        <v>1673</v>
      </c>
      <c r="E3391" s="1" t="s">
        <v>2655</v>
      </c>
      <c r="F3391" s="1" t="s">
        <v>2660</v>
      </c>
      <c r="G3391" s="3">
        <v>0</v>
      </c>
      <c r="J3391" s="20" t="s">
        <v>5199</v>
      </c>
      <c r="K3391" s="20" t="s">
        <v>10013</v>
      </c>
      <c r="L3391" s="3">
        <v>28</v>
      </c>
      <c r="M3391" s="3" t="s">
        <v>10346</v>
      </c>
      <c r="N3391" s="3" t="str">
        <f>HYPERLINK("http://ictvonline.org/taxonomyHistory.asp?taxnode_id=20163481","ICTVonline=20163481")</f>
        <v>ICTVonline=20163481</v>
      </c>
    </row>
    <row r="3392" spans="1:14" x14ac:dyDescent="0.15">
      <c r="A3392" s="3">
        <v>3391</v>
      </c>
      <c r="B3392" s="1" t="s">
        <v>926</v>
      </c>
      <c r="C3392" s="1" t="s">
        <v>1991</v>
      </c>
      <c r="D3392" s="1" t="s">
        <v>1673</v>
      </c>
      <c r="E3392" s="1" t="s">
        <v>2655</v>
      </c>
      <c r="F3392" s="1" t="s">
        <v>2661</v>
      </c>
      <c r="G3392" s="3">
        <v>0</v>
      </c>
      <c r="J3392" s="20" t="s">
        <v>5199</v>
      </c>
      <c r="K3392" s="20" t="s">
        <v>10013</v>
      </c>
      <c r="L3392" s="3">
        <v>28</v>
      </c>
      <c r="M3392" s="3" t="s">
        <v>10346</v>
      </c>
      <c r="N3392" s="3" t="str">
        <f>HYPERLINK("http://ictvonline.org/taxonomyHistory.asp?taxnode_id=20163482","ICTVonline=20163482")</f>
        <v>ICTVonline=20163482</v>
      </c>
    </row>
    <row r="3393" spans="1:14" x14ac:dyDescent="0.15">
      <c r="A3393" s="3">
        <v>3392</v>
      </c>
      <c r="B3393" s="1" t="s">
        <v>926</v>
      </c>
      <c r="C3393" s="1" t="s">
        <v>1991</v>
      </c>
      <c r="D3393" s="1" t="s">
        <v>1673</v>
      </c>
      <c r="E3393" s="1" t="s">
        <v>2655</v>
      </c>
      <c r="F3393" s="1" t="s">
        <v>2662</v>
      </c>
      <c r="G3393" s="3">
        <v>0</v>
      </c>
      <c r="J3393" s="20" t="s">
        <v>5199</v>
      </c>
      <c r="K3393" s="20" t="s">
        <v>10013</v>
      </c>
      <c r="L3393" s="3">
        <v>28</v>
      </c>
      <c r="M3393" s="3" t="s">
        <v>10346</v>
      </c>
      <c r="N3393" s="3" t="str">
        <f>HYPERLINK("http://ictvonline.org/taxonomyHistory.asp?taxnode_id=20163483","ICTVonline=20163483")</f>
        <v>ICTVonline=20163483</v>
      </c>
    </row>
    <row r="3394" spans="1:14" x14ac:dyDescent="0.15">
      <c r="A3394" s="3">
        <v>3393</v>
      </c>
      <c r="B3394" s="1" t="s">
        <v>926</v>
      </c>
      <c r="C3394" s="1" t="s">
        <v>1991</v>
      </c>
      <c r="D3394" s="1" t="s">
        <v>1673</v>
      </c>
      <c r="E3394" s="1" t="s">
        <v>2655</v>
      </c>
      <c r="F3394" s="1" t="s">
        <v>2663</v>
      </c>
      <c r="G3394" s="3">
        <v>1</v>
      </c>
      <c r="J3394" s="20" t="s">
        <v>5199</v>
      </c>
      <c r="K3394" s="20" t="s">
        <v>10013</v>
      </c>
      <c r="L3394" s="3">
        <v>28</v>
      </c>
      <c r="M3394" s="3" t="s">
        <v>10346</v>
      </c>
      <c r="N3394" s="3" t="str">
        <f>HYPERLINK("http://ictvonline.org/taxonomyHistory.asp?taxnode_id=20163484","ICTVonline=20163484")</f>
        <v>ICTVonline=20163484</v>
      </c>
    </row>
    <row r="3395" spans="1:14" x14ac:dyDescent="0.15">
      <c r="A3395" s="3">
        <v>3394</v>
      </c>
      <c r="B3395" s="1" t="s">
        <v>926</v>
      </c>
      <c r="C3395" s="1" t="s">
        <v>1991</v>
      </c>
      <c r="D3395" s="1" t="s">
        <v>1673</v>
      </c>
      <c r="E3395" s="1" t="s">
        <v>2655</v>
      </c>
      <c r="F3395" s="1" t="s">
        <v>2664</v>
      </c>
      <c r="G3395" s="3">
        <v>0</v>
      </c>
      <c r="J3395" s="20" t="s">
        <v>5199</v>
      </c>
      <c r="K3395" s="20" t="s">
        <v>10013</v>
      </c>
      <c r="L3395" s="3">
        <v>28</v>
      </c>
      <c r="M3395" s="3" t="s">
        <v>10346</v>
      </c>
      <c r="N3395" s="3" t="str">
        <f>HYPERLINK("http://ictvonline.org/taxonomyHistory.asp?taxnode_id=20163485","ICTVonline=20163485")</f>
        <v>ICTVonline=20163485</v>
      </c>
    </row>
    <row r="3396" spans="1:14" x14ac:dyDescent="0.15">
      <c r="A3396" s="3">
        <v>3395</v>
      </c>
      <c r="B3396" s="1" t="s">
        <v>926</v>
      </c>
      <c r="C3396" s="1" t="s">
        <v>1991</v>
      </c>
      <c r="D3396" s="1" t="s">
        <v>1673</v>
      </c>
      <c r="E3396" s="1" t="s">
        <v>2655</v>
      </c>
      <c r="F3396" s="1" t="s">
        <v>2665</v>
      </c>
      <c r="G3396" s="3">
        <v>0</v>
      </c>
      <c r="J3396" s="20" t="s">
        <v>5199</v>
      </c>
      <c r="K3396" s="20" t="s">
        <v>10013</v>
      </c>
      <c r="L3396" s="3">
        <v>28</v>
      </c>
      <c r="M3396" s="3" t="s">
        <v>10346</v>
      </c>
      <c r="N3396" s="3" t="str">
        <f>HYPERLINK("http://ictvonline.org/taxonomyHistory.asp?taxnode_id=20163486","ICTVonline=20163486")</f>
        <v>ICTVonline=20163486</v>
      </c>
    </row>
    <row r="3397" spans="1:14" x14ac:dyDescent="0.15">
      <c r="A3397" s="3">
        <v>3396</v>
      </c>
      <c r="B3397" s="1" t="s">
        <v>926</v>
      </c>
      <c r="C3397" s="1" t="s">
        <v>1991</v>
      </c>
      <c r="D3397" s="1" t="s">
        <v>1673</v>
      </c>
      <c r="E3397" s="1" t="s">
        <v>2655</v>
      </c>
      <c r="F3397" s="1" t="s">
        <v>2666</v>
      </c>
      <c r="G3397" s="3">
        <v>0</v>
      </c>
      <c r="J3397" s="20" t="s">
        <v>5199</v>
      </c>
      <c r="K3397" s="20" t="s">
        <v>10013</v>
      </c>
      <c r="L3397" s="3">
        <v>28</v>
      </c>
      <c r="M3397" s="3" t="s">
        <v>10346</v>
      </c>
      <c r="N3397" s="3" t="str">
        <f>HYPERLINK("http://ictvonline.org/taxonomyHistory.asp?taxnode_id=20163487","ICTVonline=20163487")</f>
        <v>ICTVonline=20163487</v>
      </c>
    </row>
    <row r="3398" spans="1:14" x14ac:dyDescent="0.15">
      <c r="A3398" s="3">
        <v>3397</v>
      </c>
      <c r="B3398" s="1" t="s">
        <v>926</v>
      </c>
      <c r="C3398" s="1" t="s">
        <v>1991</v>
      </c>
      <c r="D3398" s="1" t="s">
        <v>1673</v>
      </c>
      <c r="E3398" s="1" t="s">
        <v>2655</v>
      </c>
      <c r="F3398" s="1" t="s">
        <v>2667</v>
      </c>
      <c r="G3398" s="3">
        <v>0</v>
      </c>
      <c r="J3398" s="20" t="s">
        <v>5199</v>
      </c>
      <c r="K3398" s="20" t="s">
        <v>10013</v>
      </c>
      <c r="L3398" s="3">
        <v>28</v>
      </c>
      <c r="M3398" s="3" t="s">
        <v>10346</v>
      </c>
      <c r="N3398" s="3" t="str">
        <f>HYPERLINK("http://ictvonline.org/taxonomyHistory.asp?taxnode_id=20163488","ICTVonline=20163488")</f>
        <v>ICTVonline=20163488</v>
      </c>
    </row>
    <row r="3399" spans="1:14" x14ac:dyDescent="0.15">
      <c r="A3399" s="3">
        <v>3398</v>
      </c>
      <c r="B3399" s="1" t="s">
        <v>926</v>
      </c>
      <c r="C3399" s="1" t="s">
        <v>1991</v>
      </c>
      <c r="D3399" s="1" t="s">
        <v>1673</v>
      </c>
      <c r="E3399" s="1" t="s">
        <v>2668</v>
      </c>
      <c r="F3399" s="1" t="s">
        <v>2669</v>
      </c>
      <c r="G3399" s="3">
        <v>1</v>
      </c>
      <c r="J3399" s="20" t="s">
        <v>5199</v>
      </c>
      <c r="K3399" s="20" t="s">
        <v>10013</v>
      </c>
      <c r="L3399" s="3">
        <v>28</v>
      </c>
      <c r="M3399" s="3" t="s">
        <v>10346</v>
      </c>
      <c r="N3399" s="3" t="str">
        <f>HYPERLINK("http://ictvonline.org/taxonomyHistory.asp?taxnode_id=20163490","ICTVonline=20163490")</f>
        <v>ICTVonline=20163490</v>
      </c>
    </row>
    <row r="3400" spans="1:14" x14ac:dyDescent="0.15">
      <c r="A3400" s="3">
        <v>3399</v>
      </c>
      <c r="B3400" s="1" t="s">
        <v>926</v>
      </c>
      <c r="C3400" s="1" t="s">
        <v>1991</v>
      </c>
      <c r="D3400" s="1" t="s">
        <v>1673</v>
      </c>
      <c r="E3400" s="1" t="s">
        <v>2668</v>
      </c>
      <c r="F3400" s="1" t="s">
        <v>2670</v>
      </c>
      <c r="G3400" s="3">
        <v>0</v>
      </c>
      <c r="J3400" s="20" t="s">
        <v>5199</v>
      </c>
      <c r="K3400" s="20" t="s">
        <v>10013</v>
      </c>
      <c r="L3400" s="3">
        <v>28</v>
      </c>
      <c r="M3400" s="3" t="s">
        <v>10346</v>
      </c>
      <c r="N3400" s="3" t="str">
        <f>HYPERLINK("http://ictvonline.org/taxonomyHistory.asp?taxnode_id=20163491","ICTVonline=20163491")</f>
        <v>ICTVonline=20163491</v>
      </c>
    </row>
    <row r="3401" spans="1:14" x14ac:dyDescent="0.15">
      <c r="A3401" s="3">
        <v>3400</v>
      </c>
      <c r="B3401" s="1" t="s">
        <v>926</v>
      </c>
      <c r="C3401" s="1" t="s">
        <v>1991</v>
      </c>
      <c r="D3401" s="1" t="s">
        <v>1673</v>
      </c>
      <c r="E3401" s="1" t="s">
        <v>2671</v>
      </c>
      <c r="F3401" s="1" t="s">
        <v>2672</v>
      </c>
      <c r="G3401" s="3">
        <v>1</v>
      </c>
      <c r="J3401" s="20" t="s">
        <v>5199</v>
      </c>
      <c r="K3401" s="20" t="s">
        <v>10013</v>
      </c>
      <c r="L3401" s="3">
        <v>28</v>
      </c>
      <c r="M3401" s="3" t="s">
        <v>10346</v>
      </c>
      <c r="N3401" s="3" t="str">
        <f>HYPERLINK("http://ictvonline.org/taxonomyHistory.asp?taxnode_id=20163493","ICTVonline=20163493")</f>
        <v>ICTVonline=20163493</v>
      </c>
    </row>
    <row r="3402" spans="1:14" x14ac:dyDescent="0.15">
      <c r="A3402" s="3">
        <v>3401</v>
      </c>
      <c r="B3402" s="1" t="s">
        <v>926</v>
      </c>
      <c r="C3402" s="1" t="s">
        <v>1991</v>
      </c>
      <c r="D3402" s="1" t="s">
        <v>1673</v>
      </c>
      <c r="E3402" s="1" t="s">
        <v>2671</v>
      </c>
      <c r="F3402" s="1" t="s">
        <v>2673</v>
      </c>
      <c r="G3402" s="3">
        <v>0</v>
      </c>
      <c r="J3402" s="20" t="s">
        <v>5199</v>
      </c>
      <c r="K3402" s="20" t="s">
        <v>10013</v>
      </c>
      <c r="L3402" s="3">
        <v>28</v>
      </c>
      <c r="M3402" s="3" t="s">
        <v>10346</v>
      </c>
      <c r="N3402" s="3" t="str">
        <f>HYPERLINK("http://ictvonline.org/taxonomyHistory.asp?taxnode_id=20163494","ICTVonline=20163494")</f>
        <v>ICTVonline=20163494</v>
      </c>
    </row>
    <row r="3403" spans="1:14" x14ac:dyDescent="0.15">
      <c r="A3403" s="3">
        <v>3402</v>
      </c>
      <c r="B3403" s="1" t="s">
        <v>926</v>
      </c>
      <c r="C3403" s="1" t="s">
        <v>1991</v>
      </c>
      <c r="D3403" s="1" t="s">
        <v>1673</v>
      </c>
      <c r="E3403" s="1" t="s">
        <v>2671</v>
      </c>
      <c r="F3403" s="1" t="s">
        <v>2674</v>
      </c>
      <c r="G3403" s="3">
        <v>0</v>
      </c>
      <c r="J3403" s="20" t="s">
        <v>5199</v>
      </c>
      <c r="K3403" s="20" t="s">
        <v>10013</v>
      </c>
      <c r="L3403" s="3">
        <v>28</v>
      </c>
      <c r="M3403" s="3" t="s">
        <v>10346</v>
      </c>
      <c r="N3403" s="3" t="str">
        <f>HYPERLINK("http://ictvonline.org/taxonomyHistory.asp?taxnode_id=20163495","ICTVonline=20163495")</f>
        <v>ICTVonline=20163495</v>
      </c>
    </row>
    <row r="3404" spans="1:14" x14ac:dyDescent="0.15">
      <c r="A3404" s="3">
        <v>3403</v>
      </c>
      <c r="B3404" s="1" t="s">
        <v>926</v>
      </c>
      <c r="C3404" s="1" t="s">
        <v>1991</v>
      </c>
      <c r="D3404" s="1" t="s">
        <v>1673</v>
      </c>
      <c r="E3404" s="1" t="s">
        <v>2671</v>
      </c>
      <c r="F3404" s="1" t="s">
        <v>2675</v>
      </c>
      <c r="G3404" s="3">
        <v>0</v>
      </c>
      <c r="J3404" s="20" t="s">
        <v>5199</v>
      </c>
      <c r="K3404" s="20" t="s">
        <v>10013</v>
      </c>
      <c r="L3404" s="3">
        <v>28</v>
      </c>
      <c r="M3404" s="3" t="s">
        <v>10346</v>
      </c>
      <c r="N3404" s="3" t="str">
        <f>HYPERLINK("http://ictvonline.org/taxonomyHistory.asp?taxnode_id=20163496","ICTVonline=20163496")</f>
        <v>ICTVonline=20163496</v>
      </c>
    </row>
    <row r="3405" spans="1:14" x14ac:dyDescent="0.15">
      <c r="A3405" s="3">
        <v>3404</v>
      </c>
      <c r="B3405" s="1" t="s">
        <v>926</v>
      </c>
      <c r="C3405" s="1" t="s">
        <v>1991</v>
      </c>
      <c r="D3405" s="1" t="s">
        <v>1673</v>
      </c>
      <c r="E3405" s="1" t="s">
        <v>2671</v>
      </c>
      <c r="F3405" s="1" t="s">
        <v>2676</v>
      </c>
      <c r="G3405" s="3">
        <v>0</v>
      </c>
      <c r="J3405" s="20" t="s">
        <v>5199</v>
      </c>
      <c r="K3405" s="20" t="s">
        <v>10013</v>
      </c>
      <c r="L3405" s="3">
        <v>28</v>
      </c>
      <c r="M3405" s="3" t="s">
        <v>10346</v>
      </c>
      <c r="N3405" s="3" t="str">
        <f>HYPERLINK("http://ictvonline.org/taxonomyHistory.asp?taxnode_id=20163497","ICTVonline=20163497")</f>
        <v>ICTVonline=20163497</v>
      </c>
    </row>
    <row r="3406" spans="1:14" x14ac:dyDescent="0.15">
      <c r="A3406" s="3">
        <v>3405</v>
      </c>
      <c r="B3406" s="1" t="s">
        <v>926</v>
      </c>
      <c r="C3406" s="1" t="s">
        <v>1991</v>
      </c>
      <c r="D3406" s="1" t="s">
        <v>1673</v>
      </c>
      <c r="E3406" s="1" t="s">
        <v>2671</v>
      </c>
      <c r="F3406" s="1" t="s">
        <v>2677</v>
      </c>
      <c r="G3406" s="3">
        <v>0</v>
      </c>
      <c r="J3406" s="20" t="s">
        <v>5199</v>
      </c>
      <c r="K3406" s="20" t="s">
        <v>10013</v>
      </c>
      <c r="L3406" s="3">
        <v>28</v>
      </c>
      <c r="M3406" s="3" t="s">
        <v>10346</v>
      </c>
      <c r="N3406" s="3" t="str">
        <f>HYPERLINK("http://ictvonline.org/taxonomyHistory.asp?taxnode_id=20163498","ICTVonline=20163498")</f>
        <v>ICTVonline=20163498</v>
      </c>
    </row>
    <row r="3407" spans="1:14" x14ac:dyDescent="0.15">
      <c r="A3407" s="3">
        <v>3406</v>
      </c>
      <c r="B3407" s="1" t="s">
        <v>926</v>
      </c>
      <c r="C3407" s="1" t="s">
        <v>1991</v>
      </c>
      <c r="D3407" s="1" t="s">
        <v>1673</v>
      </c>
      <c r="E3407" s="1" t="s">
        <v>2671</v>
      </c>
      <c r="F3407" s="1" t="s">
        <v>2678</v>
      </c>
      <c r="G3407" s="3">
        <v>0</v>
      </c>
      <c r="J3407" s="20" t="s">
        <v>5199</v>
      </c>
      <c r="K3407" s="20" t="s">
        <v>10013</v>
      </c>
      <c r="L3407" s="3">
        <v>28</v>
      </c>
      <c r="M3407" s="3" t="s">
        <v>10346</v>
      </c>
      <c r="N3407" s="3" t="str">
        <f>HYPERLINK("http://ictvonline.org/taxonomyHistory.asp?taxnode_id=20163499","ICTVonline=20163499")</f>
        <v>ICTVonline=20163499</v>
      </c>
    </row>
    <row r="3408" spans="1:14" x14ac:dyDescent="0.15">
      <c r="A3408" s="3">
        <v>3407</v>
      </c>
      <c r="B3408" s="1" t="s">
        <v>926</v>
      </c>
      <c r="C3408" s="1" t="s">
        <v>1991</v>
      </c>
      <c r="D3408" s="1" t="s">
        <v>1673</v>
      </c>
      <c r="E3408" s="1" t="s">
        <v>2679</v>
      </c>
      <c r="F3408" s="1" t="s">
        <v>2680</v>
      </c>
      <c r="G3408" s="3">
        <v>1</v>
      </c>
      <c r="J3408" s="20" t="s">
        <v>5199</v>
      </c>
      <c r="K3408" s="20" t="s">
        <v>10013</v>
      </c>
      <c r="L3408" s="3">
        <v>28</v>
      </c>
      <c r="M3408" s="3" t="s">
        <v>10346</v>
      </c>
      <c r="N3408" s="3" t="str">
        <f>HYPERLINK("http://ictvonline.org/taxonomyHistory.asp?taxnode_id=20163501","ICTVonline=20163501")</f>
        <v>ICTVonline=20163501</v>
      </c>
    </row>
    <row r="3409" spans="1:14" x14ac:dyDescent="0.15">
      <c r="A3409" s="3">
        <v>3408</v>
      </c>
      <c r="B3409" s="1" t="s">
        <v>926</v>
      </c>
      <c r="C3409" s="1" t="s">
        <v>1991</v>
      </c>
      <c r="D3409" s="1" t="s">
        <v>1673</v>
      </c>
      <c r="E3409" s="1" t="s">
        <v>2679</v>
      </c>
      <c r="F3409" s="1" t="s">
        <v>2681</v>
      </c>
      <c r="G3409" s="3">
        <v>0</v>
      </c>
      <c r="J3409" s="20" t="s">
        <v>5199</v>
      </c>
      <c r="K3409" s="20" t="s">
        <v>10013</v>
      </c>
      <c r="L3409" s="3">
        <v>28</v>
      </c>
      <c r="M3409" s="3" t="s">
        <v>10346</v>
      </c>
      <c r="N3409" s="3" t="str">
        <f>HYPERLINK("http://ictvonline.org/taxonomyHistory.asp?taxnode_id=20163502","ICTVonline=20163502")</f>
        <v>ICTVonline=20163502</v>
      </c>
    </row>
    <row r="3410" spans="1:14" x14ac:dyDescent="0.15">
      <c r="A3410" s="3">
        <v>3409</v>
      </c>
      <c r="B3410" s="1" t="s">
        <v>926</v>
      </c>
      <c r="C3410" s="1" t="s">
        <v>1991</v>
      </c>
      <c r="D3410" s="1" t="s">
        <v>1673</v>
      </c>
      <c r="E3410" s="1" t="s">
        <v>2679</v>
      </c>
      <c r="F3410" s="1" t="s">
        <v>2682</v>
      </c>
      <c r="G3410" s="3">
        <v>0</v>
      </c>
      <c r="J3410" s="20" t="s">
        <v>5199</v>
      </c>
      <c r="K3410" s="20" t="s">
        <v>10013</v>
      </c>
      <c r="L3410" s="3">
        <v>28</v>
      </c>
      <c r="M3410" s="3" t="s">
        <v>10346</v>
      </c>
      <c r="N3410" s="3" t="str">
        <f>HYPERLINK("http://ictvonline.org/taxonomyHistory.asp?taxnode_id=20163503","ICTVonline=20163503")</f>
        <v>ICTVonline=20163503</v>
      </c>
    </row>
    <row r="3411" spans="1:14" x14ac:dyDescent="0.15">
      <c r="A3411" s="3">
        <v>3410</v>
      </c>
      <c r="B3411" s="1" t="s">
        <v>926</v>
      </c>
      <c r="C3411" s="1" t="s">
        <v>1991</v>
      </c>
      <c r="D3411" s="1" t="s">
        <v>1673</v>
      </c>
      <c r="E3411" s="1" t="s">
        <v>2679</v>
      </c>
      <c r="F3411" s="1" t="s">
        <v>2683</v>
      </c>
      <c r="G3411" s="3">
        <v>0</v>
      </c>
      <c r="J3411" s="20" t="s">
        <v>5199</v>
      </c>
      <c r="K3411" s="20" t="s">
        <v>10013</v>
      </c>
      <c r="L3411" s="3">
        <v>28</v>
      </c>
      <c r="M3411" s="3" t="s">
        <v>10346</v>
      </c>
      <c r="N3411" s="3" t="str">
        <f>HYPERLINK("http://ictvonline.org/taxonomyHistory.asp?taxnode_id=20163504","ICTVonline=20163504")</f>
        <v>ICTVonline=20163504</v>
      </c>
    </row>
    <row r="3412" spans="1:14" x14ac:dyDescent="0.15">
      <c r="A3412" s="3">
        <v>3411</v>
      </c>
      <c r="B3412" s="1" t="s">
        <v>926</v>
      </c>
      <c r="C3412" s="1" t="s">
        <v>1991</v>
      </c>
      <c r="D3412" s="1" t="s">
        <v>1673</v>
      </c>
      <c r="E3412" s="1" t="s">
        <v>2679</v>
      </c>
      <c r="F3412" s="1" t="s">
        <v>2684</v>
      </c>
      <c r="G3412" s="3">
        <v>0</v>
      </c>
      <c r="J3412" s="20" t="s">
        <v>5199</v>
      </c>
      <c r="K3412" s="20" t="s">
        <v>10013</v>
      </c>
      <c r="L3412" s="3">
        <v>28</v>
      </c>
      <c r="M3412" s="3" t="s">
        <v>10346</v>
      </c>
      <c r="N3412" s="3" t="str">
        <f>HYPERLINK("http://ictvonline.org/taxonomyHistory.asp?taxnode_id=20163505","ICTVonline=20163505")</f>
        <v>ICTVonline=20163505</v>
      </c>
    </row>
    <row r="3413" spans="1:14" x14ac:dyDescent="0.15">
      <c r="A3413" s="3">
        <v>3412</v>
      </c>
      <c r="B3413" s="1" t="s">
        <v>926</v>
      </c>
      <c r="C3413" s="1" t="s">
        <v>1991</v>
      </c>
      <c r="D3413" s="1" t="s">
        <v>1673</v>
      </c>
      <c r="E3413" s="1" t="s">
        <v>2679</v>
      </c>
      <c r="F3413" s="1" t="s">
        <v>2685</v>
      </c>
      <c r="G3413" s="3">
        <v>0</v>
      </c>
      <c r="J3413" s="20" t="s">
        <v>5199</v>
      </c>
      <c r="K3413" s="20" t="s">
        <v>10013</v>
      </c>
      <c r="L3413" s="3">
        <v>28</v>
      </c>
      <c r="M3413" s="3" t="s">
        <v>10346</v>
      </c>
      <c r="N3413" s="3" t="str">
        <f>HYPERLINK("http://ictvonline.org/taxonomyHistory.asp?taxnode_id=20163506","ICTVonline=20163506")</f>
        <v>ICTVonline=20163506</v>
      </c>
    </row>
    <row r="3414" spans="1:14" x14ac:dyDescent="0.15">
      <c r="A3414" s="3">
        <v>3413</v>
      </c>
      <c r="B3414" s="1" t="s">
        <v>926</v>
      </c>
      <c r="C3414" s="1" t="s">
        <v>1991</v>
      </c>
      <c r="D3414" s="1" t="s">
        <v>1673</v>
      </c>
      <c r="E3414" s="1" t="s">
        <v>2686</v>
      </c>
      <c r="F3414" s="1" t="s">
        <v>2687</v>
      </c>
      <c r="G3414" s="3">
        <v>0</v>
      </c>
      <c r="J3414" s="20" t="s">
        <v>5199</v>
      </c>
      <c r="K3414" s="20" t="s">
        <v>10013</v>
      </c>
      <c r="L3414" s="3">
        <v>28</v>
      </c>
      <c r="M3414" s="3" t="s">
        <v>10346</v>
      </c>
      <c r="N3414" s="3" t="str">
        <f>HYPERLINK("http://ictvonline.org/taxonomyHistory.asp?taxnode_id=20163508","ICTVonline=20163508")</f>
        <v>ICTVonline=20163508</v>
      </c>
    </row>
    <row r="3415" spans="1:14" x14ac:dyDescent="0.15">
      <c r="A3415" s="3">
        <v>3414</v>
      </c>
      <c r="B3415" s="1" t="s">
        <v>926</v>
      </c>
      <c r="C3415" s="1" t="s">
        <v>1991</v>
      </c>
      <c r="D3415" s="1" t="s">
        <v>1673</v>
      </c>
      <c r="E3415" s="1" t="s">
        <v>2686</v>
      </c>
      <c r="F3415" s="1" t="s">
        <v>2688</v>
      </c>
      <c r="G3415" s="3">
        <v>0</v>
      </c>
      <c r="J3415" s="20" t="s">
        <v>5199</v>
      </c>
      <c r="K3415" s="20" t="s">
        <v>10013</v>
      </c>
      <c r="L3415" s="3">
        <v>28</v>
      </c>
      <c r="M3415" s="3" t="s">
        <v>10346</v>
      </c>
      <c r="N3415" s="3" t="str">
        <f>HYPERLINK("http://ictvonline.org/taxonomyHistory.asp?taxnode_id=20163509","ICTVonline=20163509")</f>
        <v>ICTVonline=20163509</v>
      </c>
    </row>
    <row r="3416" spans="1:14" x14ac:dyDescent="0.15">
      <c r="A3416" s="3">
        <v>3415</v>
      </c>
      <c r="B3416" s="1" t="s">
        <v>926</v>
      </c>
      <c r="C3416" s="1" t="s">
        <v>1991</v>
      </c>
      <c r="D3416" s="1" t="s">
        <v>1673</v>
      </c>
      <c r="E3416" s="1" t="s">
        <v>2686</v>
      </c>
      <c r="F3416" s="1" t="s">
        <v>2689</v>
      </c>
      <c r="G3416" s="3">
        <v>1</v>
      </c>
      <c r="J3416" s="20" t="s">
        <v>5199</v>
      </c>
      <c r="K3416" s="20" t="s">
        <v>10013</v>
      </c>
      <c r="L3416" s="3">
        <v>28</v>
      </c>
      <c r="M3416" s="3" t="s">
        <v>10346</v>
      </c>
      <c r="N3416" s="3" t="str">
        <f>HYPERLINK("http://ictvonline.org/taxonomyHistory.asp?taxnode_id=20163510","ICTVonline=20163510")</f>
        <v>ICTVonline=20163510</v>
      </c>
    </row>
    <row r="3417" spans="1:14" x14ac:dyDescent="0.15">
      <c r="A3417" s="3">
        <v>3416</v>
      </c>
      <c r="B3417" s="1" t="s">
        <v>926</v>
      </c>
      <c r="C3417" s="1" t="s">
        <v>1991</v>
      </c>
      <c r="D3417" s="1" t="s">
        <v>1673</v>
      </c>
      <c r="E3417" s="1" t="s">
        <v>2686</v>
      </c>
      <c r="F3417" s="1" t="s">
        <v>2690</v>
      </c>
      <c r="G3417" s="3">
        <v>0</v>
      </c>
      <c r="J3417" s="20" t="s">
        <v>5199</v>
      </c>
      <c r="K3417" s="20" t="s">
        <v>10013</v>
      </c>
      <c r="L3417" s="3">
        <v>28</v>
      </c>
      <c r="M3417" s="3" t="s">
        <v>10346</v>
      </c>
      <c r="N3417" s="3" t="str">
        <f>HYPERLINK("http://ictvonline.org/taxonomyHistory.asp?taxnode_id=20163511","ICTVonline=20163511")</f>
        <v>ICTVonline=20163511</v>
      </c>
    </row>
    <row r="3418" spans="1:14" x14ac:dyDescent="0.15">
      <c r="A3418" s="3">
        <v>3417</v>
      </c>
      <c r="B3418" s="1" t="s">
        <v>926</v>
      </c>
      <c r="C3418" s="1" t="s">
        <v>1991</v>
      </c>
      <c r="D3418" s="1" t="s">
        <v>1673</v>
      </c>
      <c r="E3418" s="1" t="s">
        <v>2686</v>
      </c>
      <c r="F3418" s="1" t="s">
        <v>2691</v>
      </c>
      <c r="G3418" s="3">
        <v>0</v>
      </c>
      <c r="J3418" s="20" t="s">
        <v>5199</v>
      </c>
      <c r="K3418" s="20" t="s">
        <v>10013</v>
      </c>
      <c r="L3418" s="3">
        <v>28</v>
      </c>
      <c r="M3418" s="3" t="s">
        <v>10346</v>
      </c>
      <c r="N3418" s="3" t="str">
        <f>HYPERLINK("http://ictvonline.org/taxonomyHistory.asp?taxnode_id=20163512","ICTVonline=20163512")</f>
        <v>ICTVonline=20163512</v>
      </c>
    </row>
    <row r="3419" spans="1:14" x14ac:dyDescent="0.15">
      <c r="A3419" s="3">
        <v>3418</v>
      </c>
      <c r="B3419" s="1" t="s">
        <v>926</v>
      </c>
      <c r="C3419" s="1" t="s">
        <v>1991</v>
      </c>
      <c r="D3419" s="1" t="s">
        <v>1673</v>
      </c>
      <c r="E3419" s="1" t="s">
        <v>2692</v>
      </c>
      <c r="F3419" s="1" t="s">
        <v>2693</v>
      </c>
      <c r="G3419" s="3">
        <v>0</v>
      </c>
      <c r="J3419" s="20" t="s">
        <v>5199</v>
      </c>
      <c r="K3419" s="20" t="s">
        <v>10013</v>
      </c>
      <c r="L3419" s="3">
        <v>28</v>
      </c>
      <c r="M3419" s="3" t="s">
        <v>10346</v>
      </c>
      <c r="N3419" s="3" t="str">
        <f>HYPERLINK("http://ictvonline.org/taxonomyHistory.asp?taxnode_id=20163514","ICTVonline=20163514")</f>
        <v>ICTVonline=20163514</v>
      </c>
    </row>
    <row r="3420" spans="1:14" x14ac:dyDescent="0.15">
      <c r="A3420" s="3">
        <v>3419</v>
      </c>
      <c r="B3420" s="1" t="s">
        <v>926</v>
      </c>
      <c r="C3420" s="1" t="s">
        <v>1991</v>
      </c>
      <c r="D3420" s="1" t="s">
        <v>1673</v>
      </c>
      <c r="E3420" s="1" t="s">
        <v>2692</v>
      </c>
      <c r="F3420" s="1" t="s">
        <v>2694</v>
      </c>
      <c r="G3420" s="3">
        <v>1</v>
      </c>
      <c r="J3420" s="20" t="s">
        <v>5199</v>
      </c>
      <c r="K3420" s="20" t="s">
        <v>10013</v>
      </c>
      <c r="L3420" s="3">
        <v>28</v>
      </c>
      <c r="M3420" s="3" t="s">
        <v>10346</v>
      </c>
      <c r="N3420" s="3" t="str">
        <f>HYPERLINK("http://ictvonline.org/taxonomyHistory.asp?taxnode_id=20163515","ICTVonline=20163515")</f>
        <v>ICTVonline=20163515</v>
      </c>
    </row>
    <row r="3421" spans="1:14" x14ac:dyDescent="0.15">
      <c r="A3421" s="3">
        <v>3420</v>
      </c>
      <c r="B3421" s="1" t="s">
        <v>926</v>
      </c>
      <c r="C3421" s="1" t="s">
        <v>1991</v>
      </c>
      <c r="D3421" s="1" t="s">
        <v>1673</v>
      </c>
      <c r="E3421" s="1" t="s">
        <v>2692</v>
      </c>
      <c r="F3421" s="1" t="s">
        <v>2695</v>
      </c>
      <c r="G3421" s="3">
        <v>0</v>
      </c>
      <c r="J3421" s="20" t="s">
        <v>5199</v>
      </c>
      <c r="K3421" s="20" t="s">
        <v>10013</v>
      </c>
      <c r="L3421" s="3">
        <v>28</v>
      </c>
      <c r="M3421" s="3" t="s">
        <v>10346</v>
      </c>
      <c r="N3421" s="3" t="str">
        <f>HYPERLINK("http://ictvonline.org/taxonomyHistory.asp?taxnode_id=20163516","ICTVonline=20163516")</f>
        <v>ICTVonline=20163516</v>
      </c>
    </row>
    <row r="3422" spans="1:14" x14ac:dyDescent="0.15">
      <c r="A3422" s="3">
        <v>3421</v>
      </c>
      <c r="B3422" s="1" t="s">
        <v>926</v>
      </c>
      <c r="C3422" s="1" t="s">
        <v>1991</v>
      </c>
      <c r="D3422" s="1" t="s">
        <v>1673</v>
      </c>
      <c r="E3422" s="1" t="s">
        <v>2692</v>
      </c>
      <c r="F3422" s="1" t="s">
        <v>2696</v>
      </c>
      <c r="G3422" s="3">
        <v>0</v>
      </c>
      <c r="J3422" s="20" t="s">
        <v>5199</v>
      </c>
      <c r="K3422" s="20" t="s">
        <v>10013</v>
      </c>
      <c r="L3422" s="3">
        <v>28</v>
      </c>
      <c r="M3422" s="3" t="s">
        <v>10346</v>
      </c>
      <c r="N3422" s="3" t="str">
        <f>HYPERLINK("http://ictvonline.org/taxonomyHistory.asp?taxnode_id=20163517","ICTVonline=20163517")</f>
        <v>ICTVonline=20163517</v>
      </c>
    </row>
    <row r="3423" spans="1:14" x14ac:dyDescent="0.15">
      <c r="A3423" s="3">
        <v>3422</v>
      </c>
      <c r="B3423" s="1" t="s">
        <v>926</v>
      </c>
      <c r="C3423" s="1" t="s">
        <v>1991</v>
      </c>
      <c r="D3423" s="1" t="s">
        <v>1673</v>
      </c>
      <c r="E3423" s="1" t="s">
        <v>2692</v>
      </c>
      <c r="F3423" s="1" t="s">
        <v>2697</v>
      </c>
      <c r="G3423" s="3">
        <v>0</v>
      </c>
      <c r="J3423" s="20" t="s">
        <v>5199</v>
      </c>
      <c r="K3423" s="20" t="s">
        <v>10013</v>
      </c>
      <c r="L3423" s="3">
        <v>28</v>
      </c>
      <c r="M3423" s="3" t="s">
        <v>10346</v>
      </c>
      <c r="N3423" s="3" t="str">
        <f>HYPERLINK("http://ictvonline.org/taxonomyHistory.asp?taxnode_id=20163518","ICTVonline=20163518")</f>
        <v>ICTVonline=20163518</v>
      </c>
    </row>
    <row r="3424" spans="1:14" x14ac:dyDescent="0.15">
      <c r="A3424" s="3">
        <v>3423</v>
      </c>
      <c r="B3424" s="1" t="s">
        <v>926</v>
      </c>
      <c r="C3424" s="1" t="s">
        <v>1991</v>
      </c>
      <c r="D3424" s="1" t="s">
        <v>1673</v>
      </c>
      <c r="E3424" s="1" t="s">
        <v>2692</v>
      </c>
      <c r="F3424" s="1" t="s">
        <v>2698</v>
      </c>
      <c r="G3424" s="3">
        <v>0</v>
      </c>
      <c r="J3424" s="20" t="s">
        <v>5199</v>
      </c>
      <c r="K3424" s="20" t="s">
        <v>10013</v>
      </c>
      <c r="L3424" s="3">
        <v>28</v>
      </c>
      <c r="M3424" s="3" t="s">
        <v>10346</v>
      </c>
      <c r="N3424" s="3" t="str">
        <f>HYPERLINK("http://ictvonline.org/taxonomyHistory.asp?taxnode_id=20163519","ICTVonline=20163519")</f>
        <v>ICTVonline=20163519</v>
      </c>
    </row>
    <row r="3425" spans="1:14" x14ac:dyDescent="0.15">
      <c r="A3425" s="3">
        <v>3424</v>
      </c>
      <c r="B3425" s="1" t="s">
        <v>926</v>
      </c>
      <c r="C3425" s="1" t="s">
        <v>190</v>
      </c>
      <c r="E3425" s="1" t="s">
        <v>191</v>
      </c>
      <c r="F3425" s="1" t="s">
        <v>1928</v>
      </c>
      <c r="G3425" s="3">
        <v>0</v>
      </c>
      <c r="J3425" s="20" t="s">
        <v>3160</v>
      </c>
      <c r="K3425" s="20" t="s">
        <v>10016</v>
      </c>
      <c r="L3425" s="3">
        <v>26</v>
      </c>
      <c r="M3425" s="3" t="s">
        <v>10192</v>
      </c>
      <c r="N3425" s="3" t="str">
        <f>HYPERLINK("http://ictvonline.org/taxonomyHistory.asp?taxnode_id=20163523","ICTVonline=20163523")</f>
        <v>ICTVonline=20163523</v>
      </c>
    </row>
    <row r="3426" spans="1:14" x14ac:dyDescent="0.15">
      <c r="A3426" s="3">
        <v>3425</v>
      </c>
      <c r="B3426" s="1" t="s">
        <v>926</v>
      </c>
      <c r="C3426" s="1" t="s">
        <v>190</v>
      </c>
      <c r="E3426" s="1" t="s">
        <v>191</v>
      </c>
      <c r="F3426" s="1" t="s">
        <v>1932</v>
      </c>
      <c r="G3426" s="3">
        <v>1</v>
      </c>
      <c r="J3426" s="20" t="s">
        <v>3160</v>
      </c>
      <c r="K3426" s="20" t="s">
        <v>10076</v>
      </c>
      <c r="L3426" s="3">
        <v>26</v>
      </c>
      <c r="M3426" s="3" t="s">
        <v>10192</v>
      </c>
      <c r="N3426" s="3" t="str">
        <f>HYPERLINK("http://ictvonline.org/taxonomyHistory.asp?taxnode_id=20163524","ICTVonline=20163524")</f>
        <v>ICTVonline=20163524</v>
      </c>
    </row>
    <row r="3427" spans="1:14" x14ac:dyDescent="0.15">
      <c r="A3427" s="3">
        <v>3426</v>
      </c>
      <c r="B3427" s="1" t="s">
        <v>926</v>
      </c>
      <c r="C3427" s="1" t="s">
        <v>1388</v>
      </c>
      <c r="E3427" s="1" t="s">
        <v>1389</v>
      </c>
      <c r="F3427" s="1" t="s">
        <v>192</v>
      </c>
      <c r="G3427" s="3">
        <v>0</v>
      </c>
      <c r="J3427" s="20" t="s">
        <v>2860</v>
      </c>
      <c r="K3427" s="20" t="s">
        <v>10013</v>
      </c>
      <c r="L3427" s="3">
        <v>26</v>
      </c>
      <c r="M3427" s="3" t="s">
        <v>10347</v>
      </c>
      <c r="N3427" s="3" t="str">
        <f>HYPERLINK("http://ictvonline.org/taxonomyHistory.asp?taxnode_id=20163528","ICTVonline=20163528")</f>
        <v>ICTVonline=20163528</v>
      </c>
    </row>
    <row r="3428" spans="1:14" x14ac:dyDescent="0.15">
      <c r="A3428" s="3">
        <v>3427</v>
      </c>
      <c r="B3428" s="1" t="s">
        <v>926</v>
      </c>
      <c r="C3428" s="1" t="s">
        <v>1388</v>
      </c>
      <c r="E3428" s="1" t="s">
        <v>1389</v>
      </c>
      <c r="F3428" s="1" t="s">
        <v>1390</v>
      </c>
      <c r="G3428" s="3">
        <v>0</v>
      </c>
      <c r="J3428" s="20" t="s">
        <v>2860</v>
      </c>
      <c r="K3428" s="20" t="s">
        <v>10016</v>
      </c>
      <c r="L3428" s="3">
        <v>17</v>
      </c>
      <c r="M3428" s="3" t="s">
        <v>10208</v>
      </c>
      <c r="N3428" s="3" t="str">
        <f>HYPERLINK("http://ictvonline.org/taxonomyHistory.asp?taxnode_id=20163529","ICTVonline=20163529")</f>
        <v>ICTVonline=20163529</v>
      </c>
    </row>
    <row r="3429" spans="1:14" x14ac:dyDescent="0.15">
      <c r="A3429" s="3">
        <v>3428</v>
      </c>
      <c r="B3429" s="1" t="s">
        <v>926</v>
      </c>
      <c r="C3429" s="1" t="s">
        <v>1388</v>
      </c>
      <c r="E3429" s="1" t="s">
        <v>1389</v>
      </c>
      <c r="F3429" s="1" t="s">
        <v>1391</v>
      </c>
      <c r="G3429" s="3">
        <v>1</v>
      </c>
      <c r="J3429" s="20" t="s">
        <v>2860</v>
      </c>
      <c r="K3429" s="20" t="s">
        <v>10016</v>
      </c>
      <c r="L3429" s="3">
        <v>17</v>
      </c>
      <c r="M3429" s="3" t="s">
        <v>10208</v>
      </c>
      <c r="N3429" s="3" t="str">
        <f>HYPERLINK("http://ictvonline.org/taxonomyHistory.asp?taxnode_id=20163530","ICTVonline=20163530")</f>
        <v>ICTVonline=20163530</v>
      </c>
    </row>
    <row r="3430" spans="1:14" x14ac:dyDescent="0.15">
      <c r="A3430" s="3">
        <v>3429</v>
      </c>
      <c r="B3430" s="1" t="s">
        <v>926</v>
      </c>
      <c r="C3430" s="1" t="s">
        <v>1388</v>
      </c>
      <c r="E3430" s="1" t="s">
        <v>1389</v>
      </c>
      <c r="F3430" s="1" t="s">
        <v>1392</v>
      </c>
      <c r="G3430" s="3">
        <v>0</v>
      </c>
      <c r="J3430" s="20" t="s">
        <v>2860</v>
      </c>
      <c r="K3430" s="20" t="s">
        <v>10016</v>
      </c>
      <c r="L3430" s="3">
        <v>17</v>
      </c>
      <c r="M3430" s="3" t="s">
        <v>10208</v>
      </c>
      <c r="N3430" s="3" t="str">
        <f>HYPERLINK("http://ictvonline.org/taxonomyHistory.asp?taxnode_id=20163531","ICTVonline=20163531")</f>
        <v>ICTVonline=20163531</v>
      </c>
    </row>
    <row r="3431" spans="1:14" x14ac:dyDescent="0.15">
      <c r="A3431" s="3">
        <v>3430</v>
      </c>
      <c r="B3431" s="1" t="s">
        <v>926</v>
      </c>
      <c r="C3431" s="1" t="s">
        <v>1388</v>
      </c>
      <c r="E3431" s="1" t="s">
        <v>1389</v>
      </c>
      <c r="F3431" s="1" t="s">
        <v>1393</v>
      </c>
      <c r="G3431" s="3">
        <v>0</v>
      </c>
      <c r="J3431" s="20" t="s">
        <v>2860</v>
      </c>
      <c r="K3431" s="20" t="s">
        <v>10016</v>
      </c>
      <c r="L3431" s="3">
        <v>17</v>
      </c>
      <c r="M3431" s="3" t="s">
        <v>10208</v>
      </c>
      <c r="N3431" s="3" t="str">
        <f>HYPERLINK("http://ictvonline.org/taxonomyHistory.asp?taxnode_id=20163532","ICTVonline=20163532")</f>
        <v>ICTVonline=20163532</v>
      </c>
    </row>
    <row r="3432" spans="1:14" x14ac:dyDescent="0.15">
      <c r="A3432" s="3">
        <v>3431</v>
      </c>
      <c r="B3432" s="1" t="s">
        <v>926</v>
      </c>
      <c r="C3432" s="1" t="s">
        <v>1388</v>
      </c>
      <c r="E3432" s="1" t="s">
        <v>1389</v>
      </c>
      <c r="F3432" s="1" t="s">
        <v>1020</v>
      </c>
      <c r="G3432" s="3">
        <v>0</v>
      </c>
      <c r="J3432" s="20" t="s">
        <v>2860</v>
      </c>
      <c r="K3432" s="20" t="s">
        <v>10016</v>
      </c>
      <c r="L3432" s="3">
        <v>17</v>
      </c>
      <c r="M3432" s="3" t="s">
        <v>10208</v>
      </c>
      <c r="N3432" s="3" t="str">
        <f>HYPERLINK("http://ictvonline.org/taxonomyHistory.asp?taxnode_id=20163533","ICTVonline=20163533")</f>
        <v>ICTVonline=20163533</v>
      </c>
    </row>
    <row r="3433" spans="1:14" x14ac:dyDescent="0.15">
      <c r="A3433" s="3">
        <v>3432</v>
      </c>
      <c r="B3433" s="1" t="s">
        <v>926</v>
      </c>
      <c r="C3433" s="1" t="s">
        <v>1388</v>
      </c>
      <c r="E3433" s="1" t="s">
        <v>1389</v>
      </c>
      <c r="F3433" s="1" t="s">
        <v>1021</v>
      </c>
      <c r="G3433" s="3">
        <v>0</v>
      </c>
      <c r="J3433" s="20" t="s">
        <v>2860</v>
      </c>
      <c r="K3433" s="20" t="s">
        <v>10016</v>
      </c>
      <c r="L3433" s="3">
        <v>17</v>
      </c>
      <c r="M3433" s="3" t="s">
        <v>10208</v>
      </c>
      <c r="N3433" s="3" t="str">
        <f>HYPERLINK("http://ictvonline.org/taxonomyHistory.asp?taxnode_id=20163534","ICTVonline=20163534")</f>
        <v>ICTVonline=20163534</v>
      </c>
    </row>
    <row r="3434" spans="1:14" x14ac:dyDescent="0.15">
      <c r="A3434" s="3">
        <v>3433</v>
      </c>
      <c r="B3434" s="1" t="s">
        <v>926</v>
      </c>
      <c r="C3434" s="1" t="s">
        <v>1388</v>
      </c>
      <c r="E3434" s="1" t="s">
        <v>1389</v>
      </c>
      <c r="F3434" s="1" t="s">
        <v>667</v>
      </c>
      <c r="G3434" s="3">
        <v>0</v>
      </c>
      <c r="J3434" s="20" t="s">
        <v>2860</v>
      </c>
      <c r="K3434" s="20" t="s">
        <v>10016</v>
      </c>
      <c r="L3434" s="3">
        <v>17</v>
      </c>
      <c r="M3434" s="3" t="s">
        <v>10208</v>
      </c>
      <c r="N3434" s="3" t="str">
        <f>HYPERLINK("http://ictvonline.org/taxonomyHistory.asp?taxnode_id=20163535","ICTVonline=20163535")</f>
        <v>ICTVonline=20163535</v>
      </c>
    </row>
    <row r="3435" spans="1:14" x14ac:dyDescent="0.15">
      <c r="A3435" s="3">
        <v>3434</v>
      </c>
      <c r="B3435" s="1" t="s">
        <v>926</v>
      </c>
      <c r="C3435" s="1" t="s">
        <v>1388</v>
      </c>
      <c r="E3435" s="1" t="s">
        <v>1389</v>
      </c>
      <c r="F3435" s="1" t="s">
        <v>668</v>
      </c>
      <c r="G3435" s="3">
        <v>0</v>
      </c>
      <c r="J3435" s="20" t="s">
        <v>2860</v>
      </c>
      <c r="K3435" s="20" t="s">
        <v>10016</v>
      </c>
      <c r="L3435" s="3">
        <v>17</v>
      </c>
      <c r="M3435" s="3" t="s">
        <v>10208</v>
      </c>
      <c r="N3435" s="3" t="str">
        <f>HYPERLINK("http://ictvonline.org/taxonomyHistory.asp?taxnode_id=20163536","ICTVonline=20163536")</f>
        <v>ICTVonline=20163536</v>
      </c>
    </row>
    <row r="3436" spans="1:14" x14ac:dyDescent="0.15">
      <c r="A3436" s="3">
        <v>3435</v>
      </c>
      <c r="B3436" s="1" t="s">
        <v>926</v>
      </c>
      <c r="C3436" s="1" t="s">
        <v>1388</v>
      </c>
      <c r="E3436" s="1" t="s">
        <v>1389</v>
      </c>
      <c r="F3436" s="1" t="s">
        <v>669</v>
      </c>
      <c r="G3436" s="3">
        <v>0</v>
      </c>
      <c r="J3436" s="20" t="s">
        <v>2860</v>
      </c>
      <c r="K3436" s="20" t="s">
        <v>10016</v>
      </c>
      <c r="L3436" s="3">
        <v>17</v>
      </c>
      <c r="M3436" s="3" t="s">
        <v>10208</v>
      </c>
      <c r="N3436" s="3" t="str">
        <f>HYPERLINK("http://ictvonline.org/taxonomyHistory.asp?taxnode_id=20163537","ICTVonline=20163537")</f>
        <v>ICTVonline=20163537</v>
      </c>
    </row>
    <row r="3437" spans="1:14" x14ac:dyDescent="0.15">
      <c r="A3437" s="3">
        <v>3436</v>
      </c>
      <c r="B3437" s="1" t="s">
        <v>926</v>
      </c>
      <c r="C3437" s="1" t="s">
        <v>1388</v>
      </c>
      <c r="E3437" s="1" t="s">
        <v>1389</v>
      </c>
      <c r="F3437" s="1" t="s">
        <v>851</v>
      </c>
      <c r="G3437" s="3">
        <v>0</v>
      </c>
      <c r="J3437" s="20" t="s">
        <v>2860</v>
      </c>
      <c r="K3437" s="20" t="s">
        <v>10016</v>
      </c>
      <c r="L3437" s="3">
        <v>17</v>
      </c>
      <c r="M3437" s="3" t="s">
        <v>10208</v>
      </c>
      <c r="N3437" s="3" t="str">
        <f>HYPERLINK("http://ictvonline.org/taxonomyHistory.asp?taxnode_id=20163538","ICTVonline=20163538")</f>
        <v>ICTVonline=20163538</v>
      </c>
    </row>
    <row r="3438" spans="1:14" x14ac:dyDescent="0.15">
      <c r="A3438" s="3">
        <v>3437</v>
      </c>
      <c r="B3438" s="1" t="s">
        <v>926</v>
      </c>
      <c r="C3438" s="1" t="s">
        <v>1388</v>
      </c>
      <c r="E3438" s="1" t="s">
        <v>1389</v>
      </c>
      <c r="F3438" s="1" t="s">
        <v>1924</v>
      </c>
      <c r="G3438" s="3">
        <v>0</v>
      </c>
      <c r="J3438" s="20" t="s">
        <v>2860</v>
      </c>
      <c r="K3438" s="20" t="s">
        <v>10016</v>
      </c>
      <c r="L3438" s="3">
        <v>17</v>
      </c>
      <c r="M3438" s="3" t="s">
        <v>10208</v>
      </c>
      <c r="N3438" s="3" t="str">
        <f>HYPERLINK("http://ictvonline.org/taxonomyHistory.asp?taxnode_id=20163539","ICTVonline=20163539")</f>
        <v>ICTVonline=20163539</v>
      </c>
    </row>
    <row r="3439" spans="1:14" x14ac:dyDescent="0.15">
      <c r="A3439" s="3">
        <v>3438</v>
      </c>
      <c r="B3439" s="1" t="s">
        <v>926</v>
      </c>
      <c r="C3439" s="1" t="s">
        <v>1388</v>
      </c>
      <c r="E3439" s="1" t="s">
        <v>1389</v>
      </c>
      <c r="F3439" s="1" t="s">
        <v>1925</v>
      </c>
      <c r="G3439" s="3">
        <v>0</v>
      </c>
      <c r="J3439" s="20" t="s">
        <v>2860</v>
      </c>
      <c r="K3439" s="20" t="s">
        <v>10016</v>
      </c>
      <c r="L3439" s="3">
        <v>17</v>
      </c>
      <c r="M3439" s="3" t="s">
        <v>10208</v>
      </c>
      <c r="N3439" s="3" t="str">
        <f>HYPERLINK("http://ictvonline.org/taxonomyHistory.asp?taxnode_id=20163540","ICTVonline=20163540")</f>
        <v>ICTVonline=20163540</v>
      </c>
    </row>
    <row r="3440" spans="1:14" x14ac:dyDescent="0.15">
      <c r="A3440" s="3">
        <v>3439</v>
      </c>
      <c r="B3440" s="1" t="s">
        <v>926</v>
      </c>
      <c r="C3440" s="1" t="s">
        <v>1388</v>
      </c>
      <c r="E3440" s="1" t="s">
        <v>1389</v>
      </c>
      <c r="F3440" s="1" t="s">
        <v>1926</v>
      </c>
      <c r="G3440" s="3">
        <v>0</v>
      </c>
      <c r="J3440" s="20" t="s">
        <v>2860</v>
      </c>
      <c r="K3440" s="20" t="s">
        <v>10016</v>
      </c>
      <c r="L3440" s="3">
        <v>17</v>
      </c>
      <c r="M3440" s="3" t="s">
        <v>10208</v>
      </c>
      <c r="N3440" s="3" t="str">
        <f>HYPERLINK("http://ictvonline.org/taxonomyHistory.asp?taxnode_id=20163541","ICTVonline=20163541")</f>
        <v>ICTVonline=20163541</v>
      </c>
    </row>
    <row r="3441" spans="1:14" x14ac:dyDescent="0.15">
      <c r="A3441" s="3">
        <v>3440</v>
      </c>
      <c r="B3441" s="1" t="s">
        <v>926</v>
      </c>
      <c r="C3441" s="1" t="s">
        <v>1388</v>
      </c>
      <c r="E3441" s="1" t="s">
        <v>1389</v>
      </c>
      <c r="F3441" s="1" t="s">
        <v>855</v>
      </c>
      <c r="G3441" s="3">
        <v>0</v>
      </c>
      <c r="J3441" s="20" t="s">
        <v>2860</v>
      </c>
      <c r="K3441" s="20" t="s">
        <v>10016</v>
      </c>
      <c r="L3441" s="3">
        <v>17</v>
      </c>
      <c r="M3441" s="3" t="s">
        <v>10208</v>
      </c>
      <c r="N3441" s="3" t="str">
        <f>HYPERLINK("http://ictvonline.org/taxonomyHistory.asp?taxnode_id=20163542","ICTVonline=20163542")</f>
        <v>ICTVonline=20163542</v>
      </c>
    </row>
    <row r="3442" spans="1:14" x14ac:dyDescent="0.15">
      <c r="A3442" s="3">
        <v>3441</v>
      </c>
      <c r="B3442" s="1" t="s">
        <v>926</v>
      </c>
      <c r="C3442" s="1" t="s">
        <v>1388</v>
      </c>
      <c r="E3442" s="1" t="s">
        <v>1389</v>
      </c>
      <c r="F3442" s="1" t="s">
        <v>856</v>
      </c>
      <c r="G3442" s="3">
        <v>0</v>
      </c>
      <c r="J3442" s="20" t="s">
        <v>2860</v>
      </c>
      <c r="K3442" s="20" t="s">
        <v>10016</v>
      </c>
      <c r="L3442" s="3">
        <v>17</v>
      </c>
      <c r="M3442" s="3" t="s">
        <v>10208</v>
      </c>
      <c r="N3442" s="3" t="str">
        <f>HYPERLINK("http://ictvonline.org/taxonomyHistory.asp?taxnode_id=20163543","ICTVonline=20163543")</f>
        <v>ICTVonline=20163543</v>
      </c>
    </row>
    <row r="3443" spans="1:14" x14ac:dyDescent="0.15">
      <c r="A3443" s="3">
        <v>3442</v>
      </c>
      <c r="B3443" s="1" t="s">
        <v>926</v>
      </c>
      <c r="C3443" s="1" t="s">
        <v>1388</v>
      </c>
      <c r="E3443" s="1" t="s">
        <v>1389</v>
      </c>
      <c r="F3443" s="1" t="s">
        <v>1930</v>
      </c>
      <c r="G3443" s="3">
        <v>0</v>
      </c>
      <c r="J3443" s="20" t="s">
        <v>2860</v>
      </c>
      <c r="K3443" s="20" t="s">
        <v>10016</v>
      </c>
      <c r="L3443" s="3">
        <v>17</v>
      </c>
      <c r="M3443" s="3" t="s">
        <v>10208</v>
      </c>
      <c r="N3443" s="3" t="str">
        <f>HYPERLINK("http://ictvonline.org/taxonomyHistory.asp?taxnode_id=20163544","ICTVonline=20163544")</f>
        <v>ICTVonline=20163544</v>
      </c>
    </row>
    <row r="3444" spans="1:14" x14ac:dyDescent="0.15">
      <c r="A3444" s="3">
        <v>3443</v>
      </c>
      <c r="B3444" s="1" t="s">
        <v>926</v>
      </c>
      <c r="C3444" s="1" t="s">
        <v>1388</v>
      </c>
      <c r="E3444" s="1" t="s">
        <v>1389</v>
      </c>
      <c r="F3444" s="1" t="s">
        <v>852</v>
      </c>
      <c r="G3444" s="3">
        <v>0</v>
      </c>
      <c r="J3444" s="20" t="s">
        <v>2860</v>
      </c>
      <c r="K3444" s="20" t="s">
        <v>10016</v>
      </c>
      <c r="L3444" s="3">
        <v>17</v>
      </c>
      <c r="M3444" s="3" t="s">
        <v>10208</v>
      </c>
      <c r="N3444" s="3" t="str">
        <f>HYPERLINK("http://ictvonline.org/taxonomyHistory.asp?taxnode_id=20163545","ICTVonline=20163545")</f>
        <v>ICTVonline=20163545</v>
      </c>
    </row>
    <row r="3445" spans="1:14" x14ac:dyDescent="0.15">
      <c r="A3445" s="3">
        <v>3444</v>
      </c>
      <c r="B3445" s="1" t="s">
        <v>926</v>
      </c>
      <c r="C3445" s="1" t="s">
        <v>1388</v>
      </c>
      <c r="E3445" s="1" t="s">
        <v>1389</v>
      </c>
      <c r="F3445" s="1" t="s">
        <v>853</v>
      </c>
      <c r="G3445" s="3">
        <v>0</v>
      </c>
      <c r="J3445" s="20" t="s">
        <v>2860</v>
      </c>
      <c r="K3445" s="20" t="s">
        <v>10016</v>
      </c>
      <c r="L3445" s="3">
        <v>17</v>
      </c>
      <c r="M3445" s="3" t="s">
        <v>10208</v>
      </c>
      <c r="N3445" s="3" t="str">
        <f>HYPERLINK("http://ictvonline.org/taxonomyHistory.asp?taxnode_id=20163546","ICTVonline=20163546")</f>
        <v>ICTVonline=20163546</v>
      </c>
    </row>
    <row r="3446" spans="1:14" x14ac:dyDescent="0.15">
      <c r="A3446" s="3">
        <v>3445</v>
      </c>
      <c r="B3446" s="1" t="s">
        <v>926</v>
      </c>
      <c r="C3446" s="1" t="s">
        <v>1388</v>
      </c>
      <c r="E3446" s="1" t="s">
        <v>854</v>
      </c>
      <c r="F3446" s="1" t="s">
        <v>934</v>
      </c>
      <c r="G3446" s="3">
        <v>1</v>
      </c>
      <c r="J3446" s="20" t="s">
        <v>2860</v>
      </c>
      <c r="K3446" s="20" t="s">
        <v>10072</v>
      </c>
      <c r="L3446" s="3">
        <v>22</v>
      </c>
      <c r="M3446" s="3" t="s">
        <v>10348</v>
      </c>
      <c r="N3446" s="3" t="str">
        <f>HYPERLINK("http://ictvonline.org/taxonomyHistory.asp?taxnode_id=20163548","ICTVonline=20163548")</f>
        <v>ICTVonline=20163548</v>
      </c>
    </row>
    <row r="3447" spans="1:14" x14ac:dyDescent="0.15">
      <c r="A3447" s="3">
        <v>3446</v>
      </c>
      <c r="B3447" s="1" t="s">
        <v>926</v>
      </c>
      <c r="C3447" s="1" t="s">
        <v>1388</v>
      </c>
      <c r="E3447" s="1" t="s">
        <v>935</v>
      </c>
      <c r="F3447" s="1" t="s">
        <v>936</v>
      </c>
      <c r="G3447" s="3">
        <v>0</v>
      </c>
      <c r="J3447" s="20" t="s">
        <v>2860</v>
      </c>
      <c r="K3447" s="20" t="s">
        <v>10013</v>
      </c>
      <c r="L3447" s="3">
        <v>18</v>
      </c>
      <c r="M3447" s="3" t="s">
        <v>10101</v>
      </c>
      <c r="N3447" s="3" t="str">
        <f>HYPERLINK("http://ictvonline.org/taxonomyHistory.asp?taxnode_id=20163550","ICTVonline=20163550")</f>
        <v>ICTVonline=20163550</v>
      </c>
    </row>
    <row r="3448" spans="1:14" x14ac:dyDescent="0.15">
      <c r="A3448" s="3">
        <v>3447</v>
      </c>
      <c r="B3448" s="1" t="s">
        <v>926</v>
      </c>
      <c r="C3448" s="1" t="s">
        <v>1388</v>
      </c>
      <c r="E3448" s="1" t="s">
        <v>935</v>
      </c>
      <c r="F3448" s="1" t="s">
        <v>952</v>
      </c>
      <c r="G3448" s="3">
        <v>1</v>
      </c>
      <c r="J3448" s="20" t="s">
        <v>2860</v>
      </c>
      <c r="K3448" s="20" t="s">
        <v>10072</v>
      </c>
      <c r="L3448" s="3">
        <v>17</v>
      </c>
      <c r="M3448" s="3" t="s">
        <v>10208</v>
      </c>
      <c r="N3448" s="3" t="str">
        <f>HYPERLINK("http://ictvonline.org/taxonomyHistory.asp?taxnode_id=20163551","ICTVonline=20163551")</f>
        <v>ICTVonline=20163551</v>
      </c>
    </row>
    <row r="3449" spans="1:14" x14ac:dyDescent="0.15">
      <c r="A3449" s="3">
        <v>3448</v>
      </c>
      <c r="B3449" s="1" t="s">
        <v>926</v>
      </c>
      <c r="C3449" s="1" t="s">
        <v>1388</v>
      </c>
      <c r="E3449" s="1" t="s">
        <v>935</v>
      </c>
      <c r="F3449" s="1" t="s">
        <v>953</v>
      </c>
      <c r="G3449" s="3">
        <v>0</v>
      </c>
      <c r="J3449" s="20" t="s">
        <v>2860</v>
      </c>
      <c r="K3449" s="20" t="s">
        <v>10013</v>
      </c>
      <c r="L3449" s="3">
        <v>18</v>
      </c>
      <c r="M3449" s="3" t="s">
        <v>10101</v>
      </c>
      <c r="N3449" s="3" t="str">
        <f>HYPERLINK("http://ictvonline.org/taxonomyHistory.asp?taxnode_id=20163552","ICTVonline=20163552")</f>
        <v>ICTVonline=20163552</v>
      </c>
    </row>
    <row r="3450" spans="1:14" x14ac:dyDescent="0.15">
      <c r="A3450" s="3">
        <v>3449</v>
      </c>
      <c r="B3450" s="1" t="s">
        <v>926</v>
      </c>
      <c r="C3450" s="1" t="s">
        <v>1388</v>
      </c>
      <c r="E3450" s="1" t="s">
        <v>935</v>
      </c>
      <c r="F3450" s="1" t="s">
        <v>954</v>
      </c>
      <c r="G3450" s="3">
        <v>0</v>
      </c>
      <c r="J3450" s="20" t="s">
        <v>2860</v>
      </c>
      <c r="K3450" s="20" t="s">
        <v>10013</v>
      </c>
      <c r="L3450" s="3">
        <v>18</v>
      </c>
      <c r="M3450" s="3" t="s">
        <v>10101</v>
      </c>
      <c r="N3450" s="3" t="str">
        <f>HYPERLINK("http://ictvonline.org/taxonomyHistory.asp?taxnode_id=20163553","ICTVonline=20163553")</f>
        <v>ICTVonline=20163553</v>
      </c>
    </row>
    <row r="3451" spans="1:14" x14ac:dyDescent="0.15">
      <c r="A3451" s="3">
        <v>3450</v>
      </c>
      <c r="B3451" s="1" t="s">
        <v>926</v>
      </c>
      <c r="C3451" s="1" t="s">
        <v>1388</v>
      </c>
      <c r="E3451" s="1" t="s">
        <v>935</v>
      </c>
      <c r="F3451" s="1" t="s">
        <v>955</v>
      </c>
      <c r="G3451" s="3">
        <v>0</v>
      </c>
      <c r="J3451" s="20" t="s">
        <v>2860</v>
      </c>
      <c r="K3451" s="20" t="s">
        <v>10013</v>
      </c>
      <c r="L3451" s="3">
        <v>18</v>
      </c>
      <c r="M3451" s="3" t="s">
        <v>10101</v>
      </c>
      <c r="N3451" s="3" t="str">
        <f>HYPERLINK("http://ictvonline.org/taxonomyHistory.asp?taxnode_id=20163554","ICTVonline=20163554")</f>
        <v>ICTVonline=20163554</v>
      </c>
    </row>
    <row r="3452" spans="1:14" x14ac:dyDescent="0.15">
      <c r="A3452" s="3">
        <v>3451</v>
      </c>
      <c r="B3452" s="1" t="s">
        <v>926</v>
      </c>
      <c r="C3452" s="1" t="s">
        <v>1388</v>
      </c>
      <c r="E3452" s="1" t="s">
        <v>935</v>
      </c>
      <c r="F3452" s="1" t="s">
        <v>956</v>
      </c>
      <c r="G3452" s="3">
        <v>0</v>
      </c>
      <c r="J3452" s="20" t="s">
        <v>2860</v>
      </c>
      <c r="K3452" s="20" t="s">
        <v>10013</v>
      </c>
      <c r="L3452" s="3">
        <v>18</v>
      </c>
      <c r="M3452" s="3" t="s">
        <v>10101</v>
      </c>
      <c r="N3452" s="3" t="str">
        <f>HYPERLINK("http://ictvonline.org/taxonomyHistory.asp?taxnode_id=20163555","ICTVonline=20163555")</f>
        <v>ICTVonline=20163555</v>
      </c>
    </row>
    <row r="3453" spans="1:14" x14ac:dyDescent="0.15">
      <c r="A3453" s="3">
        <v>3452</v>
      </c>
      <c r="B3453" s="1" t="s">
        <v>926</v>
      </c>
      <c r="C3453" s="1" t="s">
        <v>1388</v>
      </c>
      <c r="E3453" s="1" t="s">
        <v>935</v>
      </c>
      <c r="F3453" s="1" t="s">
        <v>957</v>
      </c>
      <c r="G3453" s="3">
        <v>0</v>
      </c>
      <c r="J3453" s="20" t="s">
        <v>2860</v>
      </c>
      <c r="K3453" s="20" t="s">
        <v>10013</v>
      </c>
      <c r="L3453" s="3">
        <v>18</v>
      </c>
      <c r="M3453" s="3" t="s">
        <v>10101</v>
      </c>
      <c r="N3453" s="3" t="str">
        <f>HYPERLINK("http://ictvonline.org/taxonomyHistory.asp?taxnode_id=20163556","ICTVonline=20163556")</f>
        <v>ICTVonline=20163556</v>
      </c>
    </row>
    <row r="3454" spans="1:14" x14ac:dyDescent="0.15">
      <c r="A3454" s="3">
        <v>3453</v>
      </c>
      <c r="B3454" s="1" t="s">
        <v>926</v>
      </c>
      <c r="C3454" s="1" t="s">
        <v>1388</v>
      </c>
      <c r="E3454" s="1" t="s">
        <v>935</v>
      </c>
      <c r="F3454" s="1" t="s">
        <v>958</v>
      </c>
      <c r="G3454" s="3">
        <v>0</v>
      </c>
      <c r="J3454" s="20" t="s">
        <v>2860</v>
      </c>
      <c r="K3454" s="20" t="s">
        <v>10013</v>
      </c>
      <c r="L3454" s="3">
        <v>18</v>
      </c>
      <c r="M3454" s="3" t="s">
        <v>10101</v>
      </c>
      <c r="N3454" s="3" t="str">
        <f>HYPERLINK("http://ictvonline.org/taxonomyHistory.asp?taxnode_id=20163557","ICTVonline=20163557")</f>
        <v>ICTVonline=20163557</v>
      </c>
    </row>
    <row r="3455" spans="1:14" x14ac:dyDescent="0.15">
      <c r="A3455" s="3">
        <v>3454</v>
      </c>
      <c r="B3455" s="1" t="s">
        <v>926</v>
      </c>
      <c r="C3455" s="1" t="s">
        <v>1388</v>
      </c>
      <c r="E3455" s="1" t="s">
        <v>935</v>
      </c>
      <c r="F3455" s="1" t="s">
        <v>959</v>
      </c>
      <c r="G3455" s="3">
        <v>0</v>
      </c>
      <c r="J3455" s="20" t="s">
        <v>2860</v>
      </c>
      <c r="K3455" s="20" t="s">
        <v>10013</v>
      </c>
      <c r="L3455" s="3">
        <v>22</v>
      </c>
      <c r="M3455" s="3" t="s">
        <v>10349</v>
      </c>
      <c r="N3455" s="3" t="str">
        <f>HYPERLINK("http://ictvonline.org/taxonomyHistory.asp?taxnode_id=20163558","ICTVonline=20163558")</f>
        <v>ICTVonline=20163558</v>
      </c>
    </row>
    <row r="3456" spans="1:14" x14ac:dyDescent="0.15">
      <c r="A3456" s="3">
        <v>3455</v>
      </c>
      <c r="B3456" s="1" t="s">
        <v>926</v>
      </c>
      <c r="C3456" s="1" t="s">
        <v>1388</v>
      </c>
      <c r="E3456" s="1" t="s">
        <v>960</v>
      </c>
      <c r="F3456" s="1" t="s">
        <v>961</v>
      </c>
      <c r="G3456" s="3">
        <v>1</v>
      </c>
      <c r="J3456" s="20" t="s">
        <v>2860</v>
      </c>
      <c r="K3456" s="20" t="s">
        <v>10072</v>
      </c>
      <c r="L3456" s="3">
        <v>17</v>
      </c>
      <c r="M3456" s="3" t="s">
        <v>10208</v>
      </c>
      <c r="N3456" s="3" t="str">
        <f>HYPERLINK("http://ictvonline.org/taxonomyHistory.asp?taxnode_id=20163560","ICTVonline=20163560")</f>
        <v>ICTVonline=20163560</v>
      </c>
    </row>
    <row r="3457" spans="1:14" x14ac:dyDescent="0.15">
      <c r="A3457" s="3">
        <v>3456</v>
      </c>
      <c r="B3457" s="1" t="s">
        <v>926</v>
      </c>
      <c r="C3457" s="1" t="s">
        <v>1388</v>
      </c>
      <c r="E3457" s="1" t="s">
        <v>960</v>
      </c>
      <c r="F3457" s="1" t="s">
        <v>193</v>
      </c>
      <c r="G3457" s="3">
        <v>0</v>
      </c>
      <c r="J3457" s="20" t="s">
        <v>2860</v>
      </c>
      <c r="K3457" s="20" t="s">
        <v>10013</v>
      </c>
      <c r="L3457" s="3">
        <v>26</v>
      </c>
      <c r="M3457" s="3" t="s">
        <v>10350</v>
      </c>
      <c r="N3457" s="3" t="str">
        <f>HYPERLINK("http://ictvonline.org/taxonomyHistory.asp?taxnode_id=20163561","ICTVonline=20163561")</f>
        <v>ICTVonline=20163561</v>
      </c>
    </row>
    <row r="3458" spans="1:14" x14ac:dyDescent="0.15">
      <c r="A3458" s="3">
        <v>3457</v>
      </c>
      <c r="B3458" s="1" t="s">
        <v>926</v>
      </c>
      <c r="C3458" s="1" t="s">
        <v>1388</v>
      </c>
      <c r="E3458" s="1" t="s">
        <v>962</v>
      </c>
      <c r="F3458" s="1" t="s">
        <v>963</v>
      </c>
      <c r="G3458" s="3">
        <v>1</v>
      </c>
      <c r="J3458" s="20" t="s">
        <v>2860</v>
      </c>
      <c r="K3458" s="20" t="s">
        <v>10072</v>
      </c>
      <c r="L3458" s="3">
        <v>17</v>
      </c>
      <c r="M3458" s="3" t="s">
        <v>10208</v>
      </c>
      <c r="N3458" s="3" t="str">
        <f>HYPERLINK("http://ictvonline.org/taxonomyHistory.asp?taxnode_id=20163563","ICTVonline=20163563")</f>
        <v>ICTVonline=20163563</v>
      </c>
    </row>
    <row r="3459" spans="1:14" x14ac:dyDescent="0.15">
      <c r="A3459" s="3">
        <v>3458</v>
      </c>
      <c r="B3459" s="1" t="s">
        <v>926</v>
      </c>
      <c r="C3459" s="1" t="s">
        <v>1388</v>
      </c>
      <c r="E3459" s="1" t="s">
        <v>964</v>
      </c>
      <c r="F3459" s="1" t="s">
        <v>965</v>
      </c>
      <c r="G3459" s="3">
        <v>1</v>
      </c>
      <c r="J3459" s="20" t="s">
        <v>2860</v>
      </c>
      <c r="K3459" s="20" t="s">
        <v>10072</v>
      </c>
      <c r="L3459" s="3">
        <v>22</v>
      </c>
      <c r="M3459" s="3" t="s">
        <v>10351</v>
      </c>
      <c r="N3459" s="3" t="str">
        <f>HYPERLINK("http://ictvonline.org/taxonomyHistory.asp?taxnode_id=20163565","ICTVonline=20163565")</f>
        <v>ICTVonline=20163565</v>
      </c>
    </row>
    <row r="3460" spans="1:14" x14ac:dyDescent="0.15">
      <c r="A3460" s="3">
        <v>3459</v>
      </c>
      <c r="B3460" s="1" t="s">
        <v>926</v>
      </c>
      <c r="C3460" s="1" t="s">
        <v>884</v>
      </c>
      <c r="E3460" s="1" t="s">
        <v>885</v>
      </c>
      <c r="F3460" s="1" t="s">
        <v>886</v>
      </c>
      <c r="G3460" s="3">
        <v>1</v>
      </c>
      <c r="J3460" s="20" t="s">
        <v>3176</v>
      </c>
      <c r="K3460" s="20" t="s">
        <v>10072</v>
      </c>
      <c r="L3460" s="3">
        <v>24</v>
      </c>
      <c r="M3460" s="3" t="s">
        <v>10352</v>
      </c>
      <c r="N3460" s="3" t="str">
        <f>HYPERLINK("http://ictvonline.org/taxonomyHistory.asp?taxnode_id=20163569","ICTVonline=20163569")</f>
        <v>ICTVonline=20163569</v>
      </c>
    </row>
    <row r="3461" spans="1:14" x14ac:dyDescent="0.15">
      <c r="A3461" s="3">
        <v>3460</v>
      </c>
      <c r="B3461" s="1" t="s">
        <v>926</v>
      </c>
      <c r="C3461" s="1" t="s">
        <v>884</v>
      </c>
      <c r="E3461" s="1" t="s">
        <v>885</v>
      </c>
      <c r="F3461" s="1" t="s">
        <v>887</v>
      </c>
      <c r="G3461" s="3">
        <v>0</v>
      </c>
      <c r="J3461" s="20" t="s">
        <v>3176</v>
      </c>
      <c r="K3461" s="20" t="s">
        <v>10013</v>
      </c>
      <c r="L3461" s="3">
        <v>24</v>
      </c>
      <c r="M3461" s="3" t="s">
        <v>10352</v>
      </c>
      <c r="N3461" s="3" t="str">
        <f>HYPERLINK("http://ictvonline.org/taxonomyHistory.asp?taxnode_id=20163570","ICTVonline=20163570")</f>
        <v>ICTVonline=20163570</v>
      </c>
    </row>
    <row r="3462" spans="1:14" x14ac:dyDescent="0.15">
      <c r="A3462" s="3">
        <v>3461</v>
      </c>
      <c r="B3462" s="1" t="s">
        <v>926</v>
      </c>
      <c r="C3462" s="1" t="s">
        <v>970</v>
      </c>
      <c r="E3462" s="1" t="s">
        <v>971</v>
      </c>
      <c r="F3462" s="1" t="s">
        <v>5638</v>
      </c>
      <c r="G3462" s="3">
        <v>1</v>
      </c>
      <c r="J3462" s="20" t="s">
        <v>2860</v>
      </c>
      <c r="K3462" s="20" t="s">
        <v>10021</v>
      </c>
      <c r="L3462" s="3">
        <v>30</v>
      </c>
      <c r="M3462" s="3" t="s">
        <v>10017</v>
      </c>
      <c r="N3462" s="3" t="str">
        <f>HYPERLINK("http://ictvonline.org/taxonomyHistory.asp?taxnode_id=20163574","ICTVonline=20163574")</f>
        <v>ICTVonline=20163574</v>
      </c>
    </row>
    <row r="3463" spans="1:14" x14ac:dyDescent="0.15">
      <c r="A3463" s="3">
        <v>3462</v>
      </c>
      <c r="B3463" s="1" t="s">
        <v>926</v>
      </c>
      <c r="C3463" s="1" t="s">
        <v>5639</v>
      </c>
      <c r="E3463" s="1" t="s">
        <v>5640</v>
      </c>
      <c r="F3463" s="1" t="s">
        <v>10554</v>
      </c>
      <c r="G3463" s="3">
        <v>0</v>
      </c>
      <c r="H3463" s="20" t="s">
        <v>5641</v>
      </c>
      <c r="I3463" s="20" t="s">
        <v>5642</v>
      </c>
      <c r="J3463" s="20" t="s">
        <v>10555</v>
      </c>
      <c r="K3463" s="20" t="s">
        <v>10016</v>
      </c>
      <c r="L3463" s="3">
        <v>31</v>
      </c>
      <c r="M3463" s="3" t="s">
        <v>10696</v>
      </c>
      <c r="N3463" s="3" t="str">
        <f>HYPERLINK("http://ictvonline.org/taxonomyHistory.asp?taxnode_id=20163577","ICTVonline=20163577")</f>
        <v>ICTVonline=20163577</v>
      </c>
    </row>
    <row r="3464" spans="1:14" x14ac:dyDescent="0.15">
      <c r="A3464" s="3">
        <v>3463</v>
      </c>
      <c r="B3464" s="1" t="s">
        <v>926</v>
      </c>
      <c r="C3464" s="1" t="s">
        <v>5639</v>
      </c>
      <c r="E3464" s="1" t="s">
        <v>5640</v>
      </c>
      <c r="F3464" s="1" t="s">
        <v>10556</v>
      </c>
      <c r="G3464" s="3">
        <v>0</v>
      </c>
      <c r="H3464" s="20" t="s">
        <v>5643</v>
      </c>
      <c r="I3464" s="20" t="s">
        <v>5644</v>
      </c>
      <c r="J3464" s="20" t="s">
        <v>10555</v>
      </c>
      <c r="K3464" s="20" t="s">
        <v>10016</v>
      </c>
      <c r="L3464" s="3">
        <v>31</v>
      </c>
      <c r="M3464" s="3" t="s">
        <v>10696</v>
      </c>
      <c r="N3464" s="3" t="str">
        <f>HYPERLINK("http://ictvonline.org/taxonomyHistory.asp?taxnode_id=20163578","ICTVonline=20163578")</f>
        <v>ICTVonline=20163578</v>
      </c>
    </row>
    <row r="3465" spans="1:14" x14ac:dyDescent="0.15">
      <c r="A3465" s="3">
        <v>3464</v>
      </c>
      <c r="B3465" s="1" t="s">
        <v>926</v>
      </c>
      <c r="C3465" s="1" t="s">
        <v>5639</v>
      </c>
      <c r="E3465" s="1" t="s">
        <v>5640</v>
      </c>
      <c r="F3465" s="1" t="s">
        <v>10557</v>
      </c>
      <c r="G3465" s="3">
        <v>1</v>
      </c>
      <c r="H3465" s="20" t="s">
        <v>5645</v>
      </c>
      <c r="I3465" s="20" t="s">
        <v>5646</v>
      </c>
      <c r="J3465" s="20" t="s">
        <v>10555</v>
      </c>
      <c r="K3465" s="20" t="s">
        <v>10016</v>
      </c>
      <c r="L3465" s="3">
        <v>31</v>
      </c>
      <c r="M3465" s="3" t="s">
        <v>10696</v>
      </c>
      <c r="N3465" s="3" t="str">
        <f>HYPERLINK("http://ictvonline.org/taxonomyHistory.asp?taxnode_id=20163579","ICTVonline=20163579")</f>
        <v>ICTVonline=20163579</v>
      </c>
    </row>
    <row r="3466" spans="1:14" x14ac:dyDescent="0.15">
      <c r="A3466" s="3">
        <v>3465</v>
      </c>
      <c r="B3466" s="1" t="s">
        <v>926</v>
      </c>
      <c r="C3466" s="1" t="s">
        <v>5639</v>
      </c>
      <c r="E3466" s="1" t="s">
        <v>5640</v>
      </c>
      <c r="F3466" s="1" t="s">
        <v>10558</v>
      </c>
      <c r="G3466" s="3">
        <v>0</v>
      </c>
      <c r="H3466" s="20" t="s">
        <v>5647</v>
      </c>
      <c r="I3466" s="20" t="s">
        <v>5648</v>
      </c>
      <c r="J3466" s="20" t="s">
        <v>10555</v>
      </c>
      <c r="K3466" s="20" t="s">
        <v>10016</v>
      </c>
      <c r="L3466" s="3">
        <v>31</v>
      </c>
      <c r="M3466" s="3" t="s">
        <v>10696</v>
      </c>
      <c r="N3466" s="3" t="str">
        <f>HYPERLINK("http://ictvonline.org/taxonomyHistory.asp?taxnode_id=20163580","ICTVonline=20163580")</f>
        <v>ICTVonline=20163580</v>
      </c>
    </row>
    <row r="3467" spans="1:14" x14ac:dyDescent="0.15">
      <c r="A3467" s="3">
        <v>3466</v>
      </c>
      <c r="B3467" s="1" t="s">
        <v>926</v>
      </c>
      <c r="C3467" s="1" t="s">
        <v>5639</v>
      </c>
      <c r="E3467" s="1" t="s">
        <v>5640</v>
      </c>
      <c r="F3467" s="1" t="s">
        <v>10559</v>
      </c>
      <c r="G3467" s="3">
        <v>0</v>
      </c>
      <c r="H3467" s="20" t="s">
        <v>5649</v>
      </c>
      <c r="I3467" s="20" t="s">
        <v>5650</v>
      </c>
      <c r="J3467" s="20" t="s">
        <v>10555</v>
      </c>
      <c r="K3467" s="20" t="s">
        <v>10016</v>
      </c>
      <c r="L3467" s="3">
        <v>31</v>
      </c>
      <c r="M3467" s="3" t="s">
        <v>10696</v>
      </c>
      <c r="N3467" s="3" t="str">
        <f>HYPERLINK("http://ictvonline.org/taxonomyHistory.asp?taxnode_id=20163581","ICTVonline=20163581")</f>
        <v>ICTVonline=20163581</v>
      </c>
    </row>
    <row r="3468" spans="1:14" x14ac:dyDescent="0.15">
      <c r="A3468" s="3">
        <v>3467</v>
      </c>
      <c r="B3468" s="1" t="s">
        <v>926</v>
      </c>
      <c r="C3468" s="1" t="s">
        <v>5639</v>
      </c>
      <c r="E3468" s="1" t="s">
        <v>5651</v>
      </c>
      <c r="F3468" s="1" t="s">
        <v>10560</v>
      </c>
      <c r="G3468" s="3">
        <v>0</v>
      </c>
      <c r="H3468" s="20" t="s">
        <v>5652</v>
      </c>
      <c r="I3468" s="20" t="s">
        <v>5653</v>
      </c>
      <c r="J3468" s="20" t="s">
        <v>2860</v>
      </c>
      <c r="K3468" s="20" t="s">
        <v>10016</v>
      </c>
      <c r="L3468" s="3">
        <v>31</v>
      </c>
      <c r="M3468" s="3" t="s">
        <v>10696</v>
      </c>
      <c r="N3468" s="3" t="str">
        <f>HYPERLINK("http://ictvonline.org/taxonomyHistory.asp?taxnode_id=20163583","ICTVonline=20163583")</f>
        <v>ICTVonline=20163583</v>
      </c>
    </row>
    <row r="3469" spans="1:14" x14ac:dyDescent="0.15">
      <c r="A3469" s="3">
        <v>3468</v>
      </c>
      <c r="B3469" s="1" t="s">
        <v>926</v>
      </c>
      <c r="C3469" s="1" t="s">
        <v>5639</v>
      </c>
      <c r="E3469" s="1" t="s">
        <v>5651</v>
      </c>
      <c r="F3469" s="1" t="s">
        <v>10561</v>
      </c>
      <c r="G3469" s="3">
        <v>1</v>
      </c>
      <c r="H3469" s="20" t="s">
        <v>5654</v>
      </c>
      <c r="I3469" s="20" t="s">
        <v>5655</v>
      </c>
      <c r="J3469" s="20" t="s">
        <v>2860</v>
      </c>
      <c r="K3469" s="20" t="s">
        <v>10016</v>
      </c>
      <c r="L3469" s="3">
        <v>31</v>
      </c>
      <c r="M3469" s="3" t="s">
        <v>10696</v>
      </c>
      <c r="N3469" s="3" t="str">
        <f>HYPERLINK("http://ictvonline.org/taxonomyHistory.asp?taxnode_id=20163584","ICTVonline=20163584")</f>
        <v>ICTVonline=20163584</v>
      </c>
    </row>
    <row r="3470" spans="1:14" x14ac:dyDescent="0.15">
      <c r="A3470" s="3">
        <v>3469</v>
      </c>
      <c r="B3470" s="1" t="s">
        <v>926</v>
      </c>
      <c r="C3470" s="1" t="s">
        <v>5639</v>
      </c>
      <c r="E3470" s="1" t="s">
        <v>5656</v>
      </c>
      <c r="F3470" s="1" t="s">
        <v>5657</v>
      </c>
      <c r="G3470" s="3">
        <v>1</v>
      </c>
      <c r="H3470" s="20" t="s">
        <v>5658</v>
      </c>
      <c r="I3470" s="20" t="s">
        <v>5659</v>
      </c>
      <c r="J3470" s="20" t="s">
        <v>2860</v>
      </c>
      <c r="K3470" s="20" t="s">
        <v>10016</v>
      </c>
      <c r="L3470" s="3">
        <v>31</v>
      </c>
      <c r="M3470" s="3" t="s">
        <v>10696</v>
      </c>
      <c r="N3470" s="3" t="str">
        <f>HYPERLINK("http://ictvonline.org/taxonomyHistory.asp?taxnode_id=20163586","ICTVonline=20163586")</f>
        <v>ICTVonline=20163586</v>
      </c>
    </row>
    <row r="3471" spans="1:14" x14ac:dyDescent="0.15">
      <c r="A3471" s="3">
        <v>3470</v>
      </c>
      <c r="B3471" s="1" t="s">
        <v>926</v>
      </c>
      <c r="C3471" s="1" t="s">
        <v>972</v>
      </c>
      <c r="E3471" s="1" t="s">
        <v>623</v>
      </c>
      <c r="F3471" s="1" t="s">
        <v>973</v>
      </c>
      <c r="G3471" s="3">
        <v>0</v>
      </c>
      <c r="J3471" s="20" t="s">
        <v>2860</v>
      </c>
      <c r="K3471" s="20" t="s">
        <v>10021</v>
      </c>
      <c r="L3471" s="3">
        <v>18</v>
      </c>
      <c r="M3471" s="3" t="s">
        <v>10101</v>
      </c>
      <c r="N3471" s="3" t="str">
        <f>HYPERLINK("http://ictvonline.org/taxonomyHistory.asp?taxnode_id=20163590","ICTVonline=20163590")</f>
        <v>ICTVonline=20163590</v>
      </c>
    </row>
    <row r="3472" spans="1:14" x14ac:dyDescent="0.15">
      <c r="A3472" s="3">
        <v>3471</v>
      </c>
      <c r="B3472" s="1" t="s">
        <v>926</v>
      </c>
      <c r="C3472" s="1" t="s">
        <v>972</v>
      </c>
      <c r="E3472" s="1" t="s">
        <v>623</v>
      </c>
      <c r="F3472" s="1" t="s">
        <v>616</v>
      </c>
      <c r="G3472" s="3">
        <v>0</v>
      </c>
      <c r="J3472" s="20" t="s">
        <v>2860</v>
      </c>
      <c r="K3472" s="20" t="s">
        <v>10021</v>
      </c>
      <c r="L3472" s="3">
        <v>18</v>
      </c>
      <c r="M3472" s="3" t="s">
        <v>10101</v>
      </c>
      <c r="N3472" s="3" t="str">
        <f>HYPERLINK("http://ictvonline.org/taxonomyHistory.asp?taxnode_id=20163591","ICTVonline=20163591")</f>
        <v>ICTVonline=20163591</v>
      </c>
    </row>
    <row r="3473" spans="1:14" x14ac:dyDescent="0.15">
      <c r="A3473" s="3">
        <v>3472</v>
      </c>
      <c r="B3473" s="1" t="s">
        <v>926</v>
      </c>
      <c r="C3473" s="1" t="s">
        <v>972</v>
      </c>
      <c r="E3473" s="1" t="s">
        <v>623</v>
      </c>
      <c r="F3473" s="1" t="s">
        <v>617</v>
      </c>
      <c r="G3473" s="3">
        <v>0</v>
      </c>
      <c r="J3473" s="20" t="s">
        <v>2860</v>
      </c>
      <c r="K3473" s="20" t="s">
        <v>10021</v>
      </c>
      <c r="L3473" s="3">
        <v>18</v>
      </c>
      <c r="M3473" s="3" t="s">
        <v>10101</v>
      </c>
      <c r="N3473" s="3" t="str">
        <f>HYPERLINK("http://ictvonline.org/taxonomyHistory.asp?taxnode_id=20163592","ICTVonline=20163592")</f>
        <v>ICTVonline=20163592</v>
      </c>
    </row>
    <row r="3474" spans="1:14" x14ac:dyDescent="0.15">
      <c r="A3474" s="3">
        <v>3473</v>
      </c>
      <c r="B3474" s="1" t="s">
        <v>926</v>
      </c>
      <c r="C3474" s="1" t="s">
        <v>972</v>
      </c>
      <c r="E3474" s="1" t="s">
        <v>623</v>
      </c>
      <c r="F3474" s="1" t="s">
        <v>618</v>
      </c>
      <c r="G3474" s="3">
        <v>0</v>
      </c>
      <c r="J3474" s="20" t="s">
        <v>2860</v>
      </c>
      <c r="K3474" s="20" t="s">
        <v>10021</v>
      </c>
      <c r="L3474" s="3">
        <v>18</v>
      </c>
      <c r="M3474" s="3" t="s">
        <v>10101</v>
      </c>
      <c r="N3474" s="3" t="str">
        <f>HYPERLINK("http://ictvonline.org/taxonomyHistory.asp?taxnode_id=20163593","ICTVonline=20163593")</f>
        <v>ICTVonline=20163593</v>
      </c>
    </row>
    <row r="3475" spans="1:14" x14ac:dyDescent="0.15">
      <c r="A3475" s="3">
        <v>3474</v>
      </c>
      <c r="B3475" s="1" t="s">
        <v>926</v>
      </c>
      <c r="C3475" s="1" t="s">
        <v>972</v>
      </c>
      <c r="E3475" s="1" t="s">
        <v>623</v>
      </c>
      <c r="F3475" s="1" t="s">
        <v>619</v>
      </c>
      <c r="G3475" s="3">
        <v>0</v>
      </c>
      <c r="J3475" s="20" t="s">
        <v>2860</v>
      </c>
      <c r="K3475" s="20" t="s">
        <v>10021</v>
      </c>
      <c r="L3475" s="3">
        <v>18</v>
      </c>
      <c r="M3475" s="3" t="s">
        <v>10101</v>
      </c>
      <c r="N3475" s="3" t="str">
        <f>HYPERLINK("http://ictvonline.org/taxonomyHistory.asp?taxnode_id=20163594","ICTVonline=20163594")</f>
        <v>ICTVonline=20163594</v>
      </c>
    </row>
    <row r="3476" spans="1:14" x14ac:dyDescent="0.15">
      <c r="A3476" s="3">
        <v>3475</v>
      </c>
      <c r="B3476" s="1" t="s">
        <v>926</v>
      </c>
      <c r="C3476" s="1" t="s">
        <v>972</v>
      </c>
      <c r="E3476" s="1" t="s">
        <v>623</v>
      </c>
      <c r="F3476" s="1" t="s">
        <v>966</v>
      </c>
      <c r="G3476" s="3">
        <v>0</v>
      </c>
      <c r="J3476" s="20" t="s">
        <v>2860</v>
      </c>
      <c r="K3476" s="20" t="s">
        <v>10021</v>
      </c>
      <c r="L3476" s="3">
        <v>18</v>
      </c>
      <c r="M3476" s="3" t="s">
        <v>10101</v>
      </c>
      <c r="N3476" s="3" t="str">
        <f>HYPERLINK("http://ictvonline.org/taxonomyHistory.asp?taxnode_id=20163595","ICTVonline=20163595")</f>
        <v>ICTVonline=20163595</v>
      </c>
    </row>
    <row r="3477" spans="1:14" x14ac:dyDescent="0.15">
      <c r="A3477" s="3">
        <v>3476</v>
      </c>
      <c r="B3477" s="1" t="s">
        <v>926</v>
      </c>
      <c r="C3477" s="1" t="s">
        <v>972</v>
      </c>
      <c r="E3477" s="1" t="s">
        <v>623</v>
      </c>
      <c r="F3477" s="1" t="s">
        <v>967</v>
      </c>
      <c r="G3477" s="3">
        <v>0</v>
      </c>
      <c r="J3477" s="20" t="s">
        <v>2860</v>
      </c>
      <c r="K3477" s="20" t="s">
        <v>10021</v>
      </c>
      <c r="L3477" s="3">
        <v>18</v>
      </c>
      <c r="M3477" s="3" t="s">
        <v>10101</v>
      </c>
      <c r="N3477" s="3" t="str">
        <f>HYPERLINK("http://ictvonline.org/taxonomyHistory.asp?taxnode_id=20163596","ICTVonline=20163596")</f>
        <v>ICTVonline=20163596</v>
      </c>
    </row>
    <row r="3478" spans="1:14" x14ac:dyDescent="0.15">
      <c r="A3478" s="3">
        <v>3477</v>
      </c>
      <c r="B3478" s="1" t="s">
        <v>926</v>
      </c>
      <c r="C3478" s="1" t="s">
        <v>972</v>
      </c>
      <c r="E3478" s="1" t="s">
        <v>623</v>
      </c>
      <c r="F3478" s="1" t="s">
        <v>968</v>
      </c>
      <c r="G3478" s="3">
        <v>0</v>
      </c>
      <c r="J3478" s="20" t="s">
        <v>2860</v>
      </c>
      <c r="K3478" s="20" t="s">
        <v>10013</v>
      </c>
      <c r="L3478" s="3">
        <v>18</v>
      </c>
      <c r="M3478" s="3" t="s">
        <v>10101</v>
      </c>
      <c r="N3478" s="3" t="str">
        <f>HYPERLINK("http://ictvonline.org/taxonomyHistory.asp?taxnode_id=20163597","ICTVonline=20163597")</f>
        <v>ICTVonline=20163597</v>
      </c>
    </row>
    <row r="3479" spans="1:14" x14ac:dyDescent="0.15">
      <c r="A3479" s="3">
        <v>3478</v>
      </c>
      <c r="B3479" s="1" t="s">
        <v>926</v>
      </c>
      <c r="C3479" s="1" t="s">
        <v>972</v>
      </c>
      <c r="E3479" s="1" t="s">
        <v>623</v>
      </c>
      <c r="F3479" s="1" t="s">
        <v>969</v>
      </c>
      <c r="G3479" s="3">
        <v>0</v>
      </c>
      <c r="J3479" s="20" t="s">
        <v>2860</v>
      </c>
      <c r="K3479" s="20" t="s">
        <v>10021</v>
      </c>
      <c r="L3479" s="3">
        <v>18</v>
      </c>
      <c r="M3479" s="3" t="s">
        <v>10101</v>
      </c>
      <c r="N3479" s="3" t="str">
        <f>HYPERLINK("http://ictvonline.org/taxonomyHistory.asp?taxnode_id=20163598","ICTVonline=20163598")</f>
        <v>ICTVonline=20163598</v>
      </c>
    </row>
    <row r="3480" spans="1:14" x14ac:dyDescent="0.15">
      <c r="A3480" s="3">
        <v>3479</v>
      </c>
      <c r="B3480" s="1" t="s">
        <v>926</v>
      </c>
      <c r="C3480" s="1" t="s">
        <v>972</v>
      </c>
      <c r="E3480" s="1" t="s">
        <v>623</v>
      </c>
      <c r="F3480" s="1" t="s">
        <v>6480</v>
      </c>
      <c r="G3480" s="3">
        <v>0</v>
      </c>
      <c r="J3480" s="20" t="s">
        <v>2860</v>
      </c>
      <c r="K3480" s="20" t="s">
        <v>10021</v>
      </c>
      <c r="L3480" s="3">
        <v>18</v>
      </c>
      <c r="M3480" s="3" t="s">
        <v>10101</v>
      </c>
      <c r="N3480" s="3" t="str">
        <f>HYPERLINK("http://ictvonline.org/taxonomyHistory.asp?taxnode_id=20163599","ICTVonline=20163599")</f>
        <v>ICTVonline=20163599</v>
      </c>
    </row>
    <row r="3481" spans="1:14" x14ac:dyDescent="0.15">
      <c r="A3481" s="3">
        <v>3480</v>
      </c>
      <c r="B3481" s="1" t="s">
        <v>926</v>
      </c>
      <c r="C3481" s="1" t="s">
        <v>972</v>
      </c>
      <c r="E3481" s="1" t="s">
        <v>623</v>
      </c>
      <c r="F3481" s="1" t="s">
        <v>1810</v>
      </c>
      <c r="G3481" s="3">
        <v>0</v>
      </c>
      <c r="J3481" s="20" t="s">
        <v>2860</v>
      </c>
      <c r="K3481" s="20" t="s">
        <v>10021</v>
      </c>
      <c r="L3481" s="3">
        <v>18</v>
      </c>
      <c r="M3481" s="3" t="s">
        <v>10101</v>
      </c>
      <c r="N3481" s="3" t="str">
        <f>HYPERLINK("http://ictvonline.org/taxonomyHistory.asp?taxnode_id=20163600","ICTVonline=20163600")</f>
        <v>ICTVonline=20163600</v>
      </c>
    </row>
    <row r="3482" spans="1:14" x14ac:dyDescent="0.15">
      <c r="A3482" s="3">
        <v>3481</v>
      </c>
      <c r="B3482" s="1" t="s">
        <v>926</v>
      </c>
      <c r="C3482" s="1" t="s">
        <v>972</v>
      </c>
      <c r="E3482" s="1" t="s">
        <v>623</v>
      </c>
      <c r="F3482" s="1" t="s">
        <v>624</v>
      </c>
      <c r="G3482" s="3">
        <v>0</v>
      </c>
      <c r="J3482" s="20" t="s">
        <v>2860</v>
      </c>
      <c r="K3482" s="20" t="s">
        <v>10021</v>
      </c>
      <c r="L3482" s="3">
        <v>18</v>
      </c>
      <c r="M3482" s="3" t="s">
        <v>10101</v>
      </c>
      <c r="N3482" s="3" t="str">
        <f>HYPERLINK("http://ictvonline.org/taxonomyHistory.asp?taxnode_id=20163601","ICTVonline=20163601")</f>
        <v>ICTVonline=20163601</v>
      </c>
    </row>
    <row r="3483" spans="1:14" x14ac:dyDescent="0.15">
      <c r="A3483" s="3">
        <v>3482</v>
      </c>
      <c r="B3483" s="1" t="s">
        <v>926</v>
      </c>
      <c r="C3483" s="1" t="s">
        <v>972</v>
      </c>
      <c r="E3483" s="1" t="s">
        <v>623</v>
      </c>
      <c r="F3483" s="1" t="s">
        <v>625</v>
      </c>
      <c r="G3483" s="3">
        <v>0</v>
      </c>
      <c r="J3483" s="20" t="s">
        <v>2860</v>
      </c>
      <c r="K3483" s="20" t="s">
        <v>10021</v>
      </c>
      <c r="L3483" s="3">
        <v>18</v>
      </c>
      <c r="M3483" s="3" t="s">
        <v>10101</v>
      </c>
      <c r="N3483" s="3" t="str">
        <f>HYPERLINK("http://ictvonline.org/taxonomyHistory.asp?taxnode_id=20163602","ICTVonline=20163602")</f>
        <v>ICTVonline=20163602</v>
      </c>
    </row>
    <row r="3484" spans="1:14" x14ac:dyDescent="0.15">
      <c r="A3484" s="3">
        <v>3483</v>
      </c>
      <c r="B3484" s="1" t="s">
        <v>926</v>
      </c>
      <c r="C3484" s="1" t="s">
        <v>972</v>
      </c>
      <c r="E3484" s="1" t="s">
        <v>623</v>
      </c>
      <c r="F3484" s="1" t="s">
        <v>1806</v>
      </c>
      <c r="G3484" s="3">
        <v>0</v>
      </c>
      <c r="J3484" s="20" t="s">
        <v>2860</v>
      </c>
      <c r="K3484" s="20" t="s">
        <v>10021</v>
      </c>
      <c r="L3484" s="3">
        <v>18</v>
      </c>
      <c r="M3484" s="3" t="s">
        <v>10101</v>
      </c>
      <c r="N3484" s="3" t="str">
        <f>HYPERLINK("http://ictvonline.org/taxonomyHistory.asp?taxnode_id=20163603","ICTVonline=20163603")</f>
        <v>ICTVonline=20163603</v>
      </c>
    </row>
    <row r="3485" spans="1:14" x14ac:dyDescent="0.15">
      <c r="A3485" s="3">
        <v>3484</v>
      </c>
      <c r="B3485" s="1" t="s">
        <v>926</v>
      </c>
      <c r="C3485" s="1" t="s">
        <v>972</v>
      </c>
      <c r="E3485" s="1" t="s">
        <v>623</v>
      </c>
      <c r="F3485" s="1" t="s">
        <v>1807</v>
      </c>
      <c r="G3485" s="3">
        <v>0</v>
      </c>
      <c r="J3485" s="20" t="s">
        <v>2860</v>
      </c>
      <c r="K3485" s="20" t="s">
        <v>10021</v>
      </c>
      <c r="L3485" s="3">
        <v>18</v>
      </c>
      <c r="M3485" s="3" t="s">
        <v>10101</v>
      </c>
      <c r="N3485" s="3" t="str">
        <f>HYPERLINK("http://ictvonline.org/taxonomyHistory.asp?taxnode_id=20163604","ICTVonline=20163604")</f>
        <v>ICTVonline=20163604</v>
      </c>
    </row>
    <row r="3486" spans="1:14" x14ac:dyDescent="0.15">
      <c r="A3486" s="3">
        <v>3485</v>
      </c>
      <c r="B3486" s="1" t="s">
        <v>926</v>
      </c>
      <c r="C3486" s="1" t="s">
        <v>972</v>
      </c>
      <c r="E3486" s="1" t="s">
        <v>623</v>
      </c>
      <c r="F3486" s="1" t="s">
        <v>1808</v>
      </c>
      <c r="G3486" s="3">
        <v>0</v>
      </c>
      <c r="J3486" s="20" t="s">
        <v>2860</v>
      </c>
      <c r="K3486" s="20" t="s">
        <v>10021</v>
      </c>
      <c r="L3486" s="3">
        <v>18</v>
      </c>
      <c r="M3486" s="3" t="s">
        <v>10101</v>
      </c>
      <c r="N3486" s="3" t="str">
        <f>HYPERLINK("http://ictvonline.org/taxonomyHistory.asp?taxnode_id=20163605","ICTVonline=20163605")</f>
        <v>ICTVonline=20163605</v>
      </c>
    </row>
    <row r="3487" spans="1:14" x14ac:dyDescent="0.15">
      <c r="A3487" s="3">
        <v>3486</v>
      </c>
      <c r="B3487" s="1" t="s">
        <v>926</v>
      </c>
      <c r="C3487" s="1" t="s">
        <v>972</v>
      </c>
      <c r="E3487" s="1" t="s">
        <v>623</v>
      </c>
      <c r="F3487" s="1" t="s">
        <v>620</v>
      </c>
      <c r="G3487" s="3">
        <v>0</v>
      </c>
      <c r="J3487" s="20" t="s">
        <v>2860</v>
      </c>
      <c r="K3487" s="20" t="s">
        <v>10021</v>
      </c>
      <c r="L3487" s="3">
        <v>18</v>
      </c>
      <c r="M3487" s="3" t="s">
        <v>10101</v>
      </c>
      <c r="N3487" s="3" t="str">
        <f>HYPERLINK("http://ictvonline.org/taxonomyHistory.asp?taxnode_id=20163606","ICTVonline=20163606")</f>
        <v>ICTVonline=20163606</v>
      </c>
    </row>
    <row r="3488" spans="1:14" x14ac:dyDescent="0.15">
      <c r="A3488" s="3">
        <v>3487</v>
      </c>
      <c r="B3488" s="1" t="s">
        <v>926</v>
      </c>
      <c r="C3488" s="1" t="s">
        <v>972</v>
      </c>
      <c r="E3488" s="1" t="s">
        <v>623</v>
      </c>
      <c r="F3488" s="1" t="s">
        <v>621</v>
      </c>
      <c r="G3488" s="3">
        <v>1</v>
      </c>
      <c r="J3488" s="20" t="s">
        <v>2860</v>
      </c>
      <c r="K3488" s="20" t="s">
        <v>10021</v>
      </c>
      <c r="L3488" s="3">
        <v>18</v>
      </c>
      <c r="M3488" s="3" t="s">
        <v>10101</v>
      </c>
      <c r="N3488" s="3" t="str">
        <f>HYPERLINK("http://ictvonline.org/taxonomyHistory.asp?taxnode_id=20163607","ICTVonline=20163607")</f>
        <v>ICTVonline=20163607</v>
      </c>
    </row>
    <row r="3489" spans="1:14" x14ac:dyDescent="0.15">
      <c r="A3489" s="3">
        <v>3488</v>
      </c>
      <c r="B3489" s="1" t="s">
        <v>926</v>
      </c>
      <c r="C3489" s="1" t="s">
        <v>972</v>
      </c>
      <c r="E3489" s="1" t="s">
        <v>623</v>
      </c>
      <c r="F3489" s="1" t="s">
        <v>622</v>
      </c>
      <c r="G3489" s="3">
        <v>0</v>
      </c>
      <c r="J3489" s="20" t="s">
        <v>2860</v>
      </c>
      <c r="K3489" s="20" t="s">
        <v>10021</v>
      </c>
      <c r="L3489" s="3">
        <v>18</v>
      </c>
      <c r="M3489" s="3" t="s">
        <v>10101</v>
      </c>
      <c r="N3489" s="3" t="str">
        <f>HYPERLINK("http://ictvonline.org/taxonomyHistory.asp?taxnode_id=20163608","ICTVonline=20163608")</f>
        <v>ICTVonline=20163608</v>
      </c>
    </row>
    <row r="3490" spans="1:14" x14ac:dyDescent="0.15">
      <c r="A3490" s="3">
        <v>3489</v>
      </c>
      <c r="B3490" s="1" t="s">
        <v>926</v>
      </c>
      <c r="C3490" s="1" t="s">
        <v>972</v>
      </c>
      <c r="E3490" s="1" t="s">
        <v>623</v>
      </c>
      <c r="F3490" s="1" t="s">
        <v>632</v>
      </c>
      <c r="G3490" s="3">
        <v>0</v>
      </c>
      <c r="J3490" s="20" t="s">
        <v>2860</v>
      </c>
      <c r="K3490" s="20" t="s">
        <v>10021</v>
      </c>
      <c r="L3490" s="3">
        <v>18</v>
      </c>
      <c r="M3490" s="3" t="s">
        <v>10101</v>
      </c>
      <c r="N3490" s="3" t="str">
        <f>HYPERLINK("http://ictvonline.org/taxonomyHistory.asp?taxnode_id=20163609","ICTVonline=20163609")</f>
        <v>ICTVonline=20163609</v>
      </c>
    </row>
    <row r="3491" spans="1:14" x14ac:dyDescent="0.15">
      <c r="A3491" s="3">
        <v>3490</v>
      </c>
      <c r="B3491" s="1" t="s">
        <v>926</v>
      </c>
      <c r="C3491" s="1" t="s">
        <v>972</v>
      </c>
      <c r="E3491" s="1" t="s">
        <v>623</v>
      </c>
      <c r="F3491" s="1" t="s">
        <v>633</v>
      </c>
      <c r="G3491" s="3">
        <v>0</v>
      </c>
      <c r="J3491" s="20" t="s">
        <v>2860</v>
      </c>
      <c r="K3491" s="20" t="s">
        <v>10021</v>
      </c>
      <c r="L3491" s="3">
        <v>18</v>
      </c>
      <c r="M3491" s="3" t="s">
        <v>10101</v>
      </c>
      <c r="N3491" s="3" t="str">
        <f>HYPERLINK("http://ictvonline.org/taxonomyHistory.asp?taxnode_id=20163610","ICTVonline=20163610")</f>
        <v>ICTVonline=20163610</v>
      </c>
    </row>
    <row r="3492" spans="1:14" x14ac:dyDescent="0.15">
      <c r="A3492" s="3">
        <v>3491</v>
      </c>
      <c r="B3492" s="1" t="s">
        <v>926</v>
      </c>
      <c r="C3492" s="1" t="s">
        <v>972</v>
      </c>
      <c r="E3492" s="1" t="s">
        <v>623</v>
      </c>
      <c r="F3492" s="1" t="s">
        <v>905</v>
      </c>
      <c r="G3492" s="3">
        <v>0</v>
      </c>
      <c r="J3492" s="20" t="s">
        <v>2860</v>
      </c>
      <c r="K3492" s="20" t="s">
        <v>10021</v>
      </c>
      <c r="L3492" s="3">
        <v>18</v>
      </c>
      <c r="M3492" s="3" t="s">
        <v>10101</v>
      </c>
      <c r="N3492" s="3" t="str">
        <f>HYPERLINK("http://ictvonline.org/taxonomyHistory.asp?taxnode_id=20163611","ICTVonline=20163611")</f>
        <v>ICTVonline=20163611</v>
      </c>
    </row>
    <row r="3493" spans="1:14" x14ac:dyDescent="0.15">
      <c r="A3493" s="3">
        <v>3492</v>
      </c>
      <c r="B3493" s="1" t="s">
        <v>926</v>
      </c>
      <c r="C3493" s="1" t="s">
        <v>972</v>
      </c>
      <c r="E3493" s="1" t="s">
        <v>623</v>
      </c>
      <c r="F3493" s="1" t="s">
        <v>984</v>
      </c>
      <c r="G3493" s="3">
        <v>0</v>
      </c>
      <c r="J3493" s="20" t="s">
        <v>2860</v>
      </c>
      <c r="K3493" s="20" t="s">
        <v>10021</v>
      </c>
      <c r="L3493" s="3">
        <v>18</v>
      </c>
      <c r="M3493" s="3" t="s">
        <v>10101</v>
      </c>
      <c r="N3493" s="3" t="str">
        <f>HYPERLINK("http://ictvonline.org/taxonomyHistory.asp?taxnode_id=20163612","ICTVonline=20163612")</f>
        <v>ICTVonline=20163612</v>
      </c>
    </row>
    <row r="3494" spans="1:14" x14ac:dyDescent="0.15">
      <c r="A3494" s="3">
        <v>3493</v>
      </c>
      <c r="B3494" s="1" t="s">
        <v>926</v>
      </c>
      <c r="C3494" s="1" t="s">
        <v>972</v>
      </c>
      <c r="E3494" s="1" t="s">
        <v>623</v>
      </c>
      <c r="F3494" s="1" t="s">
        <v>985</v>
      </c>
      <c r="G3494" s="3">
        <v>0</v>
      </c>
      <c r="J3494" s="20" t="s">
        <v>2860</v>
      </c>
      <c r="K3494" s="20" t="s">
        <v>10021</v>
      </c>
      <c r="L3494" s="3">
        <v>18</v>
      </c>
      <c r="M3494" s="3" t="s">
        <v>10101</v>
      </c>
      <c r="N3494" s="3" t="str">
        <f>HYPERLINK("http://ictvonline.org/taxonomyHistory.asp?taxnode_id=20163613","ICTVonline=20163613")</f>
        <v>ICTVonline=20163613</v>
      </c>
    </row>
    <row r="3495" spans="1:14" x14ac:dyDescent="0.15">
      <c r="A3495" s="3">
        <v>3494</v>
      </c>
      <c r="B3495" s="1" t="s">
        <v>926</v>
      </c>
      <c r="C3495" s="1" t="s">
        <v>972</v>
      </c>
      <c r="E3495" s="1" t="s">
        <v>623</v>
      </c>
      <c r="F3495" s="1" t="s">
        <v>1985</v>
      </c>
      <c r="G3495" s="3">
        <v>0</v>
      </c>
      <c r="J3495" s="20" t="s">
        <v>2860</v>
      </c>
      <c r="K3495" s="20" t="s">
        <v>10021</v>
      </c>
      <c r="L3495" s="3">
        <v>18</v>
      </c>
      <c r="M3495" s="3" t="s">
        <v>10101</v>
      </c>
      <c r="N3495" s="3" t="str">
        <f>HYPERLINK("http://ictvonline.org/taxonomyHistory.asp?taxnode_id=20163614","ICTVonline=20163614")</f>
        <v>ICTVonline=20163614</v>
      </c>
    </row>
    <row r="3496" spans="1:14" x14ac:dyDescent="0.15">
      <c r="A3496" s="3">
        <v>3495</v>
      </c>
      <c r="B3496" s="1" t="s">
        <v>926</v>
      </c>
      <c r="C3496" s="1" t="s">
        <v>972</v>
      </c>
      <c r="E3496" s="1" t="s">
        <v>623</v>
      </c>
      <c r="F3496" s="1" t="s">
        <v>1986</v>
      </c>
      <c r="G3496" s="3">
        <v>0</v>
      </c>
      <c r="J3496" s="20" t="s">
        <v>2860</v>
      </c>
      <c r="K3496" s="20" t="s">
        <v>10021</v>
      </c>
      <c r="L3496" s="3">
        <v>18</v>
      </c>
      <c r="M3496" s="3" t="s">
        <v>10101</v>
      </c>
      <c r="N3496" s="3" t="str">
        <f>HYPERLINK("http://ictvonline.org/taxonomyHistory.asp?taxnode_id=20163615","ICTVonline=20163615")</f>
        <v>ICTVonline=20163615</v>
      </c>
    </row>
    <row r="3497" spans="1:14" x14ac:dyDescent="0.15">
      <c r="A3497" s="3">
        <v>3496</v>
      </c>
      <c r="B3497" s="1" t="s">
        <v>926</v>
      </c>
      <c r="C3497" s="1" t="s">
        <v>972</v>
      </c>
      <c r="E3497" s="1" t="s">
        <v>623</v>
      </c>
      <c r="F3497" s="1" t="s">
        <v>1987</v>
      </c>
      <c r="G3497" s="3">
        <v>0</v>
      </c>
      <c r="J3497" s="20" t="s">
        <v>2860</v>
      </c>
      <c r="K3497" s="20" t="s">
        <v>10021</v>
      </c>
      <c r="L3497" s="3">
        <v>18</v>
      </c>
      <c r="M3497" s="3" t="s">
        <v>10101</v>
      </c>
      <c r="N3497" s="3" t="str">
        <f>HYPERLINK("http://ictvonline.org/taxonomyHistory.asp?taxnode_id=20163616","ICTVonline=20163616")</f>
        <v>ICTVonline=20163616</v>
      </c>
    </row>
    <row r="3498" spans="1:14" x14ac:dyDescent="0.15">
      <c r="A3498" s="3">
        <v>3497</v>
      </c>
      <c r="B3498" s="1" t="s">
        <v>926</v>
      </c>
      <c r="C3498" s="1" t="s">
        <v>972</v>
      </c>
      <c r="E3498" s="1" t="s">
        <v>623</v>
      </c>
      <c r="F3498" s="1" t="s">
        <v>909</v>
      </c>
      <c r="G3498" s="3">
        <v>0</v>
      </c>
      <c r="J3498" s="20" t="s">
        <v>2860</v>
      </c>
      <c r="K3498" s="20" t="s">
        <v>10021</v>
      </c>
      <c r="L3498" s="3">
        <v>18</v>
      </c>
      <c r="M3498" s="3" t="s">
        <v>10101</v>
      </c>
      <c r="N3498" s="3" t="str">
        <f>HYPERLINK("http://ictvonline.org/taxonomyHistory.asp?taxnode_id=20163617","ICTVonline=20163617")</f>
        <v>ICTVonline=20163617</v>
      </c>
    </row>
    <row r="3499" spans="1:14" x14ac:dyDescent="0.15">
      <c r="A3499" s="3">
        <v>3498</v>
      </c>
      <c r="B3499" s="1" t="s">
        <v>926</v>
      </c>
      <c r="C3499" s="1" t="s">
        <v>972</v>
      </c>
      <c r="E3499" s="1" t="s">
        <v>623</v>
      </c>
      <c r="F3499" s="1" t="s">
        <v>982</v>
      </c>
      <c r="G3499" s="3">
        <v>0</v>
      </c>
      <c r="J3499" s="20" t="s">
        <v>2860</v>
      </c>
      <c r="K3499" s="20" t="s">
        <v>10021</v>
      </c>
      <c r="L3499" s="3">
        <v>18</v>
      </c>
      <c r="M3499" s="3" t="s">
        <v>10101</v>
      </c>
      <c r="N3499" s="3" t="str">
        <f>HYPERLINK("http://ictvonline.org/taxonomyHistory.asp?taxnode_id=20163618","ICTVonline=20163618")</f>
        <v>ICTVonline=20163618</v>
      </c>
    </row>
    <row r="3500" spans="1:14" x14ac:dyDescent="0.15">
      <c r="A3500" s="3">
        <v>3499</v>
      </c>
      <c r="B3500" s="1" t="s">
        <v>926</v>
      </c>
      <c r="C3500" s="1" t="s">
        <v>972</v>
      </c>
      <c r="E3500" s="1" t="s">
        <v>623</v>
      </c>
      <c r="F3500" s="1" t="s">
        <v>983</v>
      </c>
      <c r="G3500" s="3">
        <v>0</v>
      </c>
      <c r="J3500" s="20" t="s">
        <v>2860</v>
      </c>
      <c r="K3500" s="20" t="s">
        <v>10021</v>
      </c>
      <c r="L3500" s="3">
        <v>18</v>
      </c>
      <c r="M3500" s="3" t="s">
        <v>10101</v>
      </c>
      <c r="N3500" s="3" t="str">
        <f>HYPERLINK("http://ictvonline.org/taxonomyHistory.asp?taxnode_id=20163619","ICTVonline=20163619")</f>
        <v>ICTVonline=20163619</v>
      </c>
    </row>
    <row r="3501" spans="1:14" x14ac:dyDescent="0.15">
      <c r="A3501" s="3">
        <v>3500</v>
      </c>
      <c r="B3501" s="1" t="s">
        <v>926</v>
      </c>
      <c r="C3501" s="1" t="s">
        <v>972</v>
      </c>
      <c r="E3501" s="1" t="s">
        <v>623</v>
      </c>
      <c r="F3501" s="1" t="s">
        <v>1818</v>
      </c>
      <c r="G3501" s="3">
        <v>0</v>
      </c>
      <c r="J3501" s="20" t="s">
        <v>2860</v>
      </c>
      <c r="K3501" s="20" t="s">
        <v>10021</v>
      </c>
      <c r="L3501" s="3">
        <v>18</v>
      </c>
      <c r="M3501" s="3" t="s">
        <v>10101</v>
      </c>
      <c r="N3501" s="3" t="str">
        <f>HYPERLINK("http://ictvonline.org/taxonomyHistory.asp?taxnode_id=20163620","ICTVonline=20163620")</f>
        <v>ICTVonline=20163620</v>
      </c>
    </row>
    <row r="3502" spans="1:14" x14ac:dyDescent="0.15">
      <c r="A3502" s="3">
        <v>3501</v>
      </c>
      <c r="B3502" s="1" t="s">
        <v>926</v>
      </c>
      <c r="C3502" s="1" t="s">
        <v>972</v>
      </c>
      <c r="E3502" s="1" t="s">
        <v>623</v>
      </c>
      <c r="F3502" s="1" t="s">
        <v>634</v>
      </c>
      <c r="G3502" s="3">
        <v>0</v>
      </c>
      <c r="J3502" s="20" t="s">
        <v>2860</v>
      </c>
      <c r="K3502" s="20" t="s">
        <v>10013</v>
      </c>
      <c r="L3502" s="3">
        <v>18</v>
      </c>
      <c r="M3502" s="3" t="s">
        <v>10101</v>
      </c>
      <c r="N3502" s="3" t="str">
        <f>HYPERLINK("http://ictvonline.org/taxonomyHistory.asp?taxnode_id=20163621","ICTVonline=20163621")</f>
        <v>ICTVonline=20163621</v>
      </c>
    </row>
    <row r="3503" spans="1:14" x14ac:dyDescent="0.15">
      <c r="A3503" s="3">
        <v>3502</v>
      </c>
      <c r="B3503" s="1" t="s">
        <v>926</v>
      </c>
      <c r="C3503" s="1" t="s">
        <v>972</v>
      </c>
      <c r="E3503" s="1" t="s">
        <v>635</v>
      </c>
      <c r="F3503" s="1" t="s">
        <v>986</v>
      </c>
      <c r="G3503" s="3">
        <v>0</v>
      </c>
      <c r="J3503" s="20" t="s">
        <v>2860</v>
      </c>
      <c r="K3503" s="20" t="s">
        <v>10021</v>
      </c>
      <c r="L3503" s="3">
        <v>18</v>
      </c>
      <c r="M3503" s="3" t="s">
        <v>10101</v>
      </c>
      <c r="N3503" s="3" t="str">
        <f>HYPERLINK("http://ictvonline.org/taxonomyHistory.asp?taxnode_id=20163623","ICTVonline=20163623")</f>
        <v>ICTVonline=20163623</v>
      </c>
    </row>
    <row r="3504" spans="1:14" x14ac:dyDescent="0.15">
      <c r="A3504" s="3">
        <v>3503</v>
      </c>
      <c r="B3504" s="1" t="s">
        <v>926</v>
      </c>
      <c r="C3504" s="1" t="s">
        <v>972</v>
      </c>
      <c r="E3504" s="1" t="s">
        <v>635</v>
      </c>
      <c r="F3504" s="1" t="s">
        <v>915</v>
      </c>
      <c r="G3504" s="3">
        <v>0</v>
      </c>
      <c r="J3504" s="20" t="s">
        <v>2860</v>
      </c>
      <c r="K3504" s="20" t="s">
        <v>10021</v>
      </c>
      <c r="L3504" s="3">
        <v>18</v>
      </c>
      <c r="M3504" s="3" t="s">
        <v>10101</v>
      </c>
      <c r="N3504" s="3" t="str">
        <f>HYPERLINK("http://ictvonline.org/taxonomyHistory.asp?taxnode_id=20163624","ICTVonline=20163624")</f>
        <v>ICTVonline=20163624</v>
      </c>
    </row>
    <row r="3505" spans="1:14" x14ac:dyDescent="0.15">
      <c r="A3505" s="3">
        <v>3504</v>
      </c>
      <c r="B3505" s="1" t="s">
        <v>926</v>
      </c>
      <c r="C3505" s="1" t="s">
        <v>972</v>
      </c>
      <c r="E3505" s="1" t="s">
        <v>635</v>
      </c>
      <c r="F3505" s="1" t="s">
        <v>916</v>
      </c>
      <c r="G3505" s="3">
        <v>1</v>
      </c>
      <c r="J3505" s="20" t="s">
        <v>2860</v>
      </c>
      <c r="K3505" s="20" t="s">
        <v>10021</v>
      </c>
      <c r="L3505" s="3">
        <v>18</v>
      </c>
      <c r="M3505" s="3" t="s">
        <v>10101</v>
      </c>
      <c r="N3505" s="3" t="str">
        <f>HYPERLINK("http://ictvonline.org/taxonomyHistory.asp?taxnode_id=20163625","ICTVonline=20163625")</f>
        <v>ICTVonline=20163625</v>
      </c>
    </row>
    <row r="3506" spans="1:14" x14ac:dyDescent="0.15">
      <c r="A3506" s="3">
        <v>3505</v>
      </c>
      <c r="B3506" s="1" t="s">
        <v>926</v>
      </c>
      <c r="C3506" s="1" t="s">
        <v>972</v>
      </c>
      <c r="E3506" s="1" t="s">
        <v>635</v>
      </c>
      <c r="F3506" s="1" t="s">
        <v>917</v>
      </c>
      <c r="G3506" s="3">
        <v>0</v>
      </c>
      <c r="J3506" s="20" t="s">
        <v>2860</v>
      </c>
      <c r="K3506" s="20" t="s">
        <v>10021</v>
      </c>
      <c r="L3506" s="3">
        <v>18</v>
      </c>
      <c r="M3506" s="3" t="s">
        <v>10101</v>
      </c>
      <c r="N3506" s="3" t="str">
        <f>HYPERLINK("http://ictvonline.org/taxonomyHistory.asp?taxnode_id=20163626","ICTVonline=20163626")</f>
        <v>ICTVonline=20163626</v>
      </c>
    </row>
    <row r="3507" spans="1:14" x14ac:dyDescent="0.15">
      <c r="A3507" s="3">
        <v>3506</v>
      </c>
      <c r="B3507" s="1" t="s">
        <v>926</v>
      </c>
      <c r="C3507" s="1" t="s">
        <v>972</v>
      </c>
      <c r="E3507" s="1" t="s">
        <v>635</v>
      </c>
      <c r="F3507" s="1" t="s">
        <v>1002</v>
      </c>
      <c r="G3507" s="3">
        <v>0</v>
      </c>
      <c r="J3507" s="20" t="s">
        <v>2860</v>
      </c>
      <c r="K3507" s="20" t="s">
        <v>10021</v>
      </c>
      <c r="L3507" s="3">
        <v>18</v>
      </c>
      <c r="M3507" s="3" t="s">
        <v>10101</v>
      </c>
      <c r="N3507" s="3" t="str">
        <f>HYPERLINK("http://ictvonline.org/taxonomyHistory.asp?taxnode_id=20163627","ICTVonline=20163627")</f>
        <v>ICTVonline=20163627</v>
      </c>
    </row>
    <row r="3508" spans="1:14" x14ac:dyDescent="0.15">
      <c r="A3508" s="3">
        <v>3507</v>
      </c>
      <c r="B3508" s="1" t="s">
        <v>926</v>
      </c>
      <c r="C3508" s="1" t="s">
        <v>972</v>
      </c>
      <c r="E3508" s="1" t="s">
        <v>635</v>
      </c>
      <c r="F3508" s="1" t="s">
        <v>1003</v>
      </c>
      <c r="G3508" s="3">
        <v>0</v>
      </c>
      <c r="J3508" s="20" t="s">
        <v>2860</v>
      </c>
      <c r="K3508" s="20" t="s">
        <v>10021</v>
      </c>
      <c r="L3508" s="3">
        <v>18</v>
      </c>
      <c r="M3508" s="3" t="s">
        <v>10101</v>
      </c>
      <c r="N3508" s="3" t="str">
        <f>HYPERLINK("http://ictvonline.org/taxonomyHistory.asp?taxnode_id=20163628","ICTVonline=20163628")</f>
        <v>ICTVonline=20163628</v>
      </c>
    </row>
    <row r="3509" spans="1:14" x14ac:dyDescent="0.15">
      <c r="A3509" s="3">
        <v>3508</v>
      </c>
      <c r="B3509" s="1" t="s">
        <v>926</v>
      </c>
      <c r="C3509" s="1" t="s">
        <v>972</v>
      </c>
      <c r="E3509" s="1" t="s">
        <v>635</v>
      </c>
      <c r="F3509" s="1" t="s">
        <v>1004</v>
      </c>
      <c r="G3509" s="3">
        <v>0</v>
      </c>
      <c r="J3509" s="20" t="s">
        <v>2860</v>
      </c>
      <c r="K3509" s="20" t="s">
        <v>10021</v>
      </c>
      <c r="L3509" s="3">
        <v>18</v>
      </c>
      <c r="M3509" s="3" t="s">
        <v>10101</v>
      </c>
      <c r="N3509" s="3" t="str">
        <f>HYPERLINK("http://ictvonline.org/taxonomyHistory.asp?taxnode_id=20163629","ICTVonline=20163629")</f>
        <v>ICTVonline=20163629</v>
      </c>
    </row>
    <row r="3510" spans="1:14" x14ac:dyDescent="0.15">
      <c r="A3510" s="3">
        <v>3509</v>
      </c>
      <c r="B3510" s="1" t="s">
        <v>926</v>
      </c>
      <c r="C3510" s="1" t="s">
        <v>972</v>
      </c>
      <c r="E3510" s="1" t="s">
        <v>635</v>
      </c>
      <c r="F3510" s="1" t="s">
        <v>1005</v>
      </c>
      <c r="G3510" s="3">
        <v>0</v>
      </c>
      <c r="J3510" s="20" t="s">
        <v>2860</v>
      </c>
      <c r="K3510" s="20" t="s">
        <v>10021</v>
      </c>
      <c r="L3510" s="3">
        <v>18</v>
      </c>
      <c r="M3510" s="3" t="s">
        <v>10101</v>
      </c>
      <c r="N3510" s="3" t="str">
        <f>HYPERLINK("http://ictvonline.org/taxonomyHistory.asp?taxnode_id=20163630","ICTVonline=20163630")</f>
        <v>ICTVonline=20163630</v>
      </c>
    </row>
    <row r="3511" spans="1:14" x14ac:dyDescent="0.15">
      <c r="A3511" s="3">
        <v>3510</v>
      </c>
      <c r="B3511" s="1" t="s">
        <v>926</v>
      </c>
      <c r="C3511" s="1" t="s">
        <v>972</v>
      </c>
      <c r="E3511" s="1" t="s">
        <v>635</v>
      </c>
      <c r="F3511" s="1" t="s">
        <v>1006</v>
      </c>
      <c r="G3511" s="3">
        <v>0</v>
      </c>
      <c r="J3511" s="20" t="s">
        <v>2860</v>
      </c>
      <c r="K3511" s="20" t="s">
        <v>10021</v>
      </c>
      <c r="L3511" s="3">
        <v>18</v>
      </c>
      <c r="M3511" s="3" t="s">
        <v>10101</v>
      </c>
      <c r="N3511" s="3" t="str">
        <f>HYPERLINK("http://ictvonline.org/taxonomyHistory.asp?taxnode_id=20163631","ICTVonline=20163631")</f>
        <v>ICTVonline=20163631</v>
      </c>
    </row>
    <row r="3512" spans="1:14" x14ac:dyDescent="0.15">
      <c r="A3512" s="3">
        <v>3511</v>
      </c>
      <c r="B3512" s="1" t="s">
        <v>926</v>
      </c>
      <c r="C3512" s="1" t="s">
        <v>972</v>
      </c>
      <c r="E3512" s="1" t="s">
        <v>635</v>
      </c>
      <c r="F3512" s="1" t="s">
        <v>1007</v>
      </c>
      <c r="G3512" s="3">
        <v>0</v>
      </c>
      <c r="J3512" s="20" t="s">
        <v>2860</v>
      </c>
      <c r="K3512" s="20" t="s">
        <v>10021</v>
      </c>
      <c r="L3512" s="3">
        <v>18</v>
      </c>
      <c r="M3512" s="3" t="s">
        <v>10101</v>
      </c>
      <c r="N3512" s="3" t="str">
        <f>HYPERLINK("http://ictvonline.org/taxonomyHistory.asp?taxnode_id=20163632","ICTVonline=20163632")</f>
        <v>ICTVonline=20163632</v>
      </c>
    </row>
    <row r="3513" spans="1:14" x14ac:dyDescent="0.15">
      <c r="A3513" s="3">
        <v>3512</v>
      </c>
      <c r="B3513" s="1" t="s">
        <v>926</v>
      </c>
      <c r="C3513" s="1" t="s">
        <v>972</v>
      </c>
      <c r="E3513" s="1" t="s">
        <v>635</v>
      </c>
      <c r="F3513" s="1" t="s">
        <v>1008</v>
      </c>
      <c r="G3513" s="3">
        <v>0</v>
      </c>
      <c r="J3513" s="20" t="s">
        <v>2860</v>
      </c>
      <c r="K3513" s="20" t="s">
        <v>10021</v>
      </c>
      <c r="L3513" s="3">
        <v>18</v>
      </c>
      <c r="M3513" s="3" t="s">
        <v>10101</v>
      </c>
      <c r="N3513" s="3" t="str">
        <f>HYPERLINK("http://ictvonline.org/taxonomyHistory.asp?taxnode_id=20163633","ICTVonline=20163633")</f>
        <v>ICTVonline=20163633</v>
      </c>
    </row>
    <row r="3514" spans="1:14" x14ac:dyDescent="0.15">
      <c r="A3514" s="3">
        <v>3513</v>
      </c>
      <c r="B3514" s="1" t="s">
        <v>926</v>
      </c>
      <c r="C3514" s="1" t="s">
        <v>972</v>
      </c>
      <c r="E3514" s="1" t="s">
        <v>635</v>
      </c>
      <c r="F3514" s="1" t="s">
        <v>1009</v>
      </c>
      <c r="G3514" s="3">
        <v>0</v>
      </c>
      <c r="J3514" s="20" t="s">
        <v>2860</v>
      </c>
      <c r="K3514" s="20" t="s">
        <v>10021</v>
      </c>
      <c r="L3514" s="3">
        <v>18</v>
      </c>
      <c r="M3514" s="3" t="s">
        <v>10101</v>
      </c>
      <c r="N3514" s="3" t="str">
        <f>HYPERLINK("http://ictvonline.org/taxonomyHistory.asp?taxnode_id=20163634","ICTVonline=20163634")</f>
        <v>ICTVonline=20163634</v>
      </c>
    </row>
    <row r="3515" spans="1:14" x14ac:dyDescent="0.15">
      <c r="A3515" s="3">
        <v>3514</v>
      </c>
      <c r="B3515" s="1" t="s">
        <v>926</v>
      </c>
      <c r="C3515" s="1" t="s">
        <v>972</v>
      </c>
      <c r="E3515" s="1" t="s">
        <v>635</v>
      </c>
      <c r="F3515" s="1" t="s">
        <v>1010</v>
      </c>
      <c r="G3515" s="3">
        <v>0</v>
      </c>
      <c r="J3515" s="20" t="s">
        <v>2860</v>
      </c>
      <c r="K3515" s="20" t="s">
        <v>10021</v>
      </c>
      <c r="L3515" s="3">
        <v>18</v>
      </c>
      <c r="M3515" s="3" t="s">
        <v>10101</v>
      </c>
      <c r="N3515" s="3" t="str">
        <f>HYPERLINK("http://ictvonline.org/taxonomyHistory.asp?taxnode_id=20163635","ICTVonline=20163635")</f>
        <v>ICTVonline=20163635</v>
      </c>
    </row>
    <row r="3516" spans="1:14" x14ac:dyDescent="0.15">
      <c r="A3516" s="3">
        <v>3515</v>
      </c>
      <c r="B3516" s="1" t="s">
        <v>926</v>
      </c>
      <c r="C3516" s="1" t="s">
        <v>972</v>
      </c>
      <c r="E3516" s="1" t="s">
        <v>635</v>
      </c>
      <c r="F3516" s="1" t="s">
        <v>1011</v>
      </c>
      <c r="G3516" s="3">
        <v>0</v>
      </c>
      <c r="J3516" s="20" t="s">
        <v>2860</v>
      </c>
      <c r="K3516" s="20" t="s">
        <v>10021</v>
      </c>
      <c r="L3516" s="3">
        <v>18</v>
      </c>
      <c r="M3516" s="3" t="s">
        <v>10101</v>
      </c>
      <c r="N3516" s="3" t="str">
        <f>HYPERLINK("http://ictvonline.org/taxonomyHistory.asp?taxnode_id=20163636","ICTVonline=20163636")</f>
        <v>ICTVonline=20163636</v>
      </c>
    </row>
    <row r="3517" spans="1:14" x14ac:dyDescent="0.15">
      <c r="A3517" s="3">
        <v>3516</v>
      </c>
      <c r="B3517" s="1" t="s">
        <v>926</v>
      </c>
      <c r="C3517" s="1" t="s">
        <v>972</v>
      </c>
      <c r="E3517" s="1" t="s">
        <v>635</v>
      </c>
      <c r="F3517" s="1" t="s">
        <v>1012</v>
      </c>
      <c r="G3517" s="3">
        <v>0</v>
      </c>
      <c r="J3517" s="20" t="s">
        <v>2860</v>
      </c>
      <c r="K3517" s="20" t="s">
        <v>10021</v>
      </c>
      <c r="L3517" s="3">
        <v>18</v>
      </c>
      <c r="M3517" s="3" t="s">
        <v>10101</v>
      </c>
      <c r="N3517" s="3" t="str">
        <f>HYPERLINK("http://ictvonline.org/taxonomyHistory.asp?taxnode_id=20163637","ICTVonline=20163637")</f>
        <v>ICTVonline=20163637</v>
      </c>
    </row>
    <row r="3518" spans="1:14" x14ac:dyDescent="0.15">
      <c r="A3518" s="3">
        <v>3517</v>
      </c>
      <c r="B3518" s="1" t="s">
        <v>926</v>
      </c>
      <c r="C3518" s="1" t="s">
        <v>972</v>
      </c>
      <c r="E3518" s="1" t="s">
        <v>635</v>
      </c>
      <c r="F3518" s="1" t="s">
        <v>1013</v>
      </c>
      <c r="G3518" s="3">
        <v>0</v>
      </c>
      <c r="J3518" s="20" t="s">
        <v>2860</v>
      </c>
      <c r="K3518" s="20" t="s">
        <v>10021</v>
      </c>
      <c r="L3518" s="3">
        <v>18</v>
      </c>
      <c r="M3518" s="3" t="s">
        <v>10101</v>
      </c>
      <c r="N3518" s="3" t="str">
        <f>HYPERLINK("http://ictvonline.org/taxonomyHistory.asp?taxnode_id=20163638","ICTVonline=20163638")</f>
        <v>ICTVonline=20163638</v>
      </c>
    </row>
    <row r="3519" spans="1:14" x14ac:dyDescent="0.15">
      <c r="A3519" s="3">
        <v>3518</v>
      </c>
      <c r="B3519" s="1" t="s">
        <v>926</v>
      </c>
      <c r="C3519" s="1" t="s">
        <v>972</v>
      </c>
      <c r="E3519" s="1" t="s">
        <v>635</v>
      </c>
      <c r="F3519" s="1" t="s">
        <v>1014</v>
      </c>
      <c r="G3519" s="3">
        <v>0</v>
      </c>
      <c r="J3519" s="20" t="s">
        <v>2860</v>
      </c>
      <c r="K3519" s="20" t="s">
        <v>10021</v>
      </c>
      <c r="L3519" s="3">
        <v>18</v>
      </c>
      <c r="M3519" s="3" t="s">
        <v>10101</v>
      </c>
      <c r="N3519" s="3" t="str">
        <f>HYPERLINK("http://ictvonline.org/taxonomyHistory.asp?taxnode_id=20163639","ICTVonline=20163639")</f>
        <v>ICTVonline=20163639</v>
      </c>
    </row>
    <row r="3520" spans="1:14" x14ac:dyDescent="0.15">
      <c r="A3520" s="3">
        <v>3519</v>
      </c>
      <c r="B3520" s="1" t="s">
        <v>926</v>
      </c>
      <c r="C3520" s="1" t="s">
        <v>972</v>
      </c>
      <c r="E3520" s="1" t="s">
        <v>635</v>
      </c>
      <c r="F3520" s="1" t="s">
        <v>1015</v>
      </c>
      <c r="G3520" s="3">
        <v>0</v>
      </c>
      <c r="J3520" s="20" t="s">
        <v>2860</v>
      </c>
      <c r="K3520" s="20" t="s">
        <v>10021</v>
      </c>
      <c r="L3520" s="3">
        <v>18</v>
      </c>
      <c r="M3520" s="3" t="s">
        <v>10101</v>
      </c>
      <c r="N3520" s="3" t="str">
        <f>HYPERLINK("http://ictvonline.org/taxonomyHistory.asp?taxnode_id=20163640","ICTVonline=20163640")</f>
        <v>ICTVonline=20163640</v>
      </c>
    </row>
    <row r="3521" spans="1:14" x14ac:dyDescent="0.15">
      <c r="A3521" s="3">
        <v>3520</v>
      </c>
      <c r="B3521" s="1" t="s">
        <v>926</v>
      </c>
      <c r="C3521" s="1" t="s">
        <v>972</v>
      </c>
      <c r="E3521" s="1" t="s">
        <v>635</v>
      </c>
      <c r="F3521" s="1" t="s">
        <v>1016</v>
      </c>
      <c r="G3521" s="3">
        <v>0</v>
      </c>
      <c r="J3521" s="20" t="s">
        <v>2860</v>
      </c>
      <c r="K3521" s="20" t="s">
        <v>10021</v>
      </c>
      <c r="L3521" s="3">
        <v>18</v>
      </c>
      <c r="M3521" s="3" t="s">
        <v>10101</v>
      </c>
      <c r="N3521" s="3" t="str">
        <f>HYPERLINK("http://ictvonline.org/taxonomyHistory.asp?taxnode_id=20163641","ICTVonline=20163641")</f>
        <v>ICTVonline=20163641</v>
      </c>
    </row>
    <row r="3522" spans="1:14" x14ac:dyDescent="0.15">
      <c r="A3522" s="3">
        <v>3521</v>
      </c>
      <c r="B3522" s="1" t="s">
        <v>926</v>
      </c>
      <c r="C3522" s="1" t="s">
        <v>972</v>
      </c>
      <c r="E3522" s="1" t="s">
        <v>635</v>
      </c>
      <c r="F3522" s="1" t="s">
        <v>1017</v>
      </c>
      <c r="G3522" s="3">
        <v>0</v>
      </c>
      <c r="J3522" s="20" t="s">
        <v>2860</v>
      </c>
      <c r="K3522" s="20" t="s">
        <v>10021</v>
      </c>
      <c r="L3522" s="3">
        <v>18</v>
      </c>
      <c r="M3522" s="3" t="s">
        <v>10101</v>
      </c>
      <c r="N3522" s="3" t="str">
        <f>HYPERLINK("http://ictvonline.org/taxonomyHistory.asp?taxnode_id=20163642","ICTVonline=20163642")</f>
        <v>ICTVonline=20163642</v>
      </c>
    </row>
    <row r="3523" spans="1:14" x14ac:dyDescent="0.15">
      <c r="A3523" s="3">
        <v>3522</v>
      </c>
      <c r="B3523" s="1" t="s">
        <v>926</v>
      </c>
      <c r="C3523" s="1" t="s">
        <v>972</v>
      </c>
      <c r="E3523" s="1" t="s">
        <v>635</v>
      </c>
      <c r="F3523" s="1" t="s">
        <v>1018</v>
      </c>
      <c r="G3523" s="3">
        <v>0</v>
      </c>
      <c r="J3523" s="20" t="s">
        <v>2860</v>
      </c>
      <c r="K3523" s="20" t="s">
        <v>10021</v>
      </c>
      <c r="L3523" s="3">
        <v>18</v>
      </c>
      <c r="M3523" s="3" t="s">
        <v>10101</v>
      </c>
      <c r="N3523" s="3" t="str">
        <f>HYPERLINK("http://ictvonline.org/taxonomyHistory.asp?taxnode_id=20163643","ICTVonline=20163643")</f>
        <v>ICTVonline=20163643</v>
      </c>
    </row>
    <row r="3524" spans="1:14" x14ac:dyDescent="0.15">
      <c r="A3524" s="3">
        <v>3523</v>
      </c>
      <c r="B3524" s="1" t="s">
        <v>926</v>
      </c>
      <c r="C3524" s="1" t="s">
        <v>1019</v>
      </c>
      <c r="E3524" s="1" t="s">
        <v>5660</v>
      </c>
      <c r="F3524" s="1" t="s">
        <v>5661</v>
      </c>
      <c r="G3524" s="3">
        <v>0</v>
      </c>
      <c r="H3524" s="20" t="s">
        <v>6985</v>
      </c>
      <c r="I3524" s="20" t="s">
        <v>5662</v>
      </c>
      <c r="J3524" s="20" t="s">
        <v>2860</v>
      </c>
      <c r="K3524" s="20" t="s">
        <v>10013</v>
      </c>
      <c r="L3524" s="3">
        <v>30</v>
      </c>
      <c r="M3524" s="3" t="s">
        <v>10353</v>
      </c>
      <c r="N3524" s="3" t="str">
        <f>HYPERLINK("http://ictvonline.org/taxonomyHistory.asp?taxnode_id=20163647","ICTVonline=20163647")</f>
        <v>ICTVonline=20163647</v>
      </c>
    </row>
    <row r="3525" spans="1:14" x14ac:dyDescent="0.15">
      <c r="A3525" s="3">
        <v>3524</v>
      </c>
      <c r="B3525" s="1" t="s">
        <v>926</v>
      </c>
      <c r="C3525" s="1" t="s">
        <v>1019</v>
      </c>
      <c r="E3525" s="1" t="s">
        <v>5660</v>
      </c>
      <c r="F3525" s="1" t="s">
        <v>5663</v>
      </c>
      <c r="G3525" s="3">
        <v>0</v>
      </c>
      <c r="H3525" s="20" t="s">
        <v>6986</v>
      </c>
      <c r="I3525" s="20" t="s">
        <v>5664</v>
      </c>
      <c r="J3525" s="20" t="s">
        <v>2860</v>
      </c>
      <c r="K3525" s="20" t="s">
        <v>10013</v>
      </c>
      <c r="L3525" s="3">
        <v>30</v>
      </c>
      <c r="M3525" s="3" t="s">
        <v>10353</v>
      </c>
      <c r="N3525" s="3" t="str">
        <f>HYPERLINK("http://ictvonline.org/taxonomyHistory.asp?taxnode_id=20163648","ICTVonline=20163648")</f>
        <v>ICTVonline=20163648</v>
      </c>
    </row>
    <row r="3526" spans="1:14" x14ac:dyDescent="0.15">
      <c r="A3526" s="3">
        <v>3525</v>
      </c>
      <c r="B3526" s="1" t="s">
        <v>926</v>
      </c>
      <c r="C3526" s="1" t="s">
        <v>1019</v>
      </c>
      <c r="E3526" s="1" t="s">
        <v>5660</v>
      </c>
      <c r="F3526" s="1" t="s">
        <v>5665</v>
      </c>
      <c r="G3526" s="3">
        <v>0</v>
      </c>
      <c r="H3526" s="20" t="s">
        <v>6987</v>
      </c>
      <c r="I3526" s="20" t="s">
        <v>5666</v>
      </c>
      <c r="J3526" s="20" t="s">
        <v>2860</v>
      </c>
      <c r="K3526" s="20" t="s">
        <v>10013</v>
      </c>
      <c r="L3526" s="3">
        <v>30</v>
      </c>
      <c r="M3526" s="3" t="s">
        <v>10353</v>
      </c>
      <c r="N3526" s="3" t="str">
        <f>HYPERLINK("http://ictvonline.org/taxonomyHistory.asp?taxnode_id=20163649","ICTVonline=20163649")</f>
        <v>ICTVonline=20163649</v>
      </c>
    </row>
    <row r="3527" spans="1:14" x14ac:dyDescent="0.15">
      <c r="A3527" s="3">
        <v>3526</v>
      </c>
      <c r="B3527" s="1" t="s">
        <v>926</v>
      </c>
      <c r="C3527" s="1" t="s">
        <v>1019</v>
      </c>
      <c r="E3527" s="1" t="s">
        <v>5660</v>
      </c>
      <c r="F3527" s="1" t="s">
        <v>5667</v>
      </c>
      <c r="G3527" s="3">
        <v>0</v>
      </c>
      <c r="H3527" s="20" t="s">
        <v>6988</v>
      </c>
      <c r="I3527" s="20" t="s">
        <v>5668</v>
      </c>
      <c r="J3527" s="20" t="s">
        <v>2860</v>
      </c>
      <c r="K3527" s="20" t="s">
        <v>10013</v>
      </c>
      <c r="L3527" s="3">
        <v>30</v>
      </c>
      <c r="M3527" s="3" t="s">
        <v>10353</v>
      </c>
      <c r="N3527" s="3" t="str">
        <f>HYPERLINK("http://ictvonline.org/taxonomyHistory.asp?taxnode_id=20163650","ICTVonline=20163650")</f>
        <v>ICTVonline=20163650</v>
      </c>
    </row>
    <row r="3528" spans="1:14" x14ac:dyDescent="0.15">
      <c r="A3528" s="3">
        <v>3527</v>
      </c>
      <c r="B3528" s="1" t="s">
        <v>926</v>
      </c>
      <c r="C3528" s="1" t="s">
        <v>1019</v>
      </c>
      <c r="E3528" s="1" t="s">
        <v>5660</v>
      </c>
      <c r="F3528" s="1" t="s">
        <v>5669</v>
      </c>
      <c r="G3528" s="3">
        <v>0</v>
      </c>
      <c r="H3528" s="20" t="s">
        <v>6989</v>
      </c>
      <c r="I3528" s="20" t="s">
        <v>5670</v>
      </c>
      <c r="J3528" s="20" t="s">
        <v>2860</v>
      </c>
      <c r="K3528" s="20" t="s">
        <v>10013</v>
      </c>
      <c r="L3528" s="3">
        <v>30</v>
      </c>
      <c r="M3528" s="3" t="s">
        <v>10353</v>
      </c>
      <c r="N3528" s="3" t="str">
        <f>HYPERLINK("http://ictvonline.org/taxonomyHistory.asp?taxnode_id=20163651","ICTVonline=20163651")</f>
        <v>ICTVonline=20163651</v>
      </c>
    </row>
    <row r="3529" spans="1:14" x14ac:dyDescent="0.15">
      <c r="A3529" s="3">
        <v>3528</v>
      </c>
      <c r="B3529" s="1" t="s">
        <v>926</v>
      </c>
      <c r="C3529" s="1" t="s">
        <v>1019</v>
      </c>
      <c r="E3529" s="1" t="s">
        <v>5660</v>
      </c>
      <c r="F3529" s="1" t="s">
        <v>5671</v>
      </c>
      <c r="G3529" s="3">
        <v>0</v>
      </c>
      <c r="H3529" s="20" t="s">
        <v>6990</v>
      </c>
      <c r="I3529" s="20" t="s">
        <v>5672</v>
      </c>
      <c r="J3529" s="20" t="s">
        <v>2860</v>
      </c>
      <c r="K3529" s="20" t="s">
        <v>10013</v>
      </c>
      <c r="L3529" s="3">
        <v>30</v>
      </c>
      <c r="M3529" s="3" t="s">
        <v>10353</v>
      </c>
      <c r="N3529" s="3" t="str">
        <f>HYPERLINK("http://ictvonline.org/taxonomyHistory.asp?taxnode_id=20163652","ICTVonline=20163652")</f>
        <v>ICTVonline=20163652</v>
      </c>
    </row>
    <row r="3530" spans="1:14" x14ac:dyDescent="0.15">
      <c r="A3530" s="3">
        <v>3529</v>
      </c>
      <c r="B3530" s="1" t="s">
        <v>926</v>
      </c>
      <c r="C3530" s="1" t="s">
        <v>1019</v>
      </c>
      <c r="E3530" s="1" t="s">
        <v>5660</v>
      </c>
      <c r="F3530" s="1" t="s">
        <v>5673</v>
      </c>
      <c r="G3530" s="3">
        <v>0</v>
      </c>
      <c r="H3530" s="20" t="s">
        <v>6991</v>
      </c>
      <c r="I3530" s="20" t="s">
        <v>5674</v>
      </c>
      <c r="J3530" s="20" t="s">
        <v>2860</v>
      </c>
      <c r="K3530" s="20" t="s">
        <v>10013</v>
      </c>
      <c r="L3530" s="3">
        <v>30</v>
      </c>
      <c r="M3530" s="3" t="s">
        <v>10353</v>
      </c>
      <c r="N3530" s="3" t="str">
        <f>HYPERLINK("http://ictvonline.org/taxonomyHistory.asp?taxnode_id=20163653","ICTVonline=20163653")</f>
        <v>ICTVonline=20163653</v>
      </c>
    </row>
    <row r="3531" spans="1:14" x14ac:dyDescent="0.15">
      <c r="A3531" s="3">
        <v>3530</v>
      </c>
      <c r="B3531" s="1" t="s">
        <v>926</v>
      </c>
      <c r="C3531" s="1" t="s">
        <v>1019</v>
      </c>
      <c r="E3531" s="1" t="s">
        <v>5660</v>
      </c>
      <c r="F3531" s="1" t="s">
        <v>5675</v>
      </c>
      <c r="G3531" s="3">
        <v>0</v>
      </c>
      <c r="H3531" s="20" t="s">
        <v>6992</v>
      </c>
      <c r="I3531" s="20" t="s">
        <v>5676</v>
      </c>
      <c r="J3531" s="20" t="s">
        <v>2860</v>
      </c>
      <c r="K3531" s="20" t="s">
        <v>10013</v>
      </c>
      <c r="L3531" s="3">
        <v>30</v>
      </c>
      <c r="M3531" s="3" t="s">
        <v>10353</v>
      </c>
      <c r="N3531" s="3" t="str">
        <f>HYPERLINK("http://ictvonline.org/taxonomyHistory.asp?taxnode_id=20163654","ICTVonline=20163654")</f>
        <v>ICTVonline=20163654</v>
      </c>
    </row>
    <row r="3532" spans="1:14" x14ac:dyDescent="0.15">
      <c r="A3532" s="3">
        <v>3531</v>
      </c>
      <c r="B3532" s="1" t="s">
        <v>926</v>
      </c>
      <c r="C3532" s="1" t="s">
        <v>1019</v>
      </c>
      <c r="E3532" s="1" t="s">
        <v>5660</v>
      </c>
      <c r="F3532" s="1" t="s">
        <v>5677</v>
      </c>
      <c r="G3532" s="3">
        <v>0</v>
      </c>
      <c r="H3532" s="20" t="s">
        <v>6993</v>
      </c>
      <c r="I3532" s="20" t="s">
        <v>5678</v>
      </c>
      <c r="J3532" s="20" t="s">
        <v>2860</v>
      </c>
      <c r="K3532" s="20" t="s">
        <v>10013</v>
      </c>
      <c r="L3532" s="3">
        <v>30</v>
      </c>
      <c r="M3532" s="3" t="s">
        <v>10353</v>
      </c>
      <c r="N3532" s="3" t="str">
        <f>HYPERLINK("http://ictvonline.org/taxonomyHistory.asp?taxnode_id=20163655","ICTVonline=20163655")</f>
        <v>ICTVonline=20163655</v>
      </c>
    </row>
    <row r="3533" spans="1:14" x14ac:dyDescent="0.15">
      <c r="A3533" s="3">
        <v>3532</v>
      </c>
      <c r="B3533" s="1" t="s">
        <v>926</v>
      </c>
      <c r="C3533" s="1" t="s">
        <v>1019</v>
      </c>
      <c r="E3533" s="1" t="s">
        <v>5660</v>
      </c>
      <c r="F3533" s="1" t="s">
        <v>5679</v>
      </c>
      <c r="G3533" s="3">
        <v>0</v>
      </c>
      <c r="H3533" s="20" t="s">
        <v>6994</v>
      </c>
      <c r="I3533" s="20" t="s">
        <v>5680</v>
      </c>
      <c r="J3533" s="20" t="s">
        <v>2860</v>
      </c>
      <c r="K3533" s="20" t="s">
        <v>10013</v>
      </c>
      <c r="L3533" s="3">
        <v>30</v>
      </c>
      <c r="M3533" s="3" t="s">
        <v>10353</v>
      </c>
      <c r="N3533" s="3" t="str">
        <f>HYPERLINK("http://ictvonline.org/taxonomyHistory.asp?taxnode_id=20163656","ICTVonline=20163656")</f>
        <v>ICTVonline=20163656</v>
      </c>
    </row>
    <row r="3534" spans="1:14" x14ac:dyDescent="0.15">
      <c r="A3534" s="3">
        <v>3533</v>
      </c>
      <c r="B3534" s="1" t="s">
        <v>926</v>
      </c>
      <c r="C3534" s="1" t="s">
        <v>1019</v>
      </c>
      <c r="E3534" s="1" t="s">
        <v>5660</v>
      </c>
      <c r="F3534" s="1" t="s">
        <v>5681</v>
      </c>
      <c r="G3534" s="3">
        <v>0</v>
      </c>
      <c r="H3534" s="20" t="s">
        <v>6995</v>
      </c>
      <c r="I3534" s="20" t="s">
        <v>5682</v>
      </c>
      <c r="J3534" s="20" t="s">
        <v>2860</v>
      </c>
      <c r="K3534" s="20" t="s">
        <v>10013</v>
      </c>
      <c r="L3534" s="3">
        <v>30</v>
      </c>
      <c r="M3534" s="3" t="s">
        <v>10353</v>
      </c>
      <c r="N3534" s="3" t="str">
        <f>HYPERLINK("http://ictvonline.org/taxonomyHistory.asp?taxnode_id=20163657","ICTVonline=20163657")</f>
        <v>ICTVonline=20163657</v>
      </c>
    </row>
    <row r="3535" spans="1:14" x14ac:dyDescent="0.15">
      <c r="A3535" s="3">
        <v>3534</v>
      </c>
      <c r="B3535" s="1" t="s">
        <v>926</v>
      </c>
      <c r="C3535" s="1" t="s">
        <v>1019</v>
      </c>
      <c r="E3535" s="1" t="s">
        <v>5660</v>
      </c>
      <c r="F3535" s="1" t="s">
        <v>5683</v>
      </c>
      <c r="G3535" s="3">
        <v>0</v>
      </c>
      <c r="H3535" s="20" t="s">
        <v>6996</v>
      </c>
      <c r="I3535" s="20" t="s">
        <v>5684</v>
      </c>
      <c r="J3535" s="20" t="s">
        <v>2860</v>
      </c>
      <c r="K3535" s="20" t="s">
        <v>10013</v>
      </c>
      <c r="L3535" s="3">
        <v>30</v>
      </c>
      <c r="M3535" s="3" t="s">
        <v>10353</v>
      </c>
      <c r="N3535" s="3" t="str">
        <f>HYPERLINK("http://ictvonline.org/taxonomyHistory.asp?taxnode_id=20163658","ICTVonline=20163658")</f>
        <v>ICTVonline=20163658</v>
      </c>
    </row>
    <row r="3536" spans="1:14" x14ac:dyDescent="0.15">
      <c r="A3536" s="3">
        <v>3535</v>
      </c>
      <c r="B3536" s="1" t="s">
        <v>926</v>
      </c>
      <c r="C3536" s="1" t="s">
        <v>1019</v>
      </c>
      <c r="E3536" s="1" t="s">
        <v>5660</v>
      </c>
      <c r="F3536" s="1" t="s">
        <v>5685</v>
      </c>
      <c r="G3536" s="3">
        <v>0</v>
      </c>
      <c r="H3536" s="20" t="s">
        <v>6997</v>
      </c>
      <c r="I3536" s="20" t="s">
        <v>5686</v>
      </c>
      <c r="J3536" s="20" t="s">
        <v>2860</v>
      </c>
      <c r="K3536" s="20" t="s">
        <v>10013</v>
      </c>
      <c r="L3536" s="3">
        <v>30</v>
      </c>
      <c r="M3536" s="3" t="s">
        <v>10353</v>
      </c>
      <c r="N3536" s="3" t="str">
        <f>HYPERLINK("http://ictvonline.org/taxonomyHistory.asp?taxnode_id=20163659","ICTVonline=20163659")</f>
        <v>ICTVonline=20163659</v>
      </c>
    </row>
    <row r="3537" spans="1:14" x14ac:dyDescent="0.15">
      <c r="A3537" s="3">
        <v>3536</v>
      </c>
      <c r="B3537" s="1" t="s">
        <v>926</v>
      </c>
      <c r="C3537" s="1" t="s">
        <v>1019</v>
      </c>
      <c r="E3537" s="1" t="s">
        <v>5660</v>
      </c>
      <c r="F3537" s="1" t="s">
        <v>5687</v>
      </c>
      <c r="G3537" s="3">
        <v>0</v>
      </c>
      <c r="H3537" s="20" t="s">
        <v>6998</v>
      </c>
      <c r="I3537" s="20" t="s">
        <v>5688</v>
      </c>
      <c r="J3537" s="20" t="s">
        <v>2860</v>
      </c>
      <c r="K3537" s="20" t="s">
        <v>10013</v>
      </c>
      <c r="L3537" s="3">
        <v>30</v>
      </c>
      <c r="M3537" s="3" t="s">
        <v>10353</v>
      </c>
      <c r="N3537" s="3" t="str">
        <f>HYPERLINK("http://ictvonline.org/taxonomyHistory.asp?taxnode_id=20163660","ICTVonline=20163660")</f>
        <v>ICTVonline=20163660</v>
      </c>
    </row>
    <row r="3538" spans="1:14" x14ac:dyDescent="0.15">
      <c r="A3538" s="3">
        <v>3537</v>
      </c>
      <c r="B3538" s="1" t="s">
        <v>926</v>
      </c>
      <c r="C3538" s="1" t="s">
        <v>1019</v>
      </c>
      <c r="E3538" s="1" t="s">
        <v>5660</v>
      </c>
      <c r="F3538" s="1" t="s">
        <v>5689</v>
      </c>
      <c r="G3538" s="3">
        <v>0</v>
      </c>
      <c r="H3538" s="20" t="s">
        <v>6999</v>
      </c>
      <c r="I3538" s="20" t="s">
        <v>5690</v>
      </c>
      <c r="J3538" s="20" t="s">
        <v>2860</v>
      </c>
      <c r="K3538" s="20" t="s">
        <v>10013</v>
      </c>
      <c r="L3538" s="3">
        <v>30</v>
      </c>
      <c r="M3538" s="3" t="s">
        <v>10353</v>
      </c>
      <c r="N3538" s="3" t="str">
        <f>HYPERLINK("http://ictvonline.org/taxonomyHistory.asp?taxnode_id=20163661","ICTVonline=20163661")</f>
        <v>ICTVonline=20163661</v>
      </c>
    </row>
    <row r="3539" spans="1:14" x14ac:dyDescent="0.15">
      <c r="A3539" s="3">
        <v>3538</v>
      </c>
      <c r="B3539" s="1" t="s">
        <v>926</v>
      </c>
      <c r="C3539" s="1" t="s">
        <v>1019</v>
      </c>
      <c r="E3539" s="1" t="s">
        <v>5660</v>
      </c>
      <c r="F3539" s="1" t="s">
        <v>5691</v>
      </c>
      <c r="G3539" s="3">
        <v>0</v>
      </c>
      <c r="H3539" s="20" t="s">
        <v>7000</v>
      </c>
      <c r="I3539" s="20" t="s">
        <v>5692</v>
      </c>
      <c r="J3539" s="20" t="s">
        <v>2860</v>
      </c>
      <c r="K3539" s="20" t="s">
        <v>10013</v>
      </c>
      <c r="L3539" s="3">
        <v>30</v>
      </c>
      <c r="M3539" s="3" t="s">
        <v>10353</v>
      </c>
      <c r="N3539" s="3" t="str">
        <f>HYPERLINK("http://ictvonline.org/taxonomyHistory.asp?taxnode_id=20163662","ICTVonline=20163662")</f>
        <v>ICTVonline=20163662</v>
      </c>
    </row>
    <row r="3540" spans="1:14" x14ac:dyDescent="0.15">
      <c r="A3540" s="3">
        <v>3539</v>
      </c>
      <c r="B3540" s="1" t="s">
        <v>926</v>
      </c>
      <c r="C3540" s="1" t="s">
        <v>1019</v>
      </c>
      <c r="E3540" s="1" t="s">
        <v>5660</v>
      </c>
      <c r="F3540" s="1" t="s">
        <v>5693</v>
      </c>
      <c r="G3540" s="3">
        <v>0</v>
      </c>
      <c r="H3540" s="20" t="s">
        <v>7001</v>
      </c>
      <c r="I3540" s="20" t="s">
        <v>5694</v>
      </c>
      <c r="J3540" s="20" t="s">
        <v>2860</v>
      </c>
      <c r="K3540" s="20" t="s">
        <v>10013</v>
      </c>
      <c r="L3540" s="3">
        <v>30</v>
      </c>
      <c r="M3540" s="3" t="s">
        <v>10353</v>
      </c>
      <c r="N3540" s="3" t="str">
        <f>HYPERLINK("http://ictvonline.org/taxonomyHistory.asp?taxnode_id=20163663","ICTVonline=20163663")</f>
        <v>ICTVonline=20163663</v>
      </c>
    </row>
    <row r="3541" spans="1:14" x14ac:dyDescent="0.15">
      <c r="A3541" s="3">
        <v>3540</v>
      </c>
      <c r="B3541" s="1" t="s">
        <v>926</v>
      </c>
      <c r="C3541" s="1" t="s">
        <v>1019</v>
      </c>
      <c r="E3541" s="1" t="s">
        <v>5660</v>
      </c>
      <c r="F3541" s="1" t="s">
        <v>5695</v>
      </c>
      <c r="G3541" s="3">
        <v>0</v>
      </c>
      <c r="I3541" s="20" t="s">
        <v>471</v>
      </c>
      <c r="J3541" s="20" t="s">
        <v>2860</v>
      </c>
      <c r="K3541" s="20" t="s">
        <v>10014</v>
      </c>
      <c r="L3541" s="3">
        <v>30</v>
      </c>
      <c r="M3541" s="3" t="s">
        <v>10353</v>
      </c>
      <c r="N3541" s="3" t="str">
        <f>HYPERLINK("http://ictvonline.org/taxonomyHistory.asp?taxnode_id=20163664","ICTVonline=20163664")</f>
        <v>ICTVonline=20163664</v>
      </c>
    </row>
    <row r="3542" spans="1:14" x14ac:dyDescent="0.15">
      <c r="A3542" s="3">
        <v>3541</v>
      </c>
      <c r="B3542" s="1" t="s">
        <v>926</v>
      </c>
      <c r="C3542" s="1" t="s">
        <v>1019</v>
      </c>
      <c r="E3542" s="1" t="s">
        <v>5660</v>
      </c>
      <c r="F3542" s="1" t="s">
        <v>5696</v>
      </c>
      <c r="G3542" s="3">
        <v>0</v>
      </c>
      <c r="H3542" s="20" t="s">
        <v>7002</v>
      </c>
      <c r="I3542" s="20" t="s">
        <v>5697</v>
      </c>
      <c r="J3542" s="20" t="s">
        <v>2860</v>
      </c>
      <c r="K3542" s="20" t="s">
        <v>10013</v>
      </c>
      <c r="L3542" s="3">
        <v>30</v>
      </c>
      <c r="M3542" s="3" t="s">
        <v>10353</v>
      </c>
      <c r="N3542" s="3" t="str">
        <f>HYPERLINK("http://ictvonline.org/taxonomyHistory.asp?taxnode_id=20163665","ICTVonline=20163665")</f>
        <v>ICTVonline=20163665</v>
      </c>
    </row>
    <row r="3543" spans="1:14" x14ac:dyDescent="0.15">
      <c r="A3543" s="3">
        <v>3542</v>
      </c>
      <c r="B3543" s="1" t="s">
        <v>926</v>
      </c>
      <c r="C3543" s="1" t="s">
        <v>1019</v>
      </c>
      <c r="E3543" s="1" t="s">
        <v>5660</v>
      </c>
      <c r="F3543" s="1" t="s">
        <v>5698</v>
      </c>
      <c r="G3543" s="3">
        <v>1</v>
      </c>
      <c r="I3543" s="20" t="s">
        <v>2119</v>
      </c>
      <c r="J3543" s="20" t="s">
        <v>2860</v>
      </c>
      <c r="K3543" s="20" t="s">
        <v>10014</v>
      </c>
      <c r="L3543" s="3">
        <v>30</v>
      </c>
      <c r="M3543" s="3" t="s">
        <v>10353</v>
      </c>
      <c r="N3543" s="3" t="str">
        <f>HYPERLINK("http://ictvonline.org/taxonomyHistory.asp?taxnode_id=20163666","ICTVonline=20163666")</f>
        <v>ICTVonline=20163666</v>
      </c>
    </row>
    <row r="3544" spans="1:14" x14ac:dyDescent="0.15">
      <c r="A3544" s="3">
        <v>3543</v>
      </c>
      <c r="B3544" s="1" t="s">
        <v>926</v>
      </c>
      <c r="C3544" s="1" t="s">
        <v>1019</v>
      </c>
      <c r="E3544" s="1" t="s">
        <v>5660</v>
      </c>
      <c r="F3544" s="1" t="s">
        <v>5699</v>
      </c>
      <c r="G3544" s="3">
        <v>0</v>
      </c>
      <c r="H3544" s="20" t="s">
        <v>7003</v>
      </c>
      <c r="I3544" s="20" t="s">
        <v>5700</v>
      </c>
      <c r="J3544" s="20" t="s">
        <v>2860</v>
      </c>
      <c r="K3544" s="20" t="s">
        <v>10013</v>
      </c>
      <c r="L3544" s="3">
        <v>30</v>
      </c>
      <c r="M3544" s="3" t="s">
        <v>10353</v>
      </c>
      <c r="N3544" s="3" t="str">
        <f>HYPERLINK("http://ictvonline.org/taxonomyHistory.asp?taxnode_id=20163667","ICTVonline=20163667")</f>
        <v>ICTVonline=20163667</v>
      </c>
    </row>
    <row r="3545" spans="1:14" x14ac:dyDescent="0.15">
      <c r="A3545" s="3">
        <v>3544</v>
      </c>
      <c r="B3545" s="1" t="s">
        <v>926</v>
      </c>
      <c r="C3545" s="1" t="s">
        <v>1019</v>
      </c>
      <c r="E3545" s="1" t="s">
        <v>5660</v>
      </c>
      <c r="F3545" s="1" t="s">
        <v>5701</v>
      </c>
      <c r="G3545" s="3">
        <v>0</v>
      </c>
      <c r="H3545" s="20" t="s">
        <v>7004</v>
      </c>
      <c r="I3545" s="20" t="s">
        <v>5702</v>
      </c>
      <c r="J3545" s="20" t="s">
        <v>2860</v>
      </c>
      <c r="K3545" s="20" t="s">
        <v>10013</v>
      </c>
      <c r="L3545" s="3">
        <v>30</v>
      </c>
      <c r="M3545" s="3" t="s">
        <v>10353</v>
      </c>
      <c r="N3545" s="3" t="str">
        <f>HYPERLINK("http://ictvonline.org/taxonomyHistory.asp?taxnode_id=20163668","ICTVonline=20163668")</f>
        <v>ICTVonline=20163668</v>
      </c>
    </row>
    <row r="3546" spans="1:14" x14ac:dyDescent="0.15">
      <c r="A3546" s="3">
        <v>3545</v>
      </c>
      <c r="B3546" s="1" t="s">
        <v>926</v>
      </c>
      <c r="C3546" s="1" t="s">
        <v>1019</v>
      </c>
      <c r="E3546" s="1" t="s">
        <v>5660</v>
      </c>
      <c r="F3546" s="1" t="s">
        <v>5703</v>
      </c>
      <c r="G3546" s="3">
        <v>0</v>
      </c>
      <c r="H3546" s="20" t="s">
        <v>7005</v>
      </c>
      <c r="I3546" s="20" t="s">
        <v>5704</v>
      </c>
      <c r="J3546" s="20" t="s">
        <v>2860</v>
      </c>
      <c r="K3546" s="20" t="s">
        <v>10013</v>
      </c>
      <c r="L3546" s="3">
        <v>30</v>
      </c>
      <c r="M3546" s="3" t="s">
        <v>10353</v>
      </c>
      <c r="N3546" s="3" t="str">
        <f>HYPERLINK("http://ictvonline.org/taxonomyHistory.asp?taxnode_id=20163669","ICTVonline=20163669")</f>
        <v>ICTVonline=20163669</v>
      </c>
    </row>
    <row r="3547" spans="1:14" x14ac:dyDescent="0.15">
      <c r="A3547" s="3">
        <v>3546</v>
      </c>
      <c r="B3547" s="1" t="s">
        <v>926</v>
      </c>
      <c r="C3547" s="1" t="s">
        <v>1019</v>
      </c>
      <c r="E3547" s="1" t="s">
        <v>5660</v>
      </c>
      <c r="F3547" s="1" t="s">
        <v>5705</v>
      </c>
      <c r="G3547" s="3">
        <v>0</v>
      </c>
      <c r="H3547" s="20" t="s">
        <v>7006</v>
      </c>
      <c r="I3547" s="20" t="s">
        <v>5706</v>
      </c>
      <c r="J3547" s="20" t="s">
        <v>2860</v>
      </c>
      <c r="K3547" s="20" t="s">
        <v>10013</v>
      </c>
      <c r="L3547" s="3">
        <v>30</v>
      </c>
      <c r="M3547" s="3" t="s">
        <v>10353</v>
      </c>
      <c r="N3547" s="3" t="str">
        <f>HYPERLINK("http://ictvonline.org/taxonomyHistory.asp?taxnode_id=20163670","ICTVonline=20163670")</f>
        <v>ICTVonline=20163670</v>
      </c>
    </row>
    <row r="3548" spans="1:14" x14ac:dyDescent="0.15">
      <c r="A3548" s="3">
        <v>3547</v>
      </c>
      <c r="B3548" s="1" t="s">
        <v>926</v>
      </c>
      <c r="C3548" s="1" t="s">
        <v>1019</v>
      </c>
      <c r="E3548" s="1" t="s">
        <v>5660</v>
      </c>
      <c r="F3548" s="1" t="s">
        <v>5707</v>
      </c>
      <c r="G3548" s="3">
        <v>0</v>
      </c>
      <c r="H3548" s="20" t="s">
        <v>7007</v>
      </c>
      <c r="I3548" s="20" t="s">
        <v>5708</v>
      </c>
      <c r="J3548" s="20" t="s">
        <v>2860</v>
      </c>
      <c r="K3548" s="20" t="s">
        <v>10013</v>
      </c>
      <c r="L3548" s="3">
        <v>30</v>
      </c>
      <c r="M3548" s="3" t="s">
        <v>10353</v>
      </c>
      <c r="N3548" s="3" t="str">
        <f>HYPERLINK("http://ictvonline.org/taxonomyHistory.asp?taxnode_id=20163671","ICTVonline=20163671")</f>
        <v>ICTVonline=20163671</v>
      </c>
    </row>
    <row r="3549" spans="1:14" x14ac:dyDescent="0.15">
      <c r="A3549" s="3">
        <v>3548</v>
      </c>
      <c r="B3549" s="1" t="s">
        <v>926</v>
      </c>
      <c r="C3549" s="1" t="s">
        <v>1019</v>
      </c>
      <c r="E3549" s="1" t="s">
        <v>5660</v>
      </c>
      <c r="F3549" s="1" t="s">
        <v>5709</v>
      </c>
      <c r="G3549" s="3">
        <v>0</v>
      </c>
      <c r="H3549" s="20" t="s">
        <v>7008</v>
      </c>
      <c r="I3549" s="20" t="s">
        <v>5710</v>
      </c>
      <c r="J3549" s="20" t="s">
        <v>2860</v>
      </c>
      <c r="K3549" s="20" t="s">
        <v>10013</v>
      </c>
      <c r="L3549" s="3">
        <v>30</v>
      </c>
      <c r="M3549" s="3" t="s">
        <v>10353</v>
      </c>
      <c r="N3549" s="3" t="str">
        <f>HYPERLINK("http://ictvonline.org/taxonomyHistory.asp?taxnode_id=20163672","ICTVonline=20163672")</f>
        <v>ICTVonline=20163672</v>
      </c>
    </row>
    <row r="3550" spans="1:14" x14ac:dyDescent="0.15">
      <c r="A3550" s="3">
        <v>3549</v>
      </c>
      <c r="B3550" s="1" t="s">
        <v>926</v>
      </c>
      <c r="C3550" s="1" t="s">
        <v>1019</v>
      </c>
      <c r="E3550" s="1" t="s">
        <v>5660</v>
      </c>
      <c r="F3550" s="1" t="s">
        <v>5711</v>
      </c>
      <c r="G3550" s="3">
        <v>0</v>
      </c>
      <c r="H3550" s="20" t="s">
        <v>7009</v>
      </c>
      <c r="I3550" s="20" t="s">
        <v>5712</v>
      </c>
      <c r="J3550" s="20" t="s">
        <v>2860</v>
      </c>
      <c r="K3550" s="20" t="s">
        <v>10013</v>
      </c>
      <c r="L3550" s="3">
        <v>30</v>
      </c>
      <c r="M3550" s="3" t="s">
        <v>10353</v>
      </c>
      <c r="N3550" s="3" t="str">
        <f>HYPERLINK("http://ictvonline.org/taxonomyHistory.asp?taxnode_id=20163673","ICTVonline=20163673")</f>
        <v>ICTVonline=20163673</v>
      </c>
    </row>
    <row r="3551" spans="1:14" x14ac:dyDescent="0.15">
      <c r="A3551" s="3">
        <v>3550</v>
      </c>
      <c r="B3551" s="1" t="s">
        <v>926</v>
      </c>
      <c r="C3551" s="1" t="s">
        <v>1019</v>
      </c>
      <c r="E3551" s="1" t="s">
        <v>5660</v>
      </c>
      <c r="F3551" s="1" t="s">
        <v>5713</v>
      </c>
      <c r="G3551" s="3">
        <v>0</v>
      </c>
      <c r="H3551" s="20" t="s">
        <v>7010</v>
      </c>
      <c r="I3551" s="20" t="s">
        <v>5714</v>
      </c>
      <c r="J3551" s="20" t="s">
        <v>2860</v>
      </c>
      <c r="K3551" s="20" t="s">
        <v>10013</v>
      </c>
      <c r="L3551" s="3">
        <v>30</v>
      </c>
      <c r="M3551" s="3" t="s">
        <v>10353</v>
      </c>
      <c r="N3551" s="3" t="str">
        <f>HYPERLINK("http://ictvonline.org/taxonomyHistory.asp?taxnode_id=20163674","ICTVonline=20163674")</f>
        <v>ICTVonline=20163674</v>
      </c>
    </row>
    <row r="3552" spans="1:14" x14ac:dyDescent="0.15">
      <c r="A3552" s="3">
        <v>3551</v>
      </c>
      <c r="B3552" s="1" t="s">
        <v>926</v>
      </c>
      <c r="C3552" s="1" t="s">
        <v>1019</v>
      </c>
      <c r="E3552" s="1" t="s">
        <v>5660</v>
      </c>
      <c r="F3552" s="1" t="s">
        <v>5715</v>
      </c>
      <c r="G3552" s="3">
        <v>0</v>
      </c>
      <c r="H3552" s="20" t="s">
        <v>7011</v>
      </c>
      <c r="I3552" s="20" t="s">
        <v>5716</v>
      </c>
      <c r="J3552" s="20" t="s">
        <v>2860</v>
      </c>
      <c r="K3552" s="20" t="s">
        <v>10013</v>
      </c>
      <c r="L3552" s="3">
        <v>30</v>
      </c>
      <c r="M3552" s="3" t="s">
        <v>10353</v>
      </c>
      <c r="N3552" s="3" t="str">
        <f>HYPERLINK("http://ictvonline.org/taxonomyHistory.asp?taxnode_id=20163675","ICTVonline=20163675")</f>
        <v>ICTVonline=20163675</v>
      </c>
    </row>
    <row r="3553" spans="1:14" x14ac:dyDescent="0.15">
      <c r="A3553" s="3">
        <v>3552</v>
      </c>
      <c r="B3553" s="1" t="s">
        <v>926</v>
      </c>
      <c r="C3553" s="1" t="s">
        <v>1019</v>
      </c>
      <c r="E3553" s="1" t="s">
        <v>5660</v>
      </c>
      <c r="F3553" s="1" t="s">
        <v>5717</v>
      </c>
      <c r="G3553" s="3">
        <v>0</v>
      </c>
      <c r="H3553" s="20" t="s">
        <v>7012</v>
      </c>
      <c r="I3553" s="20" t="s">
        <v>5718</v>
      </c>
      <c r="J3553" s="20" t="s">
        <v>2860</v>
      </c>
      <c r="K3553" s="20" t="s">
        <v>10013</v>
      </c>
      <c r="L3553" s="3">
        <v>30</v>
      </c>
      <c r="M3553" s="3" t="s">
        <v>10353</v>
      </c>
      <c r="N3553" s="3" t="str">
        <f>HYPERLINK("http://ictvonline.org/taxonomyHistory.asp?taxnode_id=20163676","ICTVonline=20163676")</f>
        <v>ICTVonline=20163676</v>
      </c>
    </row>
    <row r="3554" spans="1:14" x14ac:dyDescent="0.15">
      <c r="A3554" s="3">
        <v>3553</v>
      </c>
      <c r="B3554" s="1" t="s">
        <v>926</v>
      </c>
      <c r="C3554" s="1" t="s">
        <v>1019</v>
      </c>
      <c r="E3554" s="1" t="s">
        <v>5660</v>
      </c>
      <c r="F3554" s="1" t="s">
        <v>5719</v>
      </c>
      <c r="G3554" s="3">
        <v>0</v>
      </c>
      <c r="H3554" s="20" t="s">
        <v>7013</v>
      </c>
      <c r="I3554" s="20" t="s">
        <v>5720</v>
      </c>
      <c r="J3554" s="20" t="s">
        <v>2860</v>
      </c>
      <c r="K3554" s="20" t="s">
        <v>10013</v>
      </c>
      <c r="L3554" s="3">
        <v>30</v>
      </c>
      <c r="M3554" s="3" t="s">
        <v>10353</v>
      </c>
      <c r="N3554" s="3" t="str">
        <f>HYPERLINK("http://ictvonline.org/taxonomyHistory.asp?taxnode_id=20163677","ICTVonline=20163677")</f>
        <v>ICTVonline=20163677</v>
      </c>
    </row>
    <row r="3555" spans="1:14" x14ac:dyDescent="0.15">
      <c r="A3555" s="3">
        <v>3554</v>
      </c>
      <c r="B3555" s="1" t="s">
        <v>926</v>
      </c>
      <c r="C3555" s="1" t="s">
        <v>1019</v>
      </c>
      <c r="E3555" s="1" t="s">
        <v>5660</v>
      </c>
      <c r="F3555" s="1" t="s">
        <v>5721</v>
      </c>
      <c r="G3555" s="3">
        <v>0</v>
      </c>
      <c r="H3555" s="20" t="s">
        <v>7014</v>
      </c>
      <c r="I3555" s="20" t="s">
        <v>5722</v>
      </c>
      <c r="J3555" s="20" t="s">
        <v>2860</v>
      </c>
      <c r="K3555" s="20" t="s">
        <v>10013</v>
      </c>
      <c r="L3555" s="3">
        <v>30</v>
      </c>
      <c r="M3555" s="3" t="s">
        <v>10353</v>
      </c>
      <c r="N3555" s="3" t="str">
        <f>HYPERLINK("http://ictvonline.org/taxonomyHistory.asp?taxnode_id=20163678","ICTVonline=20163678")</f>
        <v>ICTVonline=20163678</v>
      </c>
    </row>
    <row r="3556" spans="1:14" x14ac:dyDescent="0.15">
      <c r="A3556" s="3">
        <v>3555</v>
      </c>
      <c r="B3556" s="1" t="s">
        <v>926</v>
      </c>
      <c r="C3556" s="1" t="s">
        <v>1019</v>
      </c>
      <c r="E3556" s="1" t="s">
        <v>5660</v>
      </c>
      <c r="F3556" s="1" t="s">
        <v>5723</v>
      </c>
      <c r="G3556" s="3">
        <v>0</v>
      </c>
      <c r="H3556" s="20" t="s">
        <v>7015</v>
      </c>
      <c r="I3556" s="20" t="s">
        <v>5724</v>
      </c>
      <c r="J3556" s="20" t="s">
        <v>2860</v>
      </c>
      <c r="K3556" s="20" t="s">
        <v>10013</v>
      </c>
      <c r="L3556" s="3">
        <v>30</v>
      </c>
      <c r="M3556" s="3" t="s">
        <v>10353</v>
      </c>
      <c r="N3556" s="3" t="str">
        <f>HYPERLINK("http://ictvonline.org/taxonomyHistory.asp?taxnode_id=20163679","ICTVonline=20163679")</f>
        <v>ICTVonline=20163679</v>
      </c>
    </row>
    <row r="3557" spans="1:14" x14ac:dyDescent="0.15">
      <c r="A3557" s="3">
        <v>3556</v>
      </c>
      <c r="B3557" s="1" t="s">
        <v>926</v>
      </c>
      <c r="C3557" s="1" t="s">
        <v>1019</v>
      </c>
      <c r="E3557" s="1" t="s">
        <v>5660</v>
      </c>
      <c r="F3557" s="1" t="s">
        <v>5725</v>
      </c>
      <c r="G3557" s="3">
        <v>0</v>
      </c>
      <c r="H3557" s="20" t="s">
        <v>7016</v>
      </c>
      <c r="I3557" s="20" t="s">
        <v>5726</v>
      </c>
      <c r="J3557" s="20" t="s">
        <v>2860</v>
      </c>
      <c r="K3557" s="20" t="s">
        <v>10013</v>
      </c>
      <c r="L3557" s="3">
        <v>30</v>
      </c>
      <c r="M3557" s="3" t="s">
        <v>10353</v>
      </c>
      <c r="N3557" s="3" t="str">
        <f>HYPERLINK("http://ictvonline.org/taxonomyHistory.asp?taxnode_id=20163680","ICTVonline=20163680")</f>
        <v>ICTVonline=20163680</v>
      </c>
    </row>
    <row r="3558" spans="1:14" x14ac:dyDescent="0.15">
      <c r="A3558" s="3">
        <v>3557</v>
      </c>
      <c r="B3558" s="1" t="s">
        <v>926</v>
      </c>
      <c r="C3558" s="1" t="s">
        <v>1019</v>
      </c>
      <c r="E3558" s="1" t="s">
        <v>5660</v>
      </c>
      <c r="F3558" s="1" t="s">
        <v>5727</v>
      </c>
      <c r="G3558" s="3">
        <v>0</v>
      </c>
      <c r="H3558" s="20" t="s">
        <v>7017</v>
      </c>
      <c r="I3558" s="20" t="s">
        <v>5728</v>
      </c>
      <c r="J3558" s="20" t="s">
        <v>2860</v>
      </c>
      <c r="K3558" s="20" t="s">
        <v>10013</v>
      </c>
      <c r="L3558" s="3">
        <v>30</v>
      </c>
      <c r="M3558" s="3" t="s">
        <v>10353</v>
      </c>
      <c r="N3558" s="3" t="str">
        <f>HYPERLINK("http://ictvonline.org/taxonomyHistory.asp?taxnode_id=20163681","ICTVonline=20163681")</f>
        <v>ICTVonline=20163681</v>
      </c>
    </row>
    <row r="3559" spans="1:14" x14ac:dyDescent="0.15">
      <c r="A3559" s="3">
        <v>3558</v>
      </c>
      <c r="B3559" s="1" t="s">
        <v>926</v>
      </c>
      <c r="C3559" s="1" t="s">
        <v>1019</v>
      </c>
      <c r="E3559" s="1" t="s">
        <v>5660</v>
      </c>
      <c r="F3559" s="1" t="s">
        <v>9690</v>
      </c>
      <c r="G3559" s="3">
        <v>0</v>
      </c>
      <c r="H3559" s="20" t="s">
        <v>9691</v>
      </c>
      <c r="I3559" s="20" t="s">
        <v>9692</v>
      </c>
      <c r="J3559" s="20" t="s">
        <v>2860</v>
      </c>
      <c r="K3559" s="20" t="s">
        <v>10013</v>
      </c>
      <c r="L3559" s="3">
        <v>31</v>
      </c>
      <c r="M3559" s="3" t="s">
        <v>9693</v>
      </c>
      <c r="N3559" s="3" t="str">
        <f>HYPERLINK("http://ictvonline.org/taxonomyHistory.asp?taxnode_id=20165413","ICTVonline=20165413")</f>
        <v>ICTVonline=20165413</v>
      </c>
    </row>
    <row r="3560" spans="1:14" x14ac:dyDescent="0.15">
      <c r="A3560" s="3">
        <v>3559</v>
      </c>
      <c r="B3560" s="1" t="s">
        <v>926</v>
      </c>
      <c r="C3560" s="1" t="s">
        <v>1019</v>
      </c>
      <c r="E3560" s="1" t="s">
        <v>5660</v>
      </c>
      <c r="F3560" s="1" t="s">
        <v>5729</v>
      </c>
      <c r="G3560" s="3">
        <v>0</v>
      </c>
      <c r="H3560" s="20" t="s">
        <v>7018</v>
      </c>
      <c r="I3560" s="20" t="s">
        <v>5730</v>
      </c>
      <c r="J3560" s="20" t="s">
        <v>2860</v>
      </c>
      <c r="K3560" s="20" t="s">
        <v>10013</v>
      </c>
      <c r="L3560" s="3">
        <v>30</v>
      </c>
      <c r="M3560" s="3" t="s">
        <v>10353</v>
      </c>
      <c r="N3560" s="3" t="str">
        <f>HYPERLINK("http://ictvonline.org/taxonomyHistory.asp?taxnode_id=20163682","ICTVonline=20163682")</f>
        <v>ICTVonline=20163682</v>
      </c>
    </row>
    <row r="3561" spans="1:14" x14ac:dyDescent="0.15">
      <c r="A3561" s="3">
        <v>3560</v>
      </c>
      <c r="B3561" s="1" t="s">
        <v>926</v>
      </c>
      <c r="C3561" s="1" t="s">
        <v>1019</v>
      </c>
      <c r="E3561" s="1" t="s">
        <v>5731</v>
      </c>
      <c r="F3561" s="1" t="s">
        <v>5732</v>
      </c>
      <c r="G3561" s="3">
        <v>0</v>
      </c>
      <c r="H3561" s="20" t="s">
        <v>7019</v>
      </c>
      <c r="I3561" s="20" t="s">
        <v>5733</v>
      </c>
      <c r="J3561" s="20" t="s">
        <v>2860</v>
      </c>
      <c r="K3561" s="20" t="s">
        <v>10013</v>
      </c>
      <c r="L3561" s="3">
        <v>30</v>
      </c>
      <c r="M3561" s="3" t="s">
        <v>10353</v>
      </c>
      <c r="N3561" s="3" t="str">
        <f>HYPERLINK("http://ictvonline.org/taxonomyHistory.asp?taxnode_id=20163684","ICTVonline=20163684")</f>
        <v>ICTVonline=20163684</v>
      </c>
    </row>
    <row r="3562" spans="1:14" x14ac:dyDescent="0.15">
      <c r="A3562" s="3">
        <v>3561</v>
      </c>
      <c r="B3562" s="1" t="s">
        <v>926</v>
      </c>
      <c r="C3562" s="1" t="s">
        <v>1019</v>
      </c>
      <c r="E3562" s="1" t="s">
        <v>5731</v>
      </c>
      <c r="F3562" s="1" t="s">
        <v>5734</v>
      </c>
      <c r="G3562" s="3">
        <v>0</v>
      </c>
      <c r="H3562" s="20" t="s">
        <v>7020</v>
      </c>
      <c r="I3562" s="20" t="s">
        <v>5735</v>
      </c>
      <c r="J3562" s="20" t="s">
        <v>2860</v>
      </c>
      <c r="K3562" s="20" t="s">
        <v>10013</v>
      </c>
      <c r="L3562" s="3">
        <v>30</v>
      </c>
      <c r="M3562" s="3" t="s">
        <v>10353</v>
      </c>
      <c r="N3562" s="3" t="str">
        <f>HYPERLINK("http://ictvonline.org/taxonomyHistory.asp?taxnode_id=20163685","ICTVonline=20163685")</f>
        <v>ICTVonline=20163685</v>
      </c>
    </row>
    <row r="3563" spans="1:14" x14ac:dyDescent="0.15">
      <c r="A3563" s="3">
        <v>3562</v>
      </c>
      <c r="B3563" s="1" t="s">
        <v>926</v>
      </c>
      <c r="C3563" s="1" t="s">
        <v>1019</v>
      </c>
      <c r="E3563" s="1" t="s">
        <v>5731</v>
      </c>
      <c r="F3563" s="1" t="s">
        <v>5736</v>
      </c>
      <c r="G3563" s="3">
        <v>0</v>
      </c>
      <c r="H3563" s="20" t="s">
        <v>7021</v>
      </c>
      <c r="I3563" s="20" t="s">
        <v>5737</v>
      </c>
      <c r="J3563" s="20" t="s">
        <v>2860</v>
      </c>
      <c r="K3563" s="20" t="s">
        <v>10013</v>
      </c>
      <c r="L3563" s="3">
        <v>30</v>
      </c>
      <c r="M3563" s="3" t="s">
        <v>10353</v>
      </c>
      <c r="N3563" s="3" t="str">
        <f>HYPERLINK("http://ictvonline.org/taxonomyHistory.asp?taxnode_id=20163686","ICTVonline=20163686")</f>
        <v>ICTVonline=20163686</v>
      </c>
    </row>
    <row r="3564" spans="1:14" x14ac:dyDescent="0.15">
      <c r="A3564" s="3">
        <v>3563</v>
      </c>
      <c r="B3564" s="1" t="s">
        <v>926</v>
      </c>
      <c r="C3564" s="1" t="s">
        <v>1019</v>
      </c>
      <c r="E3564" s="1" t="s">
        <v>5731</v>
      </c>
      <c r="F3564" s="1" t="s">
        <v>5738</v>
      </c>
      <c r="G3564" s="3">
        <v>0</v>
      </c>
      <c r="H3564" s="20" t="s">
        <v>7022</v>
      </c>
      <c r="I3564" s="20" t="s">
        <v>5739</v>
      </c>
      <c r="J3564" s="20" t="s">
        <v>2860</v>
      </c>
      <c r="K3564" s="20" t="s">
        <v>10013</v>
      </c>
      <c r="L3564" s="3">
        <v>30</v>
      </c>
      <c r="M3564" s="3" t="s">
        <v>10353</v>
      </c>
      <c r="N3564" s="3" t="str">
        <f>HYPERLINK("http://ictvonline.org/taxonomyHistory.asp?taxnode_id=20163687","ICTVonline=20163687")</f>
        <v>ICTVonline=20163687</v>
      </c>
    </row>
    <row r="3565" spans="1:14" x14ac:dyDescent="0.15">
      <c r="A3565" s="3">
        <v>3564</v>
      </c>
      <c r="B3565" s="1" t="s">
        <v>926</v>
      </c>
      <c r="C3565" s="1" t="s">
        <v>1019</v>
      </c>
      <c r="E3565" s="1" t="s">
        <v>5731</v>
      </c>
      <c r="F3565" s="1" t="s">
        <v>5740</v>
      </c>
      <c r="G3565" s="3">
        <v>0</v>
      </c>
      <c r="H3565" s="20" t="s">
        <v>7023</v>
      </c>
      <c r="I3565" s="20" t="s">
        <v>5741</v>
      </c>
      <c r="J3565" s="20" t="s">
        <v>2860</v>
      </c>
      <c r="K3565" s="20" t="s">
        <v>10013</v>
      </c>
      <c r="L3565" s="3">
        <v>30</v>
      </c>
      <c r="M3565" s="3" t="s">
        <v>10353</v>
      </c>
      <c r="N3565" s="3" t="str">
        <f>HYPERLINK("http://ictvonline.org/taxonomyHistory.asp?taxnode_id=20163688","ICTVonline=20163688")</f>
        <v>ICTVonline=20163688</v>
      </c>
    </row>
    <row r="3566" spans="1:14" x14ac:dyDescent="0.15">
      <c r="A3566" s="3">
        <v>3565</v>
      </c>
      <c r="B3566" s="1" t="s">
        <v>926</v>
      </c>
      <c r="C3566" s="1" t="s">
        <v>1019</v>
      </c>
      <c r="E3566" s="1" t="s">
        <v>5731</v>
      </c>
      <c r="F3566" s="1" t="s">
        <v>5742</v>
      </c>
      <c r="G3566" s="3">
        <v>0</v>
      </c>
      <c r="H3566" s="20" t="s">
        <v>7024</v>
      </c>
      <c r="I3566" s="20" t="s">
        <v>5743</v>
      </c>
      <c r="J3566" s="20" t="s">
        <v>2860</v>
      </c>
      <c r="K3566" s="20" t="s">
        <v>10013</v>
      </c>
      <c r="L3566" s="3">
        <v>30</v>
      </c>
      <c r="M3566" s="3" t="s">
        <v>10353</v>
      </c>
      <c r="N3566" s="3" t="str">
        <f>HYPERLINK("http://ictvonline.org/taxonomyHistory.asp?taxnode_id=20163689","ICTVonline=20163689")</f>
        <v>ICTVonline=20163689</v>
      </c>
    </row>
    <row r="3567" spans="1:14" x14ac:dyDescent="0.15">
      <c r="A3567" s="3">
        <v>3566</v>
      </c>
      <c r="B3567" s="1" t="s">
        <v>926</v>
      </c>
      <c r="C3567" s="1" t="s">
        <v>1019</v>
      </c>
      <c r="E3567" s="1" t="s">
        <v>5731</v>
      </c>
      <c r="F3567" s="1" t="s">
        <v>5744</v>
      </c>
      <c r="G3567" s="3">
        <v>0</v>
      </c>
      <c r="H3567" s="20" t="s">
        <v>7025</v>
      </c>
      <c r="I3567" s="20" t="s">
        <v>5745</v>
      </c>
      <c r="J3567" s="20" t="s">
        <v>2860</v>
      </c>
      <c r="K3567" s="20" t="s">
        <v>10013</v>
      </c>
      <c r="L3567" s="3">
        <v>30</v>
      </c>
      <c r="M3567" s="3" t="s">
        <v>10353</v>
      </c>
      <c r="N3567" s="3" t="str">
        <f>HYPERLINK("http://ictvonline.org/taxonomyHistory.asp?taxnode_id=20163690","ICTVonline=20163690")</f>
        <v>ICTVonline=20163690</v>
      </c>
    </row>
    <row r="3568" spans="1:14" x14ac:dyDescent="0.15">
      <c r="A3568" s="3">
        <v>3567</v>
      </c>
      <c r="B3568" s="1" t="s">
        <v>926</v>
      </c>
      <c r="C3568" s="1" t="s">
        <v>1019</v>
      </c>
      <c r="E3568" s="1" t="s">
        <v>5731</v>
      </c>
      <c r="F3568" s="1" t="s">
        <v>5746</v>
      </c>
      <c r="G3568" s="3">
        <v>0</v>
      </c>
      <c r="H3568" s="20" t="s">
        <v>7026</v>
      </c>
      <c r="I3568" s="20" t="s">
        <v>5747</v>
      </c>
      <c r="J3568" s="20" t="s">
        <v>2860</v>
      </c>
      <c r="K3568" s="20" t="s">
        <v>10013</v>
      </c>
      <c r="L3568" s="3">
        <v>30</v>
      </c>
      <c r="M3568" s="3" t="s">
        <v>10353</v>
      </c>
      <c r="N3568" s="3" t="str">
        <f>HYPERLINK("http://ictvonline.org/taxonomyHistory.asp?taxnode_id=20163691","ICTVonline=20163691")</f>
        <v>ICTVonline=20163691</v>
      </c>
    </row>
    <row r="3569" spans="1:14" x14ac:dyDescent="0.15">
      <c r="A3569" s="3">
        <v>3568</v>
      </c>
      <c r="B3569" s="1" t="s">
        <v>926</v>
      </c>
      <c r="C3569" s="1" t="s">
        <v>1019</v>
      </c>
      <c r="E3569" s="1" t="s">
        <v>5731</v>
      </c>
      <c r="F3569" s="1" t="s">
        <v>5748</v>
      </c>
      <c r="G3569" s="3">
        <v>0</v>
      </c>
      <c r="H3569" s="20" t="s">
        <v>7027</v>
      </c>
      <c r="I3569" s="20" t="s">
        <v>5749</v>
      </c>
      <c r="J3569" s="20" t="s">
        <v>2860</v>
      </c>
      <c r="K3569" s="20" t="s">
        <v>10013</v>
      </c>
      <c r="L3569" s="3">
        <v>30</v>
      </c>
      <c r="M3569" s="3" t="s">
        <v>10353</v>
      </c>
      <c r="N3569" s="3" t="str">
        <f>HYPERLINK("http://ictvonline.org/taxonomyHistory.asp?taxnode_id=20163692","ICTVonline=20163692")</f>
        <v>ICTVonline=20163692</v>
      </c>
    </row>
    <row r="3570" spans="1:14" x14ac:dyDescent="0.15">
      <c r="A3570" s="3">
        <v>3569</v>
      </c>
      <c r="B3570" s="1" t="s">
        <v>926</v>
      </c>
      <c r="C3570" s="1" t="s">
        <v>1019</v>
      </c>
      <c r="E3570" s="1" t="s">
        <v>5731</v>
      </c>
      <c r="F3570" s="1" t="s">
        <v>5750</v>
      </c>
      <c r="G3570" s="3">
        <v>0</v>
      </c>
      <c r="I3570" s="20" t="s">
        <v>921</v>
      </c>
      <c r="J3570" s="20" t="s">
        <v>2860</v>
      </c>
      <c r="K3570" s="20" t="s">
        <v>10014</v>
      </c>
      <c r="L3570" s="3">
        <v>30</v>
      </c>
      <c r="M3570" s="3" t="s">
        <v>10353</v>
      </c>
      <c r="N3570" s="3" t="str">
        <f>HYPERLINK("http://ictvonline.org/taxonomyHistory.asp?taxnode_id=20163693","ICTVonline=20163693")</f>
        <v>ICTVonline=20163693</v>
      </c>
    </row>
    <row r="3571" spans="1:14" x14ac:dyDescent="0.15">
      <c r="A3571" s="3">
        <v>3570</v>
      </c>
      <c r="B3571" s="1" t="s">
        <v>926</v>
      </c>
      <c r="C3571" s="1" t="s">
        <v>1019</v>
      </c>
      <c r="E3571" s="1" t="s">
        <v>5731</v>
      </c>
      <c r="F3571" s="1" t="s">
        <v>5751</v>
      </c>
      <c r="G3571" s="3">
        <v>0</v>
      </c>
      <c r="I3571" s="20" t="s">
        <v>2117</v>
      </c>
      <c r="J3571" s="20" t="s">
        <v>2860</v>
      </c>
      <c r="K3571" s="20" t="s">
        <v>10014</v>
      </c>
      <c r="L3571" s="3">
        <v>30</v>
      </c>
      <c r="M3571" s="3" t="s">
        <v>10353</v>
      </c>
      <c r="N3571" s="3" t="str">
        <f>HYPERLINK("http://ictvonline.org/taxonomyHistory.asp?taxnode_id=20163694","ICTVonline=20163694")</f>
        <v>ICTVonline=20163694</v>
      </c>
    </row>
    <row r="3572" spans="1:14" x14ac:dyDescent="0.15">
      <c r="A3572" s="3">
        <v>3571</v>
      </c>
      <c r="B3572" s="1" t="s">
        <v>926</v>
      </c>
      <c r="C3572" s="1" t="s">
        <v>1019</v>
      </c>
      <c r="E3572" s="1" t="s">
        <v>5731</v>
      </c>
      <c r="F3572" s="1" t="s">
        <v>5752</v>
      </c>
      <c r="G3572" s="3">
        <v>0</v>
      </c>
      <c r="H3572" s="20" t="s">
        <v>7028</v>
      </c>
      <c r="I3572" s="20" t="s">
        <v>5753</v>
      </c>
      <c r="J3572" s="20" t="s">
        <v>2860</v>
      </c>
      <c r="K3572" s="20" t="s">
        <v>10013</v>
      </c>
      <c r="L3572" s="3">
        <v>30</v>
      </c>
      <c r="M3572" s="3" t="s">
        <v>10353</v>
      </c>
      <c r="N3572" s="3" t="str">
        <f>HYPERLINK("http://ictvonline.org/taxonomyHistory.asp?taxnode_id=20163695","ICTVonline=20163695")</f>
        <v>ICTVonline=20163695</v>
      </c>
    </row>
    <row r="3573" spans="1:14" x14ac:dyDescent="0.15">
      <c r="A3573" s="3">
        <v>3572</v>
      </c>
      <c r="B3573" s="1" t="s">
        <v>926</v>
      </c>
      <c r="C3573" s="1" t="s">
        <v>1019</v>
      </c>
      <c r="E3573" s="1" t="s">
        <v>5731</v>
      </c>
      <c r="F3573" s="1" t="s">
        <v>5754</v>
      </c>
      <c r="G3573" s="3">
        <v>0</v>
      </c>
      <c r="H3573" s="20" t="s">
        <v>7029</v>
      </c>
      <c r="I3573" s="20" t="s">
        <v>5755</v>
      </c>
      <c r="J3573" s="20" t="s">
        <v>2860</v>
      </c>
      <c r="K3573" s="20" t="s">
        <v>10013</v>
      </c>
      <c r="L3573" s="3">
        <v>30</v>
      </c>
      <c r="M3573" s="3" t="s">
        <v>10353</v>
      </c>
      <c r="N3573" s="3" t="str">
        <f>HYPERLINK("http://ictvonline.org/taxonomyHistory.asp?taxnode_id=20163696","ICTVonline=20163696")</f>
        <v>ICTVonline=20163696</v>
      </c>
    </row>
    <row r="3574" spans="1:14" x14ac:dyDescent="0.15">
      <c r="A3574" s="3">
        <v>3573</v>
      </c>
      <c r="B3574" s="1" t="s">
        <v>926</v>
      </c>
      <c r="C3574" s="1" t="s">
        <v>1019</v>
      </c>
      <c r="E3574" s="1" t="s">
        <v>5731</v>
      </c>
      <c r="F3574" s="1" t="s">
        <v>5756</v>
      </c>
      <c r="G3574" s="3">
        <v>0</v>
      </c>
      <c r="H3574" s="20" t="s">
        <v>7030</v>
      </c>
      <c r="I3574" s="20" t="s">
        <v>5757</v>
      </c>
      <c r="J3574" s="20" t="s">
        <v>2860</v>
      </c>
      <c r="K3574" s="20" t="s">
        <v>10013</v>
      </c>
      <c r="L3574" s="3">
        <v>30</v>
      </c>
      <c r="M3574" s="3" t="s">
        <v>10353</v>
      </c>
      <c r="N3574" s="3" t="str">
        <f>HYPERLINK("http://ictvonline.org/taxonomyHistory.asp?taxnode_id=20163697","ICTVonline=20163697")</f>
        <v>ICTVonline=20163697</v>
      </c>
    </row>
    <row r="3575" spans="1:14" x14ac:dyDescent="0.15">
      <c r="A3575" s="3">
        <v>3574</v>
      </c>
      <c r="B3575" s="1" t="s">
        <v>926</v>
      </c>
      <c r="C3575" s="1" t="s">
        <v>1019</v>
      </c>
      <c r="E3575" s="1" t="s">
        <v>5731</v>
      </c>
      <c r="F3575" s="1" t="s">
        <v>5758</v>
      </c>
      <c r="G3575" s="3">
        <v>1</v>
      </c>
      <c r="I3575" s="20" t="s">
        <v>2120</v>
      </c>
      <c r="J3575" s="20" t="s">
        <v>2860</v>
      </c>
      <c r="K3575" s="20" t="s">
        <v>10014</v>
      </c>
      <c r="L3575" s="3">
        <v>30</v>
      </c>
      <c r="M3575" s="3" t="s">
        <v>10353</v>
      </c>
      <c r="N3575" s="3" t="str">
        <f>HYPERLINK("http://ictvonline.org/taxonomyHistory.asp?taxnode_id=20163698","ICTVonline=20163698")</f>
        <v>ICTVonline=20163698</v>
      </c>
    </row>
    <row r="3576" spans="1:14" x14ac:dyDescent="0.15">
      <c r="A3576" s="3">
        <v>3575</v>
      </c>
      <c r="B3576" s="1" t="s">
        <v>926</v>
      </c>
      <c r="C3576" s="1" t="s">
        <v>1019</v>
      </c>
      <c r="E3576" s="1" t="s">
        <v>5731</v>
      </c>
      <c r="F3576" s="1" t="s">
        <v>5759</v>
      </c>
      <c r="G3576" s="3">
        <v>0</v>
      </c>
      <c r="H3576" s="20" t="s">
        <v>7031</v>
      </c>
      <c r="I3576" s="20" t="s">
        <v>5760</v>
      </c>
      <c r="J3576" s="20" t="s">
        <v>2860</v>
      </c>
      <c r="K3576" s="20" t="s">
        <v>10013</v>
      </c>
      <c r="L3576" s="3">
        <v>30</v>
      </c>
      <c r="M3576" s="3" t="s">
        <v>10353</v>
      </c>
      <c r="N3576" s="3" t="str">
        <f>HYPERLINK("http://ictvonline.org/taxonomyHistory.asp?taxnode_id=20163699","ICTVonline=20163699")</f>
        <v>ICTVonline=20163699</v>
      </c>
    </row>
    <row r="3577" spans="1:14" x14ac:dyDescent="0.15">
      <c r="A3577" s="3">
        <v>3576</v>
      </c>
      <c r="B3577" s="1" t="s">
        <v>926</v>
      </c>
      <c r="C3577" s="1" t="s">
        <v>1019</v>
      </c>
      <c r="E3577" s="1" t="s">
        <v>5731</v>
      </c>
      <c r="F3577" s="1" t="s">
        <v>5761</v>
      </c>
      <c r="G3577" s="3">
        <v>0</v>
      </c>
      <c r="H3577" s="20" t="s">
        <v>7032</v>
      </c>
      <c r="I3577" s="20" t="s">
        <v>5762</v>
      </c>
      <c r="J3577" s="20" t="s">
        <v>2860</v>
      </c>
      <c r="K3577" s="20" t="s">
        <v>10013</v>
      </c>
      <c r="L3577" s="3">
        <v>30</v>
      </c>
      <c r="M3577" s="3" t="s">
        <v>10353</v>
      </c>
      <c r="N3577" s="3" t="str">
        <f>HYPERLINK("http://ictvonline.org/taxonomyHistory.asp?taxnode_id=20163700","ICTVonline=20163700")</f>
        <v>ICTVonline=20163700</v>
      </c>
    </row>
    <row r="3578" spans="1:14" x14ac:dyDescent="0.15">
      <c r="A3578" s="3">
        <v>3577</v>
      </c>
      <c r="B3578" s="1" t="s">
        <v>926</v>
      </c>
      <c r="C3578" s="1" t="s">
        <v>1019</v>
      </c>
      <c r="E3578" s="1" t="s">
        <v>5731</v>
      </c>
      <c r="F3578" s="1" t="s">
        <v>9694</v>
      </c>
      <c r="G3578" s="3">
        <v>0</v>
      </c>
      <c r="H3578" s="20" t="s">
        <v>9695</v>
      </c>
      <c r="I3578" s="20" t="s">
        <v>9696</v>
      </c>
      <c r="J3578" s="20" t="s">
        <v>2860</v>
      </c>
      <c r="K3578" s="20" t="s">
        <v>10013</v>
      </c>
      <c r="L3578" s="3">
        <v>31</v>
      </c>
      <c r="M3578" s="3" t="s">
        <v>9697</v>
      </c>
      <c r="N3578" s="3" t="str">
        <f>HYPERLINK("http://ictvonline.org/taxonomyHistory.asp?taxnode_id=20165414","ICTVonline=20165414")</f>
        <v>ICTVonline=20165414</v>
      </c>
    </row>
    <row r="3579" spans="1:14" x14ac:dyDescent="0.15">
      <c r="A3579" s="3">
        <v>3578</v>
      </c>
      <c r="B3579" s="1" t="s">
        <v>926</v>
      </c>
      <c r="C3579" s="1" t="s">
        <v>1019</v>
      </c>
      <c r="E3579" s="1" t="s">
        <v>5731</v>
      </c>
      <c r="F3579" s="1" t="s">
        <v>5763</v>
      </c>
      <c r="G3579" s="3">
        <v>0</v>
      </c>
      <c r="H3579" s="20" t="s">
        <v>7033</v>
      </c>
      <c r="I3579" s="20" t="s">
        <v>5764</v>
      </c>
      <c r="J3579" s="20" t="s">
        <v>2860</v>
      </c>
      <c r="K3579" s="20" t="s">
        <v>10013</v>
      </c>
      <c r="L3579" s="3">
        <v>30</v>
      </c>
      <c r="M3579" s="3" t="s">
        <v>10353</v>
      </c>
      <c r="N3579" s="3" t="str">
        <f>HYPERLINK("http://ictvonline.org/taxonomyHistory.asp?taxnode_id=20163701","ICTVonline=20163701")</f>
        <v>ICTVonline=20163701</v>
      </c>
    </row>
    <row r="3580" spans="1:14" x14ac:dyDescent="0.15">
      <c r="A3580" s="3">
        <v>3579</v>
      </c>
      <c r="B3580" s="1" t="s">
        <v>926</v>
      </c>
      <c r="C3580" s="1" t="s">
        <v>1019</v>
      </c>
      <c r="E3580" s="1" t="s">
        <v>5731</v>
      </c>
      <c r="F3580" s="1" t="s">
        <v>5765</v>
      </c>
      <c r="G3580" s="3">
        <v>0</v>
      </c>
      <c r="I3580" s="20" t="s">
        <v>2118</v>
      </c>
      <c r="J3580" s="20" t="s">
        <v>2860</v>
      </c>
      <c r="K3580" s="20" t="s">
        <v>10014</v>
      </c>
      <c r="L3580" s="3">
        <v>30</v>
      </c>
      <c r="M3580" s="3" t="s">
        <v>10353</v>
      </c>
      <c r="N3580" s="3" t="str">
        <f>HYPERLINK("http://ictvonline.org/taxonomyHistory.asp?taxnode_id=20163702","ICTVonline=20163702")</f>
        <v>ICTVonline=20163702</v>
      </c>
    </row>
    <row r="3581" spans="1:14" x14ac:dyDescent="0.15">
      <c r="A3581" s="3">
        <v>3580</v>
      </c>
      <c r="B3581" s="1" t="s">
        <v>926</v>
      </c>
      <c r="C3581" s="1" t="s">
        <v>1019</v>
      </c>
      <c r="E3581" s="1" t="s">
        <v>5731</v>
      </c>
      <c r="F3581" s="1" t="s">
        <v>9698</v>
      </c>
      <c r="G3581" s="3">
        <v>0</v>
      </c>
      <c r="H3581" s="20" t="s">
        <v>9699</v>
      </c>
      <c r="I3581" s="20" t="s">
        <v>9700</v>
      </c>
      <c r="J3581" s="20" t="s">
        <v>2860</v>
      </c>
      <c r="K3581" s="20" t="s">
        <v>10013</v>
      </c>
      <c r="L3581" s="3">
        <v>31</v>
      </c>
      <c r="M3581" s="3" t="s">
        <v>9697</v>
      </c>
      <c r="N3581" s="3" t="str">
        <f>HYPERLINK("http://ictvonline.org/taxonomyHistory.asp?taxnode_id=20165415","ICTVonline=20165415")</f>
        <v>ICTVonline=20165415</v>
      </c>
    </row>
    <row r="3582" spans="1:14" x14ac:dyDescent="0.15">
      <c r="A3582" s="3">
        <v>3581</v>
      </c>
      <c r="B3582" s="1" t="s">
        <v>926</v>
      </c>
      <c r="C3582" s="1" t="s">
        <v>1019</v>
      </c>
      <c r="E3582" s="1" t="s">
        <v>5731</v>
      </c>
      <c r="F3582" s="1" t="s">
        <v>5766</v>
      </c>
      <c r="G3582" s="3">
        <v>0</v>
      </c>
      <c r="H3582" s="20" t="s">
        <v>7034</v>
      </c>
      <c r="I3582" s="20" t="s">
        <v>5767</v>
      </c>
      <c r="J3582" s="20" t="s">
        <v>2860</v>
      </c>
      <c r="K3582" s="20" t="s">
        <v>10013</v>
      </c>
      <c r="L3582" s="3">
        <v>30</v>
      </c>
      <c r="M3582" s="3" t="s">
        <v>10353</v>
      </c>
      <c r="N3582" s="3" t="str">
        <f>HYPERLINK("http://ictvonline.org/taxonomyHistory.asp?taxnode_id=20163703","ICTVonline=20163703")</f>
        <v>ICTVonline=20163703</v>
      </c>
    </row>
    <row r="3583" spans="1:14" x14ac:dyDescent="0.15">
      <c r="A3583" s="3">
        <v>3582</v>
      </c>
      <c r="B3583" s="1" t="s">
        <v>926</v>
      </c>
      <c r="C3583" s="1" t="s">
        <v>1019</v>
      </c>
      <c r="E3583" s="1" t="s">
        <v>5731</v>
      </c>
      <c r="F3583" s="1" t="s">
        <v>9701</v>
      </c>
      <c r="G3583" s="3">
        <v>0</v>
      </c>
      <c r="H3583" s="20" t="s">
        <v>9702</v>
      </c>
      <c r="I3583" s="20" t="s">
        <v>9703</v>
      </c>
      <c r="J3583" s="20" t="s">
        <v>2860</v>
      </c>
      <c r="K3583" s="20" t="s">
        <v>10013</v>
      </c>
      <c r="L3583" s="3">
        <v>31</v>
      </c>
      <c r="M3583" s="3" t="s">
        <v>9704</v>
      </c>
      <c r="N3583" s="3" t="str">
        <f>HYPERLINK("http://ictvonline.org/taxonomyHistory.asp?taxnode_id=20165416","ICTVonline=20165416")</f>
        <v>ICTVonline=20165416</v>
      </c>
    </row>
    <row r="3584" spans="1:14" x14ac:dyDescent="0.15">
      <c r="A3584" s="3">
        <v>3583</v>
      </c>
      <c r="B3584" s="1" t="s">
        <v>926</v>
      </c>
      <c r="C3584" s="1" t="s">
        <v>1019</v>
      </c>
      <c r="E3584" s="1" t="s">
        <v>5731</v>
      </c>
      <c r="F3584" s="1" t="s">
        <v>5768</v>
      </c>
      <c r="G3584" s="3">
        <v>0</v>
      </c>
      <c r="H3584" s="20" t="s">
        <v>7035</v>
      </c>
      <c r="I3584" s="20" t="s">
        <v>5769</v>
      </c>
      <c r="J3584" s="20" t="s">
        <v>2860</v>
      </c>
      <c r="K3584" s="20" t="s">
        <v>10013</v>
      </c>
      <c r="L3584" s="3">
        <v>30</v>
      </c>
      <c r="M3584" s="3" t="s">
        <v>10353</v>
      </c>
      <c r="N3584" s="3" t="str">
        <f>HYPERLINK("http://ictvonline.org/taxonomyHistory.asp?taxnode_id=20163704","ICTVonline=20163704")</f>
        <v>ICTVonline=20163704</v>
      </c>
    </row>
    <row r="3585" spans="1:14" x14ac:dyDescent="0.15">
      <c r="A3585" s="3">
        <v>3584</v>
      </c>
      <c r="B3585" s="1" t="s">
        <v>926</v>
      </c>
      <c r="C3585" s="1" t="s">
        <v>1019</v>
      </c>
      <c r="E3585" s="1" t="s">
        <v>5731</v>
      </c>
      <c r="F3585" s="1" t="s">
        <v>5770</v>
      </c>
      <c r="G3585" s="3">
        <v>0</v>
      </c>
      <c r="H3585" s="20" t="s">
        <v>7036</v>
      </c>
      <c r="I3585" s="20" t="s">
        <v>5771</v>
      </c>
      <c r="J3585" s="20" t="s">
        <v>2860</v>
      </c>
      <c r="K3585" s="20" t="s">
        <v>10013</v>
      </c>
      <c r="L3585" s="3">
        <v>30</v>
      </c>
      <c r="M3585" s="3" t="s">
        <v>10353</v>
      </c>
      <c r="N3585" s="3" t="str">
        <f>HYPERLINK("http://ictvonline.org/taxonomyHistory.asp?taxnode_id=20163705","ICTVonline=20163705")</f>
        <v>ICTVonline=20163705</v>
      </c>
    </row>
    <row r="3586" spans="1:14" x14ac:dyDescent="0.15">
      <c r="A3586" s="3">
        <v>3585</v>
      </c>
      <c r="B3586" s="1" t="s">
        <v>926</v>
      </c>
      <c r="C3586" s="1" t="s">
        <v>1019</v>
      </c>
      <c r="E3586" s="1" t="s">
        <v>5731</v>
      </c>
      <c r="F3586" s="1" t="s">
        <v>5772</v>
      </c>
      <c r="G3586" s="3">
        <v>0</v>
      </c>
      <c r="H3586" s="20" t="s">
        <v>7037</v>
      </c>
      <c r="I3586" s="20" t="s">
        <v>5773</v>
      </c>
      <c r="J3586" s="20" t="s">
        <v>2860</v>
      </c>
      <c r="K3586" s="20" t="s">
        <v>10013</v>
      </c>
      <c r="L3586" s="3">
        <v>30</v>
      </c>
      <c r="M3586" s="3" t="s">
        <v>10353</v>
      </c>
      <c r="N3586" s="3" t="str">
        <f>HYPERLINK("http://ictvonline.org/taxonomyHistory.asp?taxnode_id=20163706","ICTVonline=20163706")</f>
        <v>ICTVonline=20163706</v>
      </c>
    </row>
    <row r="3587" spans="1:14" x14ac:dyDescent="0.15">
      <c r="A3587" s="3">
        <v>3586</v>
      </c>
      <c r="B3587" s="1" t="s">
        <v>926</v>
      </c>
      <c r="C3587" s="1" t="s">
        <v>1019</v>
      </c>
      <c r="E3587" s="1" t="s">
        <v>5731</v>
      </c>
      <c r="F3587" s="1" t="s">
        <v>5774</v>
      </c>
      <c r="G3587" s="3">
        <v>0</v>
      </c>
      <c r="H3587" s="20" t="s">
        <v>7038</v>
      </c>
      <c r="I3587" s="20" t="s">
        <v>5775</v>
      </c>
      <c r="J3587" s="20" t="s">
        <v>2860</v>
      </c>
      <c r="K3587" s="20" t="s">
        <v>10013</v>
      </c>
      <c r="L3587" s="3">
        <v>30</v>
      </c>
      <c r="M3587" s="3" t="s">
        <v>10353</v>
      </c>
      <c r="N3587" s="3" t="str">
        <f>HYPERLINK("http://ictvonline.org/taxonomyHistory.asp?taxnode_id=20163707","ICTVonline=20163707")</f>
        <v>ICTVonline=20163707</v>
      </c>
    </row>
    <row r="3588" spans="1:14" x14ac:dyDescent="0.15">
      <c r="A3588" s="3">
        <v>3587</v>
      </c>
      <c r="B3588" s="1" t="s">
        <v>926</v>
      </c>
      <c r="C3588" s="1" t="s">
        <v>1019</v>
      </c>
      <c r="E3588" s="1" t="s">
        <v>5731</v>
      </c>
      <c r="F3588" s="1" t="s">
        <v>5776</v>
      </c>
      <c r="G3588" s="3">
        <v>0</v>
      </c>
      <c r="H3588" s="20" t="s">
        <v>7039</v>
      </c>
      <c r="I3588" s="20" t="s">
        <v>5777</v>
      </c>
      <c r="J3588" s="20" t="s">
        <v>2860</v>
      </c>
      <c r="K3588" s="20" t="s">
        <v>10013</v>
      </c>
      <c r="L3588" s="3">
        <v>30</v>
      </c>
      <c r="M3588" s="3" t="s">
        <v>10353</v>
      </c>
      <c r="N3588" s="3" t="str">
        <f>HYPERLINK("http://ictvonline.org/taxonomyHistory.asp?taxnode_id=20163708","ICTVonline=20163708")</f>
        <v>ICTVonline=20163708</v>
      </c>
    </row>
    <row r="3589" spans="1:14" x14ac:dyDescent="0.15">
      <c r="A3589" s="3">
        <v>3588</v>
      </c>
      <c r="B3589" s="1" t="s">
        <v>926</v>
      </c>
      <c r="C3589" s="1" t="s">
        <v>1019</v>
      </c>
      <c r="E3589" s="1" t="s">
        <v>5731</v>
      </c>
      <c r="F3589" s="1" t="s">
        <v>5778</v>
      </c>
      <c r="G3589" s="3">
        <v>0</v>
      </c>
      <c r="H3589" s="20" t="s">
        <v>7040</v>
      </c>
      <c r="I3589" s="20" t="s">
        <v>5779</v>
      </c>
      <c r="J3589" s="20" t="s">
        <v>2860</v>
      </c>
      <c r="K3589" s="20" t="s">
        <v>10013</v>
      </c>
      <c r="L3589" s="3">
        <v>30</v>
      </c>
      <c r="M3589" s="3" t="s">
        <v>10353</v>
      </c>
      <c r="N3589" s="3" t="str">
        <f>HYPERLINK("http://ictvonline.org/taxonomyHistory.asp?taxnode_id=20163709","ICTVonline=20163709")</f>
        <v>ICTVonline=20163709</v>
      </c>
    </row>
    <row r="3590" spans="1:14" x14ac:dyDescent="0.15">
      <c r="A3590" s="3">
        <v>3589</v>
      </c>
      <c r="B3590" s="1" t="s">
        <v>926</v>
      </c>
      <c r="C3590" s="1" t="s">
        <v>1019</v>
      </c>
      <c r="E3590" s="1" t="s">
        <v>5780</v>
      </c>
      <c r="F3590" s="1" t="s">
        <v>5781</v>
      </c>
      <c r="G3590" s="3">
        <v>1</v>
      </c>
      <c r="H3590" s="20" t="s">
        <v>7041</v>
      </c>
      <c r="I3590" s="20" t="s">
        <v>5782</v>
      </c>
      <c r="J3590" s="20" t="s">
        <v>2860</v>
      </c>
      <c r="K3590" s="20" t="s">
        <v>10013</v>
      </c>
      <c r="L3590" s="3">
        <v>30</v>
      </c>
      <c r="M3590" s="3" t="s">
        <v>10353</v>
      </c>
      <c r="N3590" s="3" t="str">
        <f>HYPERLINK("http://ictvonline.org/taxonomyHistory.asp?taxnode_id=20163711","ICTVonline=20163711")</f>
        <v>ICTVonline=20163711</v>
      </c>
    </row>
    <row r="3591" spans="1:14" x14ac:dyDescent="0.15">
      <c r="A3591" s="3">
        <v>3590</v>
      </c>
      <c r="B3591" s="1" t="s">
        <v>926</v>
      </c>
      <c r="C3591" s="1" t="s">
        <v>1019</v>
      </c>
      <c r="E3591" s="1" t="s">
        <v>5780</v>
      </c>
      <c r="F3591" s="1" t="s">
        <v>5783</v>
      </c>
      <c r="G3591" s="3">
        <v>0</v>
      </c>
      <c r="H3591" s="20" t="s">
        <v>7042</v>
      </c>
      <c r="I3591" s="20" t="s">
        <v>5784</v>
      </c>
      <c r="J3591" s="20" t="s">
        <v>2860</v>
      </c>
      <c r="K3591" s="20" t="s">
        <v>10013</v>
      </c>
      <c r="L3591" s="3">
        <v>30</v>
      </c>
      <c r="M3591" s="3" t="s">
        <v>10353</v>
      </c>
      <c r="N3591" s="3" t="str">
        <f>HYPERLINK("http://ictvonline.org/taxonomyHistory.asp?taxnode_id=20163712","ICTVonline=20163712")</f>
        <v>ICTVonline=20163712</v>
      </c>
    </row>
    <row r="3592" spans="1:14" x14ac:dyDescent="0.15">
      <c r="A3592" s="3">
        <v>3591</v>
      </c>
      <c r="B3592" s="1" t="s">
        <v>926</v>
      </c>
      <c r="C3592" s="1" t="s">
        <v>1019</v>
      </c>
      <c r="E3592" s="1" t="s">
        <v>5780</v>
      </c>
      <c r="F3592" s="1" t="s">
        <v>5785</v>
      </c>
      <c r="G3592" s="3">
        <v>0</v>
      </c>
      <c r="H3592" s="20" t="s">
        <v>7043</v>
      </c>
      <c r="I3592" s="20" t="s">
        <v>5786</v>
      </c>
      <c r="J3592" s="20" t="s">
        <v>2860</v>
      </c>
      <c r="K3592" s="20" t="s">
        <v>10013</v>
      </c>
      <c r="L3592" s="3">
        <v>30</v>
      </c>
      <c r="M3592" s="3" t="s">
        <v>10353</v>
      </c>
      <c r="N3592" s="3" t="str">
        <f>HYPERLINK("http://ictvonline.org/taxonomyHistory.asp?taxnode_id=20163713","ICTVonline=20163713")</f>
        <v>ICTVonline=20163713</v>
      </c>
    </row>
    <row r="3593" spans="1:14" x14ac:dyDescent="0.15">
      <c r="A3593" s="3">
        <v>3592</v>
      </c>
      <c r="B3593" s="1" t="s">
        <v>926</v>
      </c>
      <c r="C3593" s="1" t="s">
        <v>1019</v>
      </c>
      <c r="E3593" s="1" t="s">
        <v>5780</v>
      </c>
      <c r="F3593" s="1" t="s">
        <v>5787</v>
      </c>
      <c r="G3593" s="3">
        <v>0</v>
      </c>
      <c r="H3593" s="20" t="s">
        <v>7044</v>
      </c>
      <c r="I3593" s="20" t="s">
        <v>5788</v>
      </c>
      <c r="J3593" s="20" t="s">
        <v>2860</v>
      </c>
      <c r="K3593" s="20" t="s">
        <v>10013</v>
      </c>
      <c r="L3593" s="3">
        <v>30</v>
      </c>
      <c r="M3593" s="3" t="s">
        <v>10353</v>
      </c>
      <c r="N3593" s="3" t="str">
        <f>HYPERLINK("http://ictvonline.org/taxonomyHistory.asp?taxnode_id=20163714","ICTVonline=20163714")</f>
        <v>ICTVonline=20163714</v>
      </c>
    </row>
    <row r="3594" spans="1:14" x14ac:dyDescent="0.15">
      <c r="A3594" s="3">
        <v>3593</v>
      </c>
      <c r="B3594" s="1" t="s">
        <v>926</v>
      </c>
      <c r="C3594" s="1" t="s">
        <v>1019</v>
      </c>
      <c r="E3594" s="1" t="s">
        <v>5789</v>
      </c>
      <c r="F3594" s="1" t="s">
        <v>5790</v>
      </c>
      <c r="G3594" s="3">
        <v>0</v>
      </c>
      <c r="H3594" s="20" t="s">
        <v>7045</v>
      </c>
      <c r="I3594" s="20" t="s">
        <v>5791</v>
      </c>
      <c r="J3594" s="20" t="s">
        <v>2860</v>
      </c>
      <c r="K3594" s="20" t="s">
        <v>10013</v>
      </c>
      <c r="L3594" s="3">
        <v>30</v>
      </c>
      <c r="M3594" s="3" t="s">
        <v>10353</v>
      </c>
      <c r="N3594" s="3" t="str">
        <f>HYPERLINK("http://ictvonline.org/taxonomyHistory.asp?taxnode_id=20163716","ICTVonline=20163716")</f>
        <v>ICTVonline=20163716</v>
      </c>
    </row>
    <row r="3595" spans="1:14" x14ac:dyDescent="0.15">
      <c r="A3595" s="3">
        <v>3594</v>
      </c>
      <c r="B3595" s="1" t="s">
        <v>926</v>
      </c>
      <c r="C3595" s="1" t="s">
        <v>1019</v>
      </c>
      <c r="E3595" s="1" t="s">
        <v>5789</v>
      </c>
      <c r="F3595" s="1" t="s">
        <v>5792</v>
      </c>
      <c r="G3595" s="3">
        <v>1</v>
      </c>
      <c r="I3595" s="20" t="s">
        <v>470</v>
      </c>
      <c r="J3595" s="20" t="s">
        <v>2860</v>
      </c>
      <c r="K3595" s="20" t="s">
        <v>10014</v>
      </c>
      <c r="L3595" s="3">
        <v>30</v>
      </c>
      <c r="M3595" s="3" t="s">
        <v>10353</v>
      </c>
      <c r="N3595" s="3" t="str">
        <f>HYPERLINK("http://ictvonline.org/taxonomyHistory.asp?taxnode_id=20163717","ICTVonline=20163717")</f>
        <v>ICTVonline=20163717</v>
      </c>
    </row>
    <row r="3596" spans="1:14" x14ac:dyDescent="0.15">
      <c r="A3596" s="3">
        <v>3595</v>
      </c>
      <c r="B3596" s="1" t="s">
        <v>926</v>
      </c>
      <c r="C3596" s="1" t="s">
        <v>1019</v>
      </c>
      <c r="E3596" s="1" t="s">
        <v>5789</v>
      </c>
      <c r="F3596" s="1" t="s">
        <v>5793</v>
      </c>
      <c r="G3596" s="3">
        <v>0</v>
      </c>
      <c r="H3596" s="20" t="s">
        <v>7046</v>
      </c>
      <c r="I3596" s="20" t="s">
        <v>5794</v>
      </c>
      <c r="J3596" s="20" t="s">
        <v>2860</v>
      </c>
      <c r="K3596" s="20" t="s">
        <v>10013</v>
      </c>
      <c r="L3596" s="3">
        <v>30</v>
      </c>
      <c r="M3596" s="3" t="s">
        <v>10353</v>
      </c>
      <c r="N3596" s="3" t="str">
        <f>HYPERLINK("http://ictvonline.org/taxonomyHistory.asp?taxnode_id=20163718","ICTVonline=20163718")</f>
        <v>ICTVonline=20163718</v>
      </c>
    </row>
    <row r="3597" spans="1:14" x14ac:dyDescent="0.15">
      <c r="A3597" s="3">
        <v>3596</v>
      </c>
      <c r="B3597" s="1" t="s">
        <v>926</v>
      </c>
      <c r="C3597" s="1" t="s">
        <v>1019</v>
      </c>
      <c r="E3597" s="1" t="s">
        <v>5789</v>
      </c>
      <c r="F3597" s="1" t="s">
        <v>5795</v>
      </c>
      <c r="G3597" s="3">
        <v>0</v>
      </c>
      <c r="H3597" s="20" t="s">
        <v>7047</v>
      </c>
      <c r="I3597" s="20" t="s">
        <v>5796</v>
      </c>
      <c r="J3597" s="20" t="s">
        <v>2860</v>
      </c>
      <c r="K3597" s="20" t="s">
        <v>10013</v>
      </c>
      <c r="L3597" s="3">
        <v>30</v>
      </c>
      <c r="M3597" s="3" t="s">
        <v>10353</v>
      </c>
      <c r="N3597" s="3" t="str">
        <f>HYPERLINK("http://ictvonline.org/taxonomyHistory.asp?taxnode_id=20163719","ICTVonline=20163719")</f>
        <v>ICTVonline=20163719</v>
      </c>
    </row>
    <row r="3598" spans="1:14" x14ac:dyDescent="0.15">
      <c r="A3598" s="3">
        <v>3597</v>
      </c>
      <c r="B3598" s="1" t="s">
        <v>926</v>
      </c>
      <c r="C3598" s="1" t="s">
        <v>1019</v>
      </c>
      <c r="E3598" s="1" t="s">
        <v>5789</v>
      </c>
      <c r="F3598" s="1" t="s">
        <v>5797</v>
      </c>
      <c r="G3598" s="3">
        <v>0</v>
      </c>
      <c r="H3598" s="20" t="s">
        <v>7048</v>
      </c>
      <c r="I3598" s="20" t="s">
        <v>5798</v>
      </c>
      <c r="J3598" s="20" t="s">
        <v>2860</v>
      </c>
      <c r="K3598" s="20" t="s">
        <v>10013</v>
      </c>
      <c r="L3598" s="3">
        <v>30</v>
      </c>
      <c r="M3598" s="3" t="s">
        <v>10353</v>
      </c>
      <c r="N3598" s="3" t="str">
        <f>HYPERLINK("http://ictvonline.org/taxonomyHistory.asp?taxnode_id=20163720","ICTVonline=20163720")</f>
        <v>ICTVonline=20163720</v>
      </c>
    </row>
    <row r="3599" spans="1:14" x14ac:dyDescent="0.15">
      <c r="A3599" s="3">
        <v>3598</v>
      </c>
      <c r="B3599" s="1" t="s">
        <v>926</v>
      </c>
      <c r="C3599" s="1" t="s">
        <v>1019</v>
      </c>
      <c r="E3599" s="1" t="s">
        <v>5789</v>
      </c>
      <c r="F3599" s="1" t="s">
        <v>5799</v>
      </c>
      <c r="G3599" s="3">
        <v>0</v>
      </c>
      <c r="H3599" s="20" t="s">
        <v>7049</v>
      </c>
      <c r="I3599" s="20" t="s">
        <v>5800</v>
      </c>
      <c r="J3599" s="20" t="s">
        <v>2860</v>
      </c>
      <c r="K3599" s="20" t="s">
        <v>10013</v>
      </c>
      <c r="L3599" s="3">
        <v>30</v>
      </c>
      <c r="M3599" s="3" t="s">
        <v>10353</v>
      </c>
      <c r="N3599" s="3" t="str">
        <f>HYPERLINK("http://ictvonline.org/taxonomyHistory.asp?taxnode_id=20163721","ICTVonline=20163721")</f>
        <v>ICTVonline=20163721</v>
      </c>
    </row>
    <row r="3600" spans="1:14" x14ac:dyDescent="0.15">
      <c r="A3600" s="3">
        <v>3599</v>
      </c>
      <c r="B3600" s="1" t="s">
        <v>926</v>
      </c>
      <c r="C3600" s="1" t="s">
        <v>1019</v>
      </c>
      <c r="E3600" s="1" t="s">
        <v>5789</v>
      </c>
      <c r="F3600" s="1" t="s">
        <v>5801</v>
      </c>
      <c r="G3600" s="3">
        <v>0</v>
      </c>
      <c r="H3600" s="20" t="s">
        <v>7050</v>
      </c>
      <c r="I3600" s="20" t="s">
        <v>5802</v>
      </c>
      <c r="J3600" s="20" t="s">
        <v>2860</v>
      </c>
      <c r="K3600" s="20" t="s">
        <v>10013</v>
      </c>
      <c r="L3600" s="3">
        <v>30</v>
      </c>
      <c r="M3600" s="3" t="s">
        <v>10353</v>
      </c>
      <c r="N3600" s="3" t="str">
        <f>HYPERLINK("http://ictvonline.org/taxonomyHistory.asp?taxnode_id=20163722","ICTVonline=20163722")</f>
        <v>ICTVonline=20163722</v>
      </c>
    </row>
    <row r="3601" spans="1:14" x14ac:dyDescent="0.15">
      <c r="A3601" s="3">
        <v>3600</v>
      </c>
      <c r="B3601" s="1" t="s">
        <v>926</v>
      </c>
      <c r="C3601" s="1" t="s">
        <v>1019</v>
      </c>
      <c r="E3601" s="1" t="s">
        <v>926</v>
      </c>
      <c r="F3601" s="1" t="s">
        <v>5803</v>
      </c>
      <c r="G3601" s="3">
        <v>0</v>
      </c>
      <c r="I3601" s="20" t="s">
        <v>922</v>
      </c>
      <c r="J3601" s="20" t="s">
        <v>2860</v>
      </c>
      <c r="K3601" s="20" t="s">
        <v>10014</v>
      </c>
      <c r="L3601" s="3">
        <v>30</v>
      </c>
      <c r="M3601" s="3" t="s">
        <v>10353</v>
      </c>
      <c r="N3601" s="3" t="str">
        <f>HYPERLINK("http://ictvonline.org/taxonomyHistory.asp?taxnode_id=20163724","ICTVonline=20163724")</f>
        <v>ICTVonline=20163724</v>
      </c>
    </row>
    <row r="3602" spans="1:14" x14ac:dyDescent="0.15">
      <c r="A3602" s="3">
        <v>3601</v>
      </c>
      <c r="B3602" s="1" t="s">
        <v>926</v>
      </c>
      <c r="C3602" s="1" t="s">
        <v>1019</v>
      </c>
      <c r="E3602" s="1" t="s">
        <v>926</v>
      </c>
      <c r="F3602" s="1" t="s">
        <v>5804</v>
      </c>
      <c r="G3602" s="3">
        <v>0</v>
      </c>
      <c r="H3602" s="20" t="s">
        <v>7051</v>
      </c>
      <c r="I3602" s="20" t="s">
        <v>5805</v>
      </c>
      <c r="J3602" s="20" t="s">
        <v>2860</v>
      </c>
      <c r="K3602" s="20" t="s">
        <v>10013</v>
      </c>
      <c r="L3602" s="3">
        <v>30</v>
      </c>
      <c r="M3602" s="3" t="s">
        <v>10353</v>
      </c>
      <c r="N3602" s="3" t="str">
        <f>HYPERLINK("http://ictvonline.org/taxonomyHistory.asp?taxnode_id=20163725","ICTVonline=20163725")</f>
        <v>ICTVonline=20163725</v>
      </c>
    </row>
    <row r="3603" spans="1:14" x14ac:dyDescent="0.15">
      <c r="A3603" s="3">
        <v>3602</v>
      </c>
      <c r="B3603" s="1" t="s">
        <v>926</v>
      </c>
      <c r="C3603" s="1" t="s">
        <v>1019</v>
      </c>
      <c r="E3603" s="1" t="s">
        <v>926</v>
      </c>
      <c r="F3603" s="1" t="s">
        <v>5806</v>
      </c>
      <c r="G3603" s="3">
        <v>0</v>
      </c>
      <c r="H3603" s="20" t="s">
        <v>7052</v>
      </c>
      <c r="I3603" s="20" t="s">
        <v>5806</v>
      </c>
      <c r="J3603" s="20" t="s">
        <v>2860</v>
      </c>
      <c r="K3603" s="20" t="s">
        <v>10013</v>
      </c>
      <c r="L3603" s="3">
        <v>30</v>
      </c>
      <c r="M3603" s="3" t="s">
        <v>10353</v>
      </c>
      <c r="N3603" s="3" t="str">
        <f>HYPERLINK("http://ictvonline.org/taxonomyHistory.asp?taxnode_id=20163726","ICTVonline=20163726")</f>
        <v>ICTVonline=20163726</v>
      </c>
    </row>
    <row r="3604" spans="1:14" x14ac:dyDescent="0.15">
      <c r="A3604" s="3">
        <v>3603</v>
      </c>
      <c r="B3604" s="1" t="s">
        <v>926</v>
      </c>
      <c r="C3604" s="1" t="s">
        <v>2121</v>
      </c>
      <c r="E3604" s="1" t="s">
        <v>2122</v>
      </c>
      <c r="F3604" s="1" t="s">
        <v>2123</v>
      </c>
      <c r="G3604" s="3">
        <v>0</v>
      </c>
      <c r="H3604" s="20" t="s">
        <v>5807</v>
      </c>
      <c r="I3604" s="20" t="s">
        <v>5808</v>
      </c>
      <c r="J3604" s="20" t="s">
        <v>10562</v>
      </c>
      <c r="K3604" s="20" t="s">
        <v>10013</v>
      </c>
      <c r="L3604" s="3">
        <v>18</v>
      </c>
      <c r="M3604" s="3" t="s">
        <v>10101</v>
      </c>
      <c r="N3604" s="3" t="str">
        <f>HYPERLINK("http://ictvonline.org/taxonomyHistory.asp?taxnode_id=20163730","ICTVonline=20163730")</f>
        <v>ICTVonline=20163730</v>
      </c>
    </row>
    <row r="3605" spans="1:14" x14ac:dyDescent="0.15">
      <c r="A3605" s="3">
        <v>3604</v>
      </c>
      <c r="B3605" s="1" t="s">
        <v>926</v>
      </c>
      <c r="C3605" s="1" t="s">
        <v>2121</v>
      </c>
      <c r="E3605" s="1" t="s">
        <v>2122</v>
      </c>
      <c r="F3605" s="1" t="s">
        <v>2124</v>
      </c>
      <c r="G3605" s="3">
        <v>1</v>
      </c>
      <c r="H3605" s="20" t="s">
        <v>5809</v>
      </c>
      <c r="I3605" s="20" t="s">
        <v>4721</v>
      </c>
      <c r="J3605" s="20" t="s">
        <v>10562</v>
      </c>
      <c r="K3605" s="20" t="s">
        <v>10016</v>
      </c>
      <c r="L3605" s="3">
        <v>17</v>
      </c>
      <c r="M3605" s="3" t="s">
        <v>10208</v>
      </c>
      <c r="N3605" s="3" t="str">
        <f>HYPERLINK("http://ictvonline.org/taxonomyHistory.asp?taxnode_id=20163731","ICTVonline=20163731")</f>
        <v>ICTVonline=20163731</v>
      </c>
    </row>
    <row r="3606" spans="1:14" x14ac:dyDescent="0.15">
      <c r="A3606" s="3">
        <v>3605</v>
      </c>
      <c r="B3606" s="1" t="s">
        <v>926</v>
      </c>
      <c r="C3606" s="1" t="s">
        <v>2121</v>
      </c>
      <c r="E3606" s="1" t="s">
        <v>2122</v>
      </c>
      <c r="F3606" s="1" t="s">
        <v>2125</v>
      </c>
      <c r="G3606" s="3">
        <v>0</v>
      </c>
      <c r="H3606" s="20" t="s">
        <v>5810</v>
      </c>
      <c r="I3606" s="20" t="s">
        <v>5811</v>
      </c>
      <c r="J3606" s="20" t="s">
        <v>10562</v>
      </c>
      <c r="K3606" s="20" t="s">
        <v>10016</v>
      </c>
      <c r="L3606" s="3">
        <v>17</v>
      </c>
      <c r="M3606" s="3" t="s">
        <v>10208</v>
      </c>
      <c r="N3606" s="3" t="str">
        <f>HYPERLINK("http://ictvonline.org/taxonomyHistory.asp?taxnode_id=20163732","ICTVonline=20163732")</f>
        <v>ICTVonline=20163732</v>
      </c>
    </row>
    <row r="3607" spans="1:14" x14ac:dyDescent="0.15">
      <c r="A3607" s="3">
        <v>3606</v>
      </c>
      <c r="B3607" s="1" t="s">
        <v>926</v>
      </c>
      <c r="C3607" s="1" t="s">
        <v>2121</v>
      </c>
      <c r="E3607" s="1" t="s">
        <v>2122</v>
      </c>
      <c r="F3607" s="1" t="s">
        <v>2126</v>
      </c>
      <c r="G3607" s="3">
        <v>0</v>
      </c>
      <c r="H3607" s="20" t="s">
        <v>5812</v>
      </c>
      <c r="I3607" s="20" t="s">
        <v>6467</v>
      </c>
      <c r="J3607" s="20" t="s">
        <v>10562</v>
      </c>
      <c r="K3607" s="20" t="s">
        <v>10016</v>
      </c>
      <c r="L3607" s="3">
        <v>17</v>
      </c>
      <c r="M3607" s="3" t="s">
        <v>10208</v>
      </c>
      <c r="N3607" s="3" t="str">
        <f>HYPERLINK("http://ictvonline.org/taxonomyHistory.asp?taxnode_id=20163733","ICTVonline=20163733")</f>
        <v>ICTVonline=20163733</v>
      </c>
    </row>
    <row r="3608" spans="1:14" x14ac:dyDescent="0.15">
      <c r="A3608" s="3">
        <v>3607</v>
      </c>
      <c r="B3608" s="1" t="s">
        <v>926</v>
      </c>
      <c r="C3608" s="1" t="s">
        <v>2121</v>
      </c>
      <c r="E3608" s="1" t="s">
        <v>2122</v>
      </c>
      <c r="F3608" s="1" t="s">
        <v>2127</v>
      </c>
      <c r="G3608" s="3">
        <v>0</v>
      </c>
      <c r="H3608" s="20" t="s">
        <v>5813</v>
      </c>
      <c r="I3608" s="20" t="s">
        <v>5814</v>
      </c>
      <c r="J3608" s="20" t="s">
        <v>10562</v>
      </c>
      <c r="K3608" s="20" t="s">
        <v>10021</v>
      </c>
      <c r="L3608" s="3">
        <v>24</v>
      </c>
      <c r="M3608" s="3" t="s">
        <v>10354</v>
      </c>
      <c r="N3608" s="3" t="str">
        <f>HYPERLINK("http://ictvonline.org/taxonomyHistory.asp?taxnode_id=20163734","ICTVonline=20163734")</f>
        <v>ICTVonline=20163734</v>
      </c>
    </row>
    <row r="3609" spans="1:14" x14ac:dyDescent="0.15">
      <c r="A3609" s="3">
        <v>3608</v>
      </c>
      <c r="B3609" s="1" t="s">
        <v>926</v>
      </c>
      <c r="C3609" s="1" t="s">
        <v>2121</v>
      </c>
      <c r="E3609" s="1" t="s">
        <v>2122</v>
      </c>
      <c r="F3609" s="1" t="s">
        <v>2227</v>
      </c>
      <c r="G3609" s="3">
        <v>0</v>
      </c>
      <c r="H3609" s="20" t="s">
        <v>5815</v>
      </c>
      <c r="I3609" s="20" t="s">
        <v>5816</v>
      </c>
      <c r="J3609" s="20" t="s">
        <v>10562</v>
      </c>
      <c r="K3609" s="20" t="s">
        <v>10013</v>
      </c>
      <c r="L3609" s="3">
        <v>25</v>
      </c>
      <c r="M3609" s="3" t="s">
        <v>10355</v>
      </c>
      <c r="N3609" s="3" t="str">
        <f>HYPERLINK("http://ictvonline.org/taxonomyHistory.asp?taxnode_id=20163735","ICTVonline=20163735")</f>
        <v>ICTVonline=20163735</v>
      </c>
    </row>
    <row r="3610" spans="1:14" x14ac:dyDescent="0.15">
      <c r="A3610" s="3">
        <v>3609</v>
      </c>
      <c r="B3610" s="1" t="s">
        <v>926</v>
      </c>
      <c r="C3610" s="1" t="s">
        <v>2121</v>
      </c>
      <c r="E3610" s="1" t="s">
        <v>2122</v>
      </c>
      <c r="F3610" s="1" t="s">
        <v>2228</v>
      </c>
      <c r="G3610" s="3">
        <v>0</v>
      </c>
      <c r="H3610" s="20" t="s">
        <v>5817</v>
      </c>
      <c r="I3610" s="20" t="s">
        <v>5818</v>
      </c>
      <c r="J3610" s="20" t="s">
        <v>10562</v>
      </c>
      <c r="K3610" s="20" t="s">
        <v>10013</v>
      </c>
      <c r="L3610" s="3">
        <v>25</v>
      </c>
      <c r="M3610" s="3" t="s">
        <v>10355</v>
      </c>
      <c r="N3610" s="3" t="str">
        <f>HYPERLINK("http://ictvonline.org/taxonomyHistory.asp?taxnode_id=20163736","ICTVonline=20163736")</f>
        <v>ICTVonline=20163736</v>
      </c>
    </row>
    <row r="3611" spans="1:14" x14ac:dyDescent="0.15">
      <c r="A3611" s="3">
        <v>3610</v>
      </c>
      <c r="B3611" s="1" t="s">
        <v>926</v>
      </c>
      <c r="C3611" s="1" t="s">
        <v>2121</v>
      </c>
      <c r="E3611" s="1" t="s">
        <v>2122</v>
      </c>
      <c r="F3611" s="1" t="s">
        <v>2128</v>
      </c>
      <c r="G3611" s="3">
        <v>0</v>
      </c>
      <c r="H3611" s="20" t="s">
        <v>5819</v>
      </c>
      <c r="I3611" s="20" t="s">
        <v>5820</v>
      </c>
      <c r="J3611" s="20" t="s">
        <v>10562</v>
      </c>
      <c r="K3611" s="20" t="s">
        <v>10016</v>
      </c>
      <c r="L3611" s="3">
        <v>17</v>
      </c>
      <c r="M3611" s="3" t="s">
        <v>10208</v>
      </c>
      <c r="N3611" s="3" t="str">
        <f>HYPERLINK("http://ictvonline.org/taxonomyHistory.asp?taxnode_id=20163737","ICTVonline=20163737")</f>
        <v>ICTVonline=20163737</v>
      </c>
    </row>
    <row r="3612" spans="1:14" x14ac:dyDescent="0.15">
      <c r="A3612" s="3">
        <v>3611</v>
      </c>
      <c r="B3612" s="1" t="s">
        <v>926</v>
      </c>
      <c r="C3612" s="1" t="s">
        <v>2121</v>
      </c>
      <c r="E3612" s="1" t="s">
        <v>2122</v>
      </c>
      <c r="F3612" s="1" t="s">
        <v>2129</v>
      </c>
      <c r="G3612" s="3">
        <v>0</v>
      </c>
      <c r="H3612" s="20" t="s">
        <v>5821</v>
      </c>
      <c r="I3612" s="20" t="s">
        <v>5822</v>
      </c>
      <c r="J3612" s="20" t="s">
        <v>10562</v>
      </c>
      <c r="K3612" s="20" t="s">
        <v>10016</v>
      </c>
      <c r="L3612" s="3">
        <v>17</v>
      </c>
      <c r="M3612" s="3" t="s">
        <v>10208</v>
      </c>
      <c r="N3612" s="3" t="str">
        <f>HYPERLINK("http://ictvonline.org/taxonomyHistory.asp?taxnode_id=20163738","ICTVonline=20163738")</f>
        <v>ICTVonline=20163738</v>
      </c>
    </row>
    <row r="3613" spans="1:14" x14ac:dyDescent="0.15">
      <c r="A3613" s="3">
        <v>3612</v>
      </c>
      <c r="B3613" s="1" t="s">
        <v>926</v>
      </c>
      <c r="C3613" s="1" t="s">
        <v>2121</v>
      </c>
      <c r="E3613" s="1" t="s">
        <v>2122</v>
      </c>
      <c r="F3613" s="1" t="s">
        <v>2130</v>
      </c>
      <c r="G3613" s="3">
        <v>0</v>
      </c>
      <c r="H3613" s="20" t="s">
        <v>5823</v>
      </c>
      <c r="I3613" s="20" t="s">
        <v>4941</v>
      </c>
      <c r="J3613" s="20" t="s">
        <v>10562</v>
      </c>
      <c r="K3613" s="20" t="s">
        <v>10016</v>
      </c>
      <c r="L3613" s="3">
        <v>17</v>
      </c>
      <c r="M3613" s="3" t="s">
        <v>10208</v>
      </c>
      <c r="N3613" s="3" t="str">
        <f>HYPERLINK("http://ictvonline.org/taxonomyHistory.asp?taxnode_id=20163739","ICTVonline=20163739")</f>
        <v>ICTVonline=20163739</v>
      </c>
    </row>
    <row r="3614" spans="1:14" x14ac:dyDescent="0.15">
      <c r="A3614" s="3">
        <v>3613</v>
      </c>
      <c r="B3614" s="1" t="s">
        <v>926</v>
      </c>
      <c r="C3614" s="1" t="s">
        <v>2121</v>
      </c>
      <c r="E3614" s="1" t="s">
        <v>2131</v>
      </c>
      <c r="F3614" s="1" t="s">
        <v>2132</v>
      </c>
      <c r="G3614" s="3">
        <v>0</v>
      </c>
      <c r="H3614" s="20" t="s">
        <v>5824</v>
      </c>
      <c r="I3614" s="20" t="s">
        <v>5825</v>
      </c>
      <c r="J3614" s="20" t="s">
        <v>10562</v>
      </c>
      <c r="K3614" s="20" t="s">
        <v>10021</v>
      </c>
      <c r="L3614" s="3">
        <v>24</v>
      </c>
      <c r="M3614" s="3" t="s">
        <v>10356</v>
      </c>
      <c r="N3614" s="3" t="str">
        <f>HYPERLINK("http://ictvonline.org/taxonomyHistory.asp?taxnode_id=20163741","ICTVonline=20163741")</f>
        <v>ICTVonline=20163741</v>
      </c>
    </row>
    <row r="3615" spans="1:14" x14ac:dyDescent="0.15">
      <c r="A3615" s="3">
        <v>3614</v>
      </c>
      <c r="B3615" s="1" t="s">
        <v>926</v>
      </c>
      <c r="C3615" s="1" t="s">
        <v>2121</v>
      </c>
      <c r="E3615" s="1" t="s">
        <v>2131</v>
      </c>
      <c r="F3615" s="1" t="s">
        <v>2133</v>
      </c>
      <c r="G3615" s="3">
        <v>1</v>
      </c>
      <c r="H3615" s="20" t="s">
        <v>5826</v>
      </c>
      <c r="I3615" s="20" t="s">
        <v>5827</v>
      </c>
      <c r="J3615" s="20" t="s">
        <v>10562</v>
      </c>
      <c r="K3615" s="20" t="s">
        <v>10016</v>
      </c>
      <c r="L3615" s="3">
        <v>17</v>
      </c>
      <c r="M3615" s="3" t="s">
        <v>10208</v>
      </c>
      <c r="N3615" s="3" t="str">
        <f>HYPERLINK("http://ictvonline.org/taxonomyHistory.asp?taxnode_id=20163742","ICTVonline=20163742")</f>
        <v>ICTVonline=20163742</v>
      </c>
    </row>
    <row r="3616" spans="1:14" x14ac:dyDescent="0.15">
      <c r="A3616" s="3">
        <v>3615</v>
      </c>
      <c r="B3616" s="1" t="s">
        <v>926</v>
      </c>
      <c r="C3616" s="1" t="s">
        <v>2121</v>
      </c>
      <c r="E3616" s="1" t="s">
        <v>2131</v>
      </c>
      <c r="F3616" s="1" t="s">
        <v>2134</v>
      </c>
      <c r="G3616" s="3">
        <v>0</v>
      </c>
      <c r="H3616" s="20" t="s">
        <v>5828</v>
      </c>
      <c r="I3616" s="20" t="s">
        <v>5829</v>
      </c>
      <c r="J3616" s="20" t="s">
        <v>10562</v>
      </c>
      <c r="K3616" s="20" t="s">
        <v>10016</v>
      </c>
      <c r="L3616" s="3">
        <v>17</v>
      </c>
      <c r="M3616" s="3" t="s">
        <v>10208</v>
      </c>
      <c r="N3616" s="3" t="str">
        <f>HYPERLINK("http://ictvonline.org/taxonomyHistory.asp?taxnode_id=20163743","ICTVonline=20163743")</f>
        <v>ICTVonline=20163743</v>
      </c>
    </row>
    <row r="3617" spans="1:14" x14ac:dyDescent="0.15">
      <c r="A3617" s="3">
        <v>3616</v>
      </c>
      <c r="B3617" s="1" t="s">
        <v>926</v>
      </c>
      <c r="C3617" s="1" t="s">
        <v>2121</v>
      </c>
      <c r="E3617" s="1" t="s">
        <v>2131</v>
      </c>
      <c r="F3617" s="1" t="s">
        <v>2135</v>
      </c>
      <c r="G3617" s="3">
        <v>0</v>
      </c>
      <c r="H3617" s="20" t="s">
        <v>5830</v>
      </c>
      <c r="I3617" s="20" t="s">
        <v>5825</v>
      </c>
      <c r="J3617" s="20" t="s">
        <v>10562</v>
      </c>
      <c r="K3617" s="20" t="s">
        <v>10016</v>
      </c>
      <c r="L3617" s="3">
        <v>17</v>
      </c>
      <c r="M3617" s="3" t="s">
        <v>10208</v>
      </c>
      <c r="N3617" s="3" t="str">
        <f>HYPERLINK("http://ictvonline.org/taxonomyHistory.asp?taxnode_id=20163744","ICTVonline=20163744")</f>
        <v>ICTVonline=20163744</v>
      </c>
    </row>
    <row r="3618" spans="1:14" x14ac:dyDescent="0.15">
      <c r="A3618" s="3">
        <v>3617</v>
      </c>
      <c r="B3618" s="1" t="s">
        <v>926</v>
      </c>
      <c r="C3618" s="1" t="s">
        <v>2121</v>
      </c>
      <c r="E3618" s="1" t="s">
        <v>477</v>
      </c>
      <c r="F3618" s="1" t="s">
        <v>478</v>
      </c>
      <c r="G3618" s="3">
        <v>1</v>
      </c>
      <c r="H3618" s="20" t="s">
        <v>5831</v>
      </c>
      <c r="I3618" s="20" t="s">
        <v>5832</v>
      </c>
      <c r="J3618" s="20" t="s">
        <v>10562</v>
      </c>
      <c r="K3618" s="20" t="s">
        <v>10016</v>
      </c>
      <c r="L3618" s="3">
        <v>17</v>
      </c>
      <c r="M3618" s="3" t="s">
        <v>10208</v>
      </c>
      <c r="N3618" s="3" t="str">
        <f>HYPERLINK("http://ictvonline.org/taxonomyHistory.asp?taxnode_id=20163746","ICTVonline=20163746")</f>
        <v>ICTVonline=20163746</v>
      </c>
    </row>
    <row r="3619" spans="1:14" x14ac:dyDescent="0.15">
      <c r="A3619" s="3">
        <v>3618</v>
      </c>
      <c r="B3619" s="1" t="s">
        <v>926</v>
      </c>
      <c r="C3619" s="1" t="s">
        <v>2121</v>
      </c>
      <c r="E3619" s="1" t="s">
        <v>477</v>
      </c>
      <c r="F3619" s="1" t="s">
        <v>479</v>
      </c>
      <c r="G3619" s="3">
        <v>0</v>
      </c>
      <c r="H3619" s="20" t="s">
        <v>5833</v>
      </c>
      <c r="I3619" s="20" t="s">
        <v>5834</v>
      </c>
      <c r="J3619" s="20" t="s">
        <v>10562</v>
      </c>
      <c r="K3619" s="20" t="s">
        <v>10013</v>
      </c>
      <c r="L3619" s="3">
        <v>18</v>
      </c>
      <c r="M3619" s="3" t="s">
        <v>10101</v>
      </c>
      <c r="N3619" s="3" t="str">
        <f>HYPERLINK("http://ictvonline.org/taxonomyHistory.asp?taxnode_id=20163747","ICTVonline=20163747")</f>
        <v>ICTVonline=20163747</v>
      </c>
    </row>
    <row r="3620" spans="1:14" x14ac:dyDescent="0.15">
      <c r="A3620" s="3">
        <v>3619</v>
      </c>
      <c r="B3620" s="1" t="s">
        <v>926</v>
      </c>
      <c r="C3620" s="1" t="s">
        <v>2121</v>
      </c>
      <c r="E3620" s="1" t="s">
        <v>477</v>
      </c>
      <c r="F3620" s="1" t="s">
        <v>480</v>
      </c>
      <c r="G3620" s="3">
        <v>0</v>
      </c>
      <c r="H3620" s="20" t="s">
        <v>5835</v>
      </c>
      <c r="I3620" s="20" t="s">
        <v>5836</v>
      </c>
      <c r="J3620" s="20" t="s">
        <v>10562</v>
      </c>
      <c r="K3620" s="20" t="s">
        <v>10013</v>
      </c>
      <c r="L3620" s="3">
        <v>18</v>
      </c>
      <c r="M3620" s="3" t="s">
        <v>10101</v>
      </c>
      <c r="N3620" s="3" t="str">
        <f>HYPERLINK("http://ictvonline.org/taxonomyHistory.asp?taxnode_id=20163748","ICTVonline=20163748")</f>
        <v>ICTVonline=20163748</v>
      </c>
    </row>
    <row r="3621" spans="1:14" x14ac:dyDescent="0.15">
      <c r="A3621" s="3">
        <v>3620</v>
      </c>
      <c r="B3621" s="1" t="s">
        <v>926</v>
      </c>
      <c r="C3621" s="1" t="s">
        <v>2121</v>
      </c>
      <c r="E3621" s="1" t="s">
        <v>481</v>
      </c>
      <c r="F3621" s="1" t="s">
        <v>2800</v>
      </c>
      <c r="G3621" s="3">
        <v>0</v>
      </c>
      <c r="H3621" s="20" t="s">
        <v>3193</v>
      </c>
      <c r="I3621" s="20" t="s">
        <v>6468</v>
      </c>
      <c r="J3621" s="20" t="s">
        <v>10562</v>
      </c>
      <c r="K3621" s="20" t="s">
        <v>10013</v>
      </c>
      <c r="L3621" s="3">
        <v>29</v>
      </c>
      <c r="M3621" s="3" t="s">
        <v>10357</v>
      </c>
      <c r="N3621" s="3" t="str">
        <f>HYPERLINK("http://ictvonline.org/taxonomyHistory.asp?taxnode_id=20163750","ICTVonline=20163750")</f>
        <v>ICTVonline=20163750</v>
      </c>
    </row>
    <row r="3622" spans="1:14" x14ac:dyDescent="0.15">
      <c r="A3622" s="3">
        <v>3621</v>
      </c>
      <c r="B3622" s="1" t="s">
        <v>926</v>
      </c>
      <c r="C3622" s="1" t="s">
        <v>2121</v>
      </c>
      <c r="E3622" s="1" t="s">
        <v>481</v>
      </c>
      <c r="F3622" s="1" t="s">
        <v>482</v>
      </c>
      <c r="G3622" s="3">
        <v>1</v>
      </c>
      <c r="H3622" s="20" t="s">
        <v>5837</v>
      </c>
      <c r="I3622" s="20" t="s">
        <v>5838</v>
      </c>
      <c r="J3622" s="20" t="s">
        <v>10562</v>
      </c>
      <c r="K3622" s="20" t="s">
        <v>10016</v>
      </c>
      <c r="L3622" s="3">
        <v>17</v>
      </c>
      <c r="M3622" s="3" t="s">
        <v>10208</v>
      </c>
      <c r="N3622" s="3" t="str">
        <f>HYPERLINK("http://ictvonline.org/taxonomyHistory.asp?taxnode_id=20163751","ICTVonline=20163751")</f>
        <v>ICTVonline=20163751</v>
      </c>
    </row>
    <row r="3623" spans="1:14" x14ac:dyDescent="0.15">
      <c r="A3623" s="3">
        <v>3622</v>
      </c>
      <c r="B3623" s="1" t="s">
        <v>926</v>
      </c>
      <c r="C3623" s="1" t="s">
        <v>2121</v>
      </c>
      <c r="E3623" s="1" t="s">
        <v>483</v>
      </c>
      <c r="F3623" s="1" t="s">
        <v>484</v>
      </c>
      <c r="G3623" s="3">
        <v>0</v>
      </c>
      <c r="H3623" s="20" t="s">
        <v>5839</v>
      </c>
      <c r="I3623" s="20" t="s">
        <v>5840</v>
      </c>
      <c r="J3623" s="20" t="s">
        <v>10562</v>
      </c>
      <c r="K3623" s="20" t="s">
        <v>10016</v>
      </c>
      <c r="L3623" s="3">
        <v>17</v>
      </c>
      <c r="M3623" s="3" t="s">
        <v>10208</v>
      </c>
      <c r="N3623" s="3" t="str">
        <f>HYPERLINK("http://ictvonline.org/taxonomyHistory.asp?taxnode_id=20163753","ICTVonline=20163753")</f>
        <v>ICTVonline=20163753</v>
      </c>
    </row>
    <row r="3624" spans="1:14" x14ac:dyDescent="0.15">
      <c r="A3624" s="3">
        <v>3623</v>
      </c>
      <c r="B3624" s="1" t="s">
        <v>926</v>
      </c>
      <c r="C3624" s="1" t="s">
        <v>2121</v>
      </c>
      <c r="E3624" s="1" t="s">
        <v>483</v>
      </c>
      <c r="F3624" s="1" t="s">
        <v>485</v>
      </c>
      <c r="G3624" s="3">
        <v>0</v>
      </c>
      <c r="H3624" s="20" t="s">
        <v>5841</v>
      </c>
      <c r="I3624" s="20" t="s">
        <v>5842</v>
      </c>
      <c r="J3624" s="20" t="s">
        <v>10562</v>
      </c>
      <c r="K3624" s="20" t="s">
        <v>10016</v>
      </c>
      <c r="L3624" s="3">
        <v>17</v>
      </c>
      <c r="M3624" s="3" t="s">
        <v>10208</v>
      </c>
      <c r="N3624" s="3" t="str">
        <f>HYPERLINK("http://ictvonline.org/taxonomyHistory.asp?taxnode_id=20163754","ICTVonline=20163754")</f>
        <v>ICTVonline=20163754</v>
      </c>
    </row>
    <row r="3625" spans="1:14" x14ac:dyDescent="0.15">
      <c r="A3625" s="3">
        <v>3624</v>
      </c>
      <c r="B3625" s="1" t="s">
        <v>926</v>
      </c>
      <c r="C3625" s="1" t="s">
        <v>2121</v>
      </c>
      <c r="E3625" s="1" t="s">
        <v>483</v>
      </c>
      <c r="F3625" s="1" t="s">
        <v>486</v>
      </c>
      <c r="G3625" s="3">
        <v>0</v>
      </c>
      <c r="H3625" s="20" t="s">
        <v>5843</v>
      </c>
      <c r="I3625" s="20" t="s">
        <v>7053</v>
      </c>
      <c r="J3625" s="20" t="s">
        <v>10562</v>
      </c>
      <c r="K3625" s="20" t="s">
        <v>10016</v>
      </c>
      <c r="L3625" s="3">
        <v>17</v>
      </c>
      <c r="M3625" s="3" t="s">
        <v>10208</v>
      </c>
      <c r="N3625" s="3" t="str">
        <f>HYPERLINK("http://ictvonline.org/taxonomyHistory.asp?taxnode_id=20163755","ICTVonline=20163755")</f>
        <v>ICTVonline=20163755</v>
      </c>
    </row>
    <row r="3626" spans="1:14" x14ac:dyDescent="0.15">
      <c r="A3626" s="3">
        <v>3625</v>
      </c>
      <c r="B3626" s="1" t="s">
        <v>926</v>
      </c>
      <c r="C3626" s="1" t="s">
        <v>2121</v>
      </c>
      <c r="E3626" s="1" t="s">
        <v>483</v>
      </c>
      <c r="F3626" s="1" t="s">
        <v>487</v>
      </c>
      <c r="G3626" s="3">
        <v>0</v>
      </c>
      <c r="H3626" s="20" t="s">
        <v>5844</v>
      </c>
      <c r="I3626" s="20" t="s">
        <v>5832</v>
      </c>
      <c r="J3626" s="20" t="s">
        <v>10562</v>
      </c>
      <c r="K3626" s="20" t="s">
        <v>10013</v>
      </c>
      <c r="L3626" s="3">
        <v>18</v>
      </c>
      <c r="M3626" s="3" t="s">
        <v>10101</v>
      </c>
      <c r="N3626" s="3" t="str">
        <f>HYPERLINK("http://ictvonline.org/taxonomyHistory.asp?taxnode_id=20163756","ICTVonline=20163756")</f>
        <v>ICTVonline=20163756</v>
      </c>
    </row>
    <row r="3627" spans="1:14" x14ac:dyDescent="0.15">
      <c r="A3627" s="3">
        <v>3626</v>
      </c>
      <c r="B3627" s="1" t="s">
        <v>926</v>
      </c>
      <c r="C3627" s="1" t="s">
        <v>2121</v>
      </c>
      <c r="E3627" s="1" t="s">
        <v>483</v>
      </c>
      <c r="F3627" s="1" t="s">
        <v>194</v>
      </c>
      <c r="G3627" s="3">
        <v>0</v>
      </c>
      <c r="H3627" s="20" t="s">
        <v>5845</v>
      </c>
      <c r="I3627" s="20" t="s">
        <v>5846</v>
      </c>
      <c r="J3627" s="20" t="s">
        <v>10562</v>
      </c>
      <c r="K3627" s="20" t="s">
        <v>10013</v>
      </c>
      <c r="L3627" s="3">
        <v>26</v>
      </c>
      <c r="M3627" s="3" t="s">
        <v>10358</v>
      </c>
      <c r="N3627" s="3" t="str">
        <f>HYPERLINK("http://ictvonline.org/taxonomyHistory.asp?taxnode_id=20163757","ICTVonline=20163757")</f>
        <v>ICTVonline=20163757</v>
      </c>
    </row>
    <row r="3628" spans="1:14" x14ac:dyDescent="0.15">
      <c r="A3628" s="3">
        <v>3627</v>
      </c>
      <c r="B3628" s="1" t="s">
        <v>926</v>
      </c>
      <c r="C3628" s="1" t="s">
        <v>2121</v>
      </c>
      <c r="E3628" s="1" t="s">
        <v>483</v>
      </c>
      <c r="F3628" s="1" t="s">
        <v>488</v>
      </c>
      <c r="G3628" s="3">
        <v>1</v>
      </c>
      <c r="H3628" s="20" t="s">
        <v>5847</v>
      </c>
      <c r="I3628" s="20" t="s">
        <v>5842</v>
      </c>
      <c r="J3628" s="20" t="s">
        <v>10562</v>
      </c>
      <c r="K3628" s="20" t="s">
        <v>10016</v>
      </c>
      <c r="L3628" s="3">
        <v>17</v>
      </c>
      <c r="M3628" s="3" t="s">
        <v>10208</v>
      </c>
      <c r="N3628" s="3" t="str">
        <f>HYPERLINK("http://ictvonline.org/taxonomyHistory.asp?taxnode_id=20163758","ICTVonline=20163758")</f>
        <v>ICTVonline=20163758</v>
      </c>
    </row>
    <row r="3629" spans="1:14" x14ac:dyDescent="0.15">
      <c r="A3629" s="3">
        <v>3628</v>
      </c>
      <c r="B3629" s="1" t="s">
        <v>926</v>
      </c>
      <c r="C3629" s="1" t="s">
        <v>2121</v>
      </c>
      <c r="E3629" s="1" t="s">
        <v>483</v>
      </c>
      <c r="F3629" s="1" t="s">
        <v>489</v>
      </c>
      <c r="G3629" s="3">
        <v>0</v>
      </c>
      <c r="H3629" s="20" t="s">
        <v>5848</v>
      </c>
      <c r="I3629" s="20" t="s">
        <v>5849</v>
      </c>
      <c r="J3629" s="20" t="s">
        <v>10562</v>
      </c>
      <c r="K3629" s="20" t="s">
        <v>10016</v>
      </c>
      <c r="L3629" s="3">
        <v>17</v>
      </c>
      <c r="M3629" s="3" t="s">
        <v>10208</v>
      </c>
      <c r="N3629" s="3" t="str">
        <f>HYPERLINK("http://ictvonline.org/taxonomyHistory.asp?taxnode_id=20163759","ICTVonline=20163759")</f>
        <v>ICTVonline=20163759</v>
      </c>
    </row>
    <row r="3630" spans="1:14" x14ac:dyDescent="0.15">
      <c r="A3630" s="3">
        <v>3629</v>
      </c>
      <c r="B3630" s="1" t="s">
        <v>926</v>
      </c>
      <c r="C3630" s="1" t="s">
        <v>2121</v>
      </c>
      <c r="E3630" s="1" t="s">
        <v>483</v>
      </c>
      <c r="F3630" s="1" t="s">
        <v>490</v>
      </c>
      <c r="G3630" s="3">
        <v>0</v>
      </c>
      <c r="H3630" s="20" t="s">
        <v>5850</v>
      </c>
      <c r="I3630" s="20" t="s">
        <v>5851</v>
      </c>
      <c r="J3630" s="20" t="s">
        <v>10562</v>
      </c>
      <c r="K3630" s="20" t="s">
        <v>10013</v>
      </c>
      <c r="L3630" s="3">
        <v>20</v>
      </c>
      <c r="M3630" s="3" t="s">
        <v>10115</v>
      </c>
      <c r="N3630" s="3" t="str">
        <f>HYPERLINK("http://ictvonline.org/taxonomyHistory.asp?taxnode_id=20163760","ICTVonline=20163760")</f>
        <v>ICTVonline=20163760</v>
      </c>
    </row>
    <row r="3631" spans="1:14" x14ac:dyDescent="0.15">
      <c r="A3631" s="3">
        <v>3630</v>
      </c>
      <c r="B3631" s="1" t="s">
        <v>926</v>
      </c>
      <c r="C3631" s="1" t="s">
        <v>2121</v>
      </c>
      <c r="E3631" s="1" t="s">
        <v>483</v>
      </c>
      <c r="F3631" s="1" t="s">
        <v>491</v>
      </c>
      <c r="G3631" s="3">
        <v>0</v>
      </c>
      <c r="H3631" s="20" t="s">
        <v>5852</v>
      </c>
      <c r="I3631" s="20" t="s">
        <v>5849</v>
      </c>
      <c r="J3631" s="20" t="s">
        <v>10562</v>
      </c>
      <c r="K3631" s="20" t="s">
        <v>10216</v>
      </c>
      <c r="L3631" s="3">
        <v>29</v>
      </c>
      <c r="M3631" s="3" t="s">
        <v>10359</v>
      </c>
      <c r="N3631" s="3" t="str">
        <f>HYPERLINK("http://ictvonline.org/taxonomyHistory.asp?taxnode_id=20163761","ICTVonline=20163761")</f>
        <v>ICTVonline=20163761</v>
      </c>
    </row>
    <row r="3632" spans="1:14" x14ac:dyDescent="0.15">
      <c r="A3632" s="3">
        <v>3631</v>
      </c>
      <c r="B3632" s="1" t="s">
        <v>926</v>
      </c>
      <c r="C3632" s="1" t="s">
        <v>492</v>
      </c>
      <c r="E3632" s="1" t="s">
        <v>561</v>
      </c>
      <c r="F3632" s="1" t="s">
        <v>562</v>
      </c>
      <c r="G3632" s="3">
        <v>1</v>
      </c>
      <c r="H3632" s="20" t="s">
        <v>5853</v>
      </c>
      <c r="I3632" s="20" t="s">
        <v>5854</v>
      </c>
      <c r="J3632" s="20" t="s">
        <v>3160</v>
      </c>
      <c r="K3632" s="20" t="s">
        <v>10072</v>
      </c>
      <c r="L3632" s="3">
        <v>25</v>
      </c>
      <c r="M3632" s="3" t="s">
        <v>10360</v>
      </c>
      <c r="N3632" s="3" t="str">
        <f>HYPERLINK("http://ictvonline.org/taxonomyHistory.asp?taxnode_id=20163765","ICTVonline=20163765")</f>
        <v>ICTVonline=20163765</v>
      </c>
    </row>
    <row r="3633" spans="1:14" x14ac:dyDescent="0.15">
      <c r="A3633" s="3">
        <v>3632</v>
      </c>
      <c r="B3633" s="1" t="s">
        <v>926</v>
      </c>
      <c r="C3633" s="1" t="s">
        <v>492</v>
      </c>
      <c r="E3633" s="1" t="s">
        <v>493</v>
      </c>
      <c r="F3633" s="1" t="s">
        <v>494</v>
      </c>
      <c r="G3633" s="3">
        <v>0</v>
      </c>
      <c r="H3633" s="20" t="s">
        <v>7246</v>
      </c>
      <c r="I3633" s="20" t="s">
        <v>5855</v>
      </c>
      <c r="J3633" s="20" t="s">
        <v>3160</v>
      </c>
      <c r="K3633" s="20" t="s">
        <v>10013</v>
      </c>
      <c r="L3633" s="3">
        <v>13</v>
      </c>
      <c r="M3633" s="3" t="s">
        <v>10225</v>
      </c>
      <c r="N3633" s="3" t="str">
        <f>HYPERLINK("http://ictvonline.org/taxonomyHistory.asp?taxnode_id=20163767","ICTVonline=20163767")</f>
        <v>ICTVonline=20163767</v>
      </c>
    </row>
    <row r="3634" spans="1:14" x14ac:dyDescent="0.15">
      <c r="A3634" s="3">
        <v>3633</v>
      </c>
      <c r="B3634" s="1" t="s">
        <v>926</v>
      </c>
      <c r="C3634" s="1" t="s">
        <v>492</v>
      </c>
      <c r="E3634" s="1" t="s">
        <v>493</v>
      </c>
      <c r="F3634" s="1" t="s">
        <v>495</v>
      </c>
      <c r="G3634" s="3">
        <v>1</v>
      </c>
      <c r="H3634" s="20" t="s">
        <v>7247</v>
      </c>
      <c r="I3634" s="20" t="s">
        <v>5856</v>
      </c>
      <c r="J3634" s="20" t="s">
        <v>3160</v>
      </c>
      <c r="K3634" s="20" t="s">
        <v>10072</v>
      </c>
      <c r="L3634" s="3">
        <v>13</v>
      </c>
      <c r="M3634" s="3" t="s">
        <v>10225</v>
      </c>
      <c r="N3634" s="3" t="str">
        <f>HYPERLINK("http://ictvonline.org/taxonomyHistory.asp?taxnode_id=20163768","ICTVonline=20163768")</f>
        <v>ICTVonline=20163768</v>
      </c>
    </row>
    <row r="3635" spans="1:14" x14ac:dyDescent="0.15">
      <c r="A3635" s="3">
        <v>3634</v>
      </c>
      <c r="B3635" s="1" t="s">
        <v>926</v>
      </c>
      <c r="C3635" s="1" t="s">
        <v>492</v>
      </c>
      <c r="E3635" s="1" t="s">
        <v>493</v>
      </c>
      <c r="F3635" s="1" t="s">
        <v>1601</v>
      </c>
      <c r="G3635" s="3">
        <v>0</v>
      </c>
      <c r="H3635" s="20" t="s">
        <v>7248</v>
      </c>
      <c r="I3635" s="20" t="s">
        <v>5857</v>
      </c>
      <c r="J3635" s="20" t="s">
        <v>3160</v>
      </c>
      <c r="K3635" s="20" t="s">
        <v>10013</v>
      </c>
      <c r="L3635" s="3">
        <v>13</v>
      </c>
      <c r="M3635" s="3" t="s">
        <v>10225</v>
      </c>
      <c r="N3635" s="3" t="str">
        <f>HYPERLINK("http://ictvonline.org/taxonomyHistory.asp?taxnode_id=20163769","ICTVonline=20163769")</f>
        <v>ICTVonline=20163769</v>
      </c>
    </row>
    <row r="3636" spans="1:14" x14ac:dyDescent="0.15">
      <c r="A3636" s="3">
        <v>3635</v>
      </c>
      <c r="B3636" s="1" t="s">
        <v>926</v>
      </c>
      <c r="C3636" s="1" t="s">
        <v>492</v>
      </c>
      <c r="E3636" s="1" t="s">
        <v>493</v>
      </c>
      <c r="F3636" s="1" t="s">
        <v>937</v>
      </c>
      <c r="G3636" s="3">
        <v>0</v>
      </c>
      <c r="J3636" s="20" t="s">
        <v>3160</v>
      </c>
      <c r="K3636" s="20" t="s">
        <v>10013</v>
      </c>
      <c r="L3636" s="3">
        <v>13</v>
      </c>
      <c r="M3636" s="3" t="s">
        <v>10225</v>
      </c>
      <c r="N3636" s="3" t="str">
        <f>HYPERLINK("http://ictvonline.org/taxonomyHistory.asp?taxnode_id=20163770","ICTVonline=20163770")</f>
        <v>ICTVonline=20163770</v>
      </c>
    </row>
    <row r="3637" spans="1:14" x14ac:dyDescent="0.15">
      <c r="A3637" s="3">
        <v>3636</v>
      </c>
      <c r="B3637" s="1" t="s">
        <v>926</v>
      </c>
      <c r="C3637" s="1" t="s">
        <v>492</v>
      </c>
      <c r="E3637" s="1" t="s">
        <v>493</v>
      </c>
      <c r="F3637" s="1" t="s">
        <v>857</v>
      </c>
      <c r="G3637" s="3">
        <v>0</v>
      </c>
      <c r="J3637" s="20" t="s">
        <v>3160</v>
      </c>
      <c r="K3637" s="20" t="s">
        <v>10013</v>
      </c>
      <c r="L3637" s="3">
        <v>13</v>
      </c>
      <c r="M3637" s="3" t="s">
        <v>10225</v>
      </c>
      <c r="N3637" s="3" t="str">
        <f>HYPERLINK("http://ictvonline.org/taxonomyHistory.asp?taxnode_id=20163771","ICTVonline=20163771")</f>
        <v>ICTVonline=20163771</v>
      </c>
    </row>
    <row r="3638" spans="1:14" x14ac:dyDescent="0.15">
      <c r="A3638" s="3">
        <v>3637</v>
      </c>
      <c r="B3638" s="1" t="s">
        <v>926</v>
      </c>
      <c r="C3638" s="1" t="s">
        <v>492</v>
      </c>
      <c r="E3638" s="1" t="s">
        <v>493</v>
      </c>
      <c r="F3638" s="1" t="s">
        <v>858</v>
      </c>
      <c r="G3638" s="3">
        <v>0</v>
      </c>
      <c r="H3638" s="20" t="s">
        <v>7249</v>
      </c>
      <c r="I3638" s="20" t="s">
        <v>4694</v>
      </c>
      <c r="J3638" s="20" t="s">
        <v>3160</v>
      </c>
      <c r="K3638" s="20" t="s">
        <v>10013</v>
      </c>
      <c r="L3638" s="3">
        <v>18</v>
      </c>
      <c r="M3638" s="3" t="s">
        <v>10101</v>
      </c>
      <c r="N3638" s="3" t="str">
        <f>HYPERLINK("http://ictvonline.org/taxonomyHistory.asp?taxnode_id=20163772","ICTVonline=20163772")</f>
        <v>ICTVonline=20163772</v>
      </c>
    </row>
    <row r="3639" spans="1:14" x14ac:dyDescent="0.15">
      <c r="A3639" s="3">
        <v>3638</v>
      </c>
      <c r="B3639" s="1" t="s">
        <v>926</v>
      </c>
      <c r="C3639" s="1" t="s">
        <v>492</v>
      </c>
      <c r="E3639" s="1" t="s">
        <v>859</v>
      </c>
      <c r="F3639" s="1" t="s">
        <v>942</v>
      </c>
      <c r="G3639" s="3">
        <v>0</v>
      </c>
      <c r="H3639" s="20" t="s">
        <v>5858</v>
      </c>
      <c r="I3639" s="20" t="s">
        <v>5859</v>
      </c>
      <c r="J3639" s="20" t="s">
        <v>3160</v>
      </c>
      <c r="K3639" s="20" t="s">
        <v>10013</v>
      </c>
      <c r="L3639" s="3">
        <v>22</v>
      </c>
      <c r="M3639" s="3" t="s">
        <v>10361</v>
      </c>
      <c r="N3639" s="3" t="str">
        <f>HYPERLINK("http://ictvonline.org/taxonomyHistory.asp?taxnode_id=20163774","ICTVonline=20163774")</f>
        <v>ICTVonline=20163774</v>
      </c>
    </row>
    <row r="3640" spans="1:14" x14ac:dyDescent="0.15">
      <c r="A3640" s="3">
        <v>3639</v>
      </c>
      <c r="B3640" s="1" t="s">
        <v>926</v>
      </c>
      <c r="C3640" s="1" t="s">
        <v>492</v>
      </c>
      <c r="E3640" s="1" t="s">
        <v>859</v>
      </c>
      <c r="F3640" s="1" t="s">
        <v>943</v>
      </c>
      <c r="G3640" s="3">
        <v>0</v>
      </c>
      <c r="H3640" s="20" t="s">
        <v>5860</v>
      </c>
      <c r="I3640" s="20" t="s">
        <v>5861</v>
      </c>
      <c r="J3640" s="20" t="s">
        <v>3160</v>
      </c>
      <c r="K3640" s="20" t="s">
        <v>10013</v>
      </c>
      <c r="L3640" s="3">
        <v>22</v>
      </c>
      <c r="M3640" s="3" t="s">
        <v>10361</v>
      </c>
      <c r="N3640" s="3" t="str">
        <f>HYPERLINK("http://ictvonline.org/taxonomyHistory.asp?taxnode_id=20163775","ICTVonline=20163775")</f>
        <v>ICTVonline=20163775</v>
      </c>
    </row>
    <row r="3641" spans="1:14" x14ac:dyDescent="0.15">
      <c r="A3641" s="3">
        <v>3640</v>
      </c>
      <c r="B3641" s="1" t="s">
        <v>926</v>
      </c>
      <c r="C3641" s="1" t="s">
        <v>492</v>
      </c>
      <c r="E3641" s="1" t="s">
        <v>859</v>
      </c>
      <c r="F3641" s="1" t="s">
        <v>944</v>
      </c>
      <c r="G3641" s="3">
        <v>0</v>
      </c>
      <c r="H3641" s="20" t="s">
        <v>5862</v>
      </c>
      <c r="I3641" s="20" t="s">
        <v>5863</v>
      </c>
      <c r="J3641" s="20" t="s">
        <v>3160</v>
      </c>
      <c r="K3641" s="20" t="s">
        <v>10013</v>
      </c>
      <c r="L3641" s="3">
        <v>24</v>
      </c>
      <c r="M3641" s="3" t="s">
        <v>10362</v>
      </c>
      <c r="N3641" s="3" t="str">
        <f>HYPERLINK("http://ictvonline.org/taxonomyHistory.asp?taxnode_id=20163776","ICTVonline=20163776")</f>
        <v>ICTVonline=20163776</v>
      </c>
    </row>
    <row r="3642" spans="1:14" x14ac:dyDescent="0.15">
      <c r="A3642" s="3">
        <v>3641</v>
      </c>
      <c r="B3642" s="1" t="s">
        <v>926</v>
      </c>
      <c r="C3642" s="1" t="s">
        <v>492</v>
      </c>
      <c r="E3642" s="1" t="s">
        <v>859</v>
      </c>
      <c r="F3642" s="1" t="s">
        <v>945</v>
      </c>
      <c r="G3642" s="3">
        <v>1</v>
      </c>
      <c r="H3642" s="20" t="s">
        <v>5864</v>
      </c>
      <c r="I3642" s="20" t="s">
        <v>5865</v>
      </c>
      <c r="J3642" s="20" t="s">
        <v>3160</v>
      </c>
      <c r="K3642" s="20" t="s">
        <v>10072</v>
      </c>
      <c r="L3642" s="3">
        <v>17</v>
      </c>
      <c r="M3642" s="3" t="s">
        <v>10208</v>
      </c>
      <c r="N3642" s="3" t="str">
        <f>HYPERLINK("http://ictvonline.org/taxonomyHistory.asp?taxnode_id=20163777","ICTVonline=20163777")</f>
        <v>ICTVonline=20163777</v>
      </c>
    </row>
    <row r="3643" spans="1:14" x14ac:dyDescent="0.15">
      <c r="A3643" s="3">
        <v>3642</v>
      </c>
      <c r="B3643" s="1" t="s">
        <v>926</v>
      </c>
      <c r="C3643" s="1" t="s">
        <v>492</v>
      </c>
      <c r="E3643" s="1" t="s">
        <v>859</v>
      </c>
      <c r="F3643" s="1" t="s">
        <v>2158</v>
      </c>
      <c r="G3643" s="3">
        <v>0</v>
      </c>
      <c r="H3643" s="20" t="s">
        <v>5866</v>
      </c>
      <c r="I3643" s="20" t="s">
        <v>5867</v>
      </c>
      <c r="J3643" s="20" t="s">
        <v>3160</v>
      </c>
      <c r="K3643" s="20" t="s">
        <v>10016</v>
      </c>
      <c r="L3643" s="3">
        <v>28</v>
      </c>
      <c r="M3643" s="3" t="s">
        <v>10363</v>
      </c>
      <c r="N3643" s="3" t="str">
        <f>HYPERLINK("http://ictvonline.org/taxonomyHistory.asp?taxnode_id=20163778","ICTVonline=20163778")</f>
        <v>ICTVonline=20163778</v>
      </c>
    </row>
    <row r="3644" spans="1:14" x14ac:dyDescent="0.15">
      <c r="A3644" s="3">
        <v>3643</v>
      </c>
      <c r="B3644" s="1" t="s">
        <v>926</v>
      </c>
      <c r="C3644" s="1" t="s">
        <v>492</v>
      </c>
      <c r="E3644" s="1" t="s">
        <v>859</v>
      </c>
      <c r="F3644" s="1" t="s">
        <v>195</v>
      </c>
      <c r="G3644" s="3">
        <v>0</v>
      </c>
      <c r="H3644" s="20" t="s">
        <v>5868</v>
      </c>
      <c r="I3644" s="20" t="s">
        <v>5869</v>
      </c>
      <c r="J3644" s="20" t="s">
        <v>3160</v>
      </c>
      <c r="K3644" s="20" t="s">
        <v>10013</v>
      </c>
      <c r="L3644" s="3">
        <v>26</v>
      </c>
      <c r="M3644" s="3" t="s">
        <v>10364</v>
      </c>
      <c r="N3644" s="3" t="str">
        <f>HYPERLINK("http://ictvonline.org/taxonomyHistory.asp?taxnode_id=20163779","ICTVonline=20163779")</f>
        <v>ICTVonline=20163779</v>
      </c>
    </row>
    <row r="3645" spans="1:14" x14ac:dyDescent="0.15">
      <c r="A3645" s="3">
        <v>3644</v>
      </c>
      <c r="B3645" s="1" t="s">
        <v>926</v>
      </c>
      <c r="C3645" s="1" t="s">
        <v>492</v>
      </c>
      <c r="E3645" s="1" t="s">
        <v>946</v>
      </c>
      <c r="F3645" s="1" t="s">
        <v>947</v>
      </c>
      <c r="G3645" s="3">
        <v>0</v>
      </c>
      <c r="J3645" s="20" t="s">
        <v>3160</v>
      </c>
      <c r="K3645" s="20" t="s">
        <v>10016</v>
      </c>
      <c r="L3645" s="3">
        <v>24</v>
      </c>
      <c r="M3645" s="3" t="s">
        <v>10365</v>
      </c>
      <c r="N3645" s="3" t="str">
        <f>HYPERLINK("http://ictvonline.org/taxonomyHistory.asp?taxnode_id=20163781","ICTVonline=20163781")</f>
        <v>ICTVonline=20163781</v>
      </c>
    </row>
    <row r="3646" spans="1:14" x14ac:dyDescent="0.15">
      <c r="A3646" s="3">
        <v>3645</v>
      </c>
      <c r="B3646" s="1" t="s">
        <v>926</v>
      </c>
      <c r="C3646" s="1" t="s">
        <v>492</v>
      </c>
      <c r="E3646" s="1" t="s">
        <v>946</v>
      </c>
      <c r="F3646" s="1" t="s">
        <v>607</v>
      </c>
      <c r="G3646" s="3">
        <v>0</v>
      </c>
      <c r="J3646" s="20" t="s">
        <v>3160</v>
      </c>
      <c r="K3646" s="20" t="s">
        <v>10016</v>
      </c>
      <c r="L3646" s="3">
        <v>30</v>
      </c>
      <c r="M3646" s="3" t="s">
        <v>10366</v>
      </c>
      <c r="N3646" s="3" t="str">
        <f>HYPERLINK("http://ictvonline.org/taxonomyHistory.asp?taxnode_id=20163782","ICTVonline=20163782")</f>
        <v>ICTVonline=20163782</v>
      </c>
    </row>
    <row r="3647" spans="1:14" x14ac:dyDescent="0.15">
      <c r="A3647" s="3">
        <v>3646</v>
      </c>
      <c r="B3647" s="1" t="s">
        <v>926</v>
      </c>
      <c r="C3647" s="1" t="s">
        <v>492</v>
      </c>
      <c r="E3647" s="1" t="s">
        <v>946</v>
      </c>
      <c r="F3647" s="1" t="s">
        <v>9705</v>
      </c>
      <c r="G3647" s="3">
        <v>0</v>
      </c>
      <c r="H3647" s="20" t="s">
        <v>9706</v>
      </c>
      <c r="I3647" s="20" t="s">
        <v>9707</v>
      </c>
      <c r="J3647" s="20" t="s">
        <v>3160</v>
      </c>
      <c r="K3647" s="20" t="s">
        <v>10013</v>
      </c>
      <c r="L3647" s="3">
        <v>31</v>
      </c>
      <c r="M3647" s="3" t="s">
        <v>9708</v>
      </c>
      <c r="N3647" s="3" t="str">
        <f>HYPERLINK("http://ictvonline.org/taxonomyHistory.asp?taxnode_id=20165417","ICTVonline=20165417")</f>
        <v>ICTVonline=20165417</v>
      </c>
    </row>
    <row r="3648" spans="1:14" x14ac:dyDescent="0.15">
      <c r="A3648" s="3">
        <v>3647</v>
      </c>
      <c r="B3648" s="1" t="s">
        <v>926</v>
      </c>
      <c r="C3648" s="1" t="s">
        <v>492</v>
      </c>
      <c r="E3648" s="1" t="s">
        <v>946</v>
      </c>
      <c r="F3648" s="1" t="s">
        <v>948</v>
      </c>
      <c r="G3648" s="3">
        <v>0</v>
      </c>
      <c r="J3648" s="20" t="s">
        <v>3160</v>
      </c>
      <c r="K3648" s="20" t="s">
        <v>10016</v>
      </c>
      <c r="L3648" s="3">
        <v>22</v>
      </c>
      <c r="M3648" s="3" t="s">
        <v>10361</v>
      </c>
      <c r="N3648" s="3" t="str">
        <f>HYPERLINK("http://ictvonline.org/taxonomyHistory.asp?taxnode_id=20163783","ICTVonline=20163783")</f>
        <v>ICTVonline=20163783</v>
      </c>
    </row>
    <row r="3649" spans="1:14" x14ac:dyDescent="0.15">
      <c r="A3649" s="3">
        <v>3648</v>
      </c>
      <c r="B3649" s="1" t="s">
        <v>926</v>
      </c>
      <c r="C3649" s="1" t="s">
        <v>492</v>
      </c>
      <c r="E3649" s="1" t="s">
        <v>946</v>
      </c>
      <c r="F3649" s="1" t="s">
        <v>949</v>
      </c>
      <c r="G3649" s="3">
        <v>0</v>
      </c>
      <c r="H3649" s="20" t="s">
        <v>5870</v>
      </c>
      <c r="I3649" s="20" t="s">
        <v>5871</v>
      </c>
      <c r="J3649" s="20" t="s">
        <v>3160</v>
      </c>
      <c r="K3649" s="20" t="s">
        <v>10013</v>
      </c>
      <c r="L3649" s="3">
        <v>24</v>
      </c>
      <c r="M3649" s="3" t="s">
        <v>10365</v>
      </c>
      <c r="N3649" s="3" t="str">
        <f>HYPERLINK("http://ictvonline.org/taxonomyHistory.asp?taxnode_id=20163784","ICTVonline=20163784")</f>
        <v>ICTVonline=20163784</v>
      </c>
    </row>
    <row r="3650" spans="1:14" x14ac:dyDescent="0.15">
      <c r="A3650" s="3">
        <v>3649</v>
      </c>
      <c r="B3650" s="1" t="s">
        <v>926</v>
      </c>
      <c r="C3650" s="1" t="s">
        <v>492</v>
      </c>
      <c r="E3650" s="1" t="s">
        <v>946</v>
      </c>
      <c r="F3650" s="1" t="s">
        <v>599</v>
      </c>
      <c r="G3650" s="3">
        <v>1</v>
      </c>
      <c r="J3650" s="20" t="s">
        <v>3160</v>
      </c>
      <c r="K3650" s="20" t="s">
        <v>10072</v>
      </c>
      <c r="L3650" s="3">
        <v>17</v>
      </c>
      <c r="M3650" s="3" t="s">
        <v>10208</v>
      </c>
      <c r="N3650" s="3" t="str">
        <f>HYPERLINK("http://ictvonline.org/taxonomyHistory.asp?taxnode_id=20163785","ICTVonline=20163785")</f>
        <v>ICTVonline=20163785</v>
      </c>
    </row>
    <row r="3651" spans="1:14" x14ac:dyDescent="0.15">
      <c r="A3651" s="3">
        <v>3650</v>
      </c>
      <c r="B3651" s="1" t="s">
        <v>926</v>
      </c>
      <c r="C3651" s="1" t="s">
        <v>492</v>
      </c>
      <c r="E3651" s="1" t="s">
        <v>946</v>
      </c>
      <c r="F3651" s="1" t="s">
        <v>600</v>
      </c>
      <c r="G3651" s="3">
        <v>0</v>
      </c>
      <c r="J3651" s="20" t="s">
        <v>3160</v>
      </c>
      <c r="K3651" s="20" t="s">
        <v>10013</v>
      </c>
      <c r="L3651" s="3">
        <v>17</v>
      </c>
      <c r="M3651" s="3" t="s">
        <v>10208</v>
      </c>
      <c r="N3651" s="3" t="str">
        <f>HYPERLINK("http://ictvonline.org/taxonomyHistory.asp?taxnode_id=20163786","ICTVonline=20163786")</f>
        <v>ICTVonline=20163786</v>
      </c>
    </row>
    <row r="3652" spans="1:14" x14ac:dyDescent="0.15">
      <c r="A3652" s="3">
        <v>3651</v>
      </c>
      <c r="B3652" s="1" t="s">
        <v>926</v>
      </c>
      <c r="C3652" s="1" t="s">
        <v>492</v>
      </c>
      <c r="E3652" s="1" t="s">
        <v>946</v>
      </c>
      <c r="F3652" s="1" t="s">
        <v>9709</v>
      </c>
      <c r="G3652" s="3">
        <v>0</v>
      </c>
      <c r="H3652" s="20" t="s">
        <v>9710</v>
      </c>
      <c r="I3652" s="20" t="s">
        <v>9711</v>
      </c>
      <c r="J3652" s="20" t="s">
        <v>3160</v>
      </c>
      <c r="K3652" s="20" t="s">
        <v>10013</v>
      </c>
      <c r="L3652" s="3">
        <v>31</v>
      </c>
      <c r="M3652" s="3" t="s">
        <v>9708</v>
      </c>
      <c r="N3652" s="3" t="str">
        <f>HYPERLINK("http://ictvonline.org/taxonomyHistory.asp?taxnode_id=20165418","ICTVonline=20165418")</f>
        <v>ICTVonline=20165418</v>
      </c>
    </row>
    <row r="3653" spans="1:14" x14ac:dyDescent="0.15">
      <c r="A3653" s="3">
        <v>3652</v>
      </c>
      <c r="B3653" s="1" t="s">
        <v>926</v>
      </c>
      <c r="C3653" s="1" t="s">
        <v>492</v>
      </c>
      <c r="E3653" s="1" t="s">
        <v>196</v>
      </c>
      <c r="F3653" s="1" t="s">
        <v>5872</v>
      </c>
      <c r="G3653" s="3">
        <v>0</v>
      </c>
      <c r="H3653" s="20" t="s">
        <v>7054</v>
      </c>
      <c r="I3653" s="20" t="s">
        <v>5873</v>
      </c>
      <c r="J3653" s="20" t="s">
        <v>3160</v>
      </c>
      <c r="K3653" s="20" t="s">
        <v>10013</v>
      </c>
      <c r="L3653" s="3">
        <v>30</v>
      </c>
      <c r="M3653" s="3" t="s">
        <v>10367</v>
      </c>
      <c r="N3653" s="3" t="str">
        <f>HYPERLINK("http://ictvonline.org/taxonomyHistory.asp?taxnode_id=20163788","ICTVonline=20163788")</f>
        <v>ICTVonline=20163788</v>
      </c>
    </row>
    <row r="3654" spans="1:14" x14ac:dyDescent="0.15">
      <c r="A3654" s="3">
        <v>3653</v>
      </c>
      <c r="B3654" s="1" t="s">
        <v>926</v>
      </c>
      <c r="C3654" s="1" t="s">
        <v>492</v>
      </c>
      <c r="E3654" s="1" t="s">
        <v>196</v>
      </c>
      <c r="F3654" s="1" t="s">
        <v>506</v>
      </c>
      <c r="G3654" s="3">
        <v>0</v>
      </c>
      <c r="H3654" s="20" t="s">
        <v>5874</v>
      </c>
      <c r="I3654" s="20" t="s">
        <v>5875</v>
      </c>
      <c r="J3654" s="20" t="s">
        <v>3160</v>
      </c>
      <c r="K3654" s="20" t="s">
        <v>10016</v>
      </c>
      <c r="L3654" s="3">
        <v>26</v>
      </c>
      <c r="M3654" s="3" t="s">
        <v>10368</v>
      </c>
      <c r="N3654" s="3" t="str">
        <f>HYPERLINK("http://ictvonline.org/taxonomyHistory.asp?taxnode_id=20163789","ICTVonline=20163789")</f>
        <v>ICTVonline=20163789</v>
      </c>
    </row>
    <row r="3655" spans="1:14" x14ac:dyDescent="0.15">
      <c r="A3655" s="3">
        <v>3654</v>
      </c>
      <c r="B3655" s="1" t="s">
        <v>926</v>
      </c>
      <c r="C3655" s="1" t="s">
        <v>492</v>
      </c>
      <c r="E3655" s="1" t="s">
        <v>196</v>
      </c>
      <c r="F3655" s="1" t="s">
        <v>197</v>
      </c>
      <c r="G3655" s="3">
        <v>1</v>
      </c>
      <c r="H3655" s="20" t="s">
        <v>5876</v>
      </c>
      <c r="I3655" s="20" t="s">
        <v>5877</v>
      </c>
      <c r="J3655" s="20" t="s">
        <v>3160</v>
      </c>
      <c r="K3655" s="20" t="s">
        <v>10072</v>
      </c>
      <c r="L3655" s="3">
        <v>26</v>
      </c>
      <c r="M3655" s="3" t="s">
        <v>10368</v>
      </c>
      <c r="N3655" s="3" t="str">
        <f>HYPERLINK("http://ictvonline.org/taxonomyHistory.asp?taxnode_id=20163790","ICTVonline=20163790")</f>
        <v>ICTVonline=20163790</v>
      </c>
    </row>
    <row r="3656" spans="1:14" x14ac:dyDescent="0.15">
      <c r="A3656" s="3">
        <v>3655</v>
      </c>
      <c r="B3656" s="1" t="s">
        <v>926</v>
      </c>
      <c r="C3656" s="1" t="s">
        <v>492</v>
      </c>
      <c r="E3656" s="1" t="s">
        <v>601</v>
      </c>
      <c r="F3656" s="1" t="s">
        <v>2189</v>
      </c>
      <c r="G3656" s="3">
        <v>0</v>
      </c>
      <c r="H3656" s="20" t="s">
        <v>5878</v>
      </c>
      <c r="I3656" s="20" t="s">
        <v>5879</v>
      </c>
      <c r="J3656" s="20" t="s">
        <v>3160</v>
      </c>
      <c r="K3656" s="20" t="s">
        <v>10013</v>
      </c>
      <c r="L3656" s="3">
        <v>25</v>
      </c>
      <c r="M3656" s="3" t="s">
        <v>10369</v>
      </c>
      <c r="N3656" s="3" t="str">
        <f>HYPERLINK("http://ictvonline.org/taxonomyHistory.asp?taxnode_id=20163792","ICTVonline=20163792")</f>
        <v>ICTVonline=20163792</v>
      </c>
    </row>
    <row r="3657" spans="1:14" x14ac:dyDescent="0.15">
      <c r="A3657" s="3">
        <v>3656</v>
      </c>
      <c r="B3657" s="1" t="s">
        <v>926</v>
      </c>
      <c r="C3657" s="1" t="s">
        <v>492</v>
      </c>
      <c r="E3657" s="1" t="s">
        <v>601</v>
      </c>
      <c r="F3657" s="1" t="s">
        <v>602</v>
      </c>
      <c r="G3657" s="3">
        <v>0</v>
      </c>
      <c r="J3657" s="20" t="s">
        <v>3160</v>
      </c>
      <c r="K3657" s="20" t="s">
        <v>10016</v>
      </c>
      <c r="L3657" s="3">
        <v>13</v>
      </c>
      <c r="M3657" s="3" t="s">
        <v>10225</v>
      </c>
      <c r="N3657" s="3" t="str">
        <f>HYPERLINK("http://ictvonline.org/taxonomyHistory.asp?taxnode_id=20163793","ICTVonline=20163793")</f>
        <v>ICTVonline=20163793</v>
      </c>
    </row>
    <row r="3658" spans="1:14" x14ac:dyDescent="0.15">
      <c r="A3658" s="3">
        <v>3657</v>
      </c>
      <c r="B3658" s="1" t="s">
        <v>926</v>
      </c>
      <c r="C3658" s="1" t="s">
        <v>492</v>
      </c>
      <c r="E3658" s="1" t="s">
        <v>601</v>
      </c>
      <c r="F3658" s="1" t="s">
        <v>2190</v>
      </c>
      <c r="G3658" s="3">
        <v>0</v>
      </c>
      <c r="J3658" s="20" t="s">
        <v>3160</v>
      </c>
      <c r="K3658" s="20" t="s">
        <v>10013</v>
      </c>
      <c r="L3658" s="3">
        <v>25</v>
      </c>
      <c r="M3658" s="3" t="s">
        <v>10369</v>
      </c>
      <c r="N3658" s="3" t="str">
        <f>HYPERLINK("http://ictvonline.org/taxonomyHistory.asp?taxnode_id=20163794","ICTVonline=20163794")</f>
        <v>ICTVonline=20163794</v>
      </c>
    </row>
    <row r="3659" spans="1:14" x14ac:dyDescent="0.15">
      <c r="A3659" s="3">
        <v>3658</v>
      </c>
      <c r="B3659" s="1" t="s">
        <v>926</v>
      </c>
      <c r="C3659" s="1" t="s">
        <v>492</v>
      </c>
      <c r="E3659" s="1" t="s">
        <v>601</v>
      </c>
      <c r="F3659" s="1" t="s">
        <v>603</v>
      </c>
      <c r="G3659" s="3">
        <v>0</v>
      </c>
      <c r="J3659" s="20" t="s">
        <v>3160</v>
      </c>
      <c r="K3659" s="20" t="s">
        <v>10016</v>
      </c>
      <c r="L3659" s="3">
        <v>13</v>
      </c>
      <c r="M3659" s="3" t="s">
        <v>10225</v>
      </c>
      <c r="N3659" s="3" t="str">
        <f>HYPERLINK("http://ictvonline.org/taxonomyHistory.asp?taxnode_id=20163795","ICTVonline=20163795")</f>
        <v>ICTVonline=20163795</v>
      </c>
    </row>
    <row r="3660" spans="1:14" x14ac:dyDescent="0.15">
      <c r="A3660" s="3">
        <v>3659</v>
      </c>
      <c r="B3660" s="1" t="s">
        <v>926</v>
      </c>
      <c r="C3660" s="1" t="s">
        <v>492</v>
      </c>
      <c r="E3660" s="1" t="s">
        <v>601</v>
      </c>
      <c r="F3660" s="1" t="s">
        <v>604</v>
      </c>
      <c r="G3660" s="3">
        <v>0</v>
      </c>
      <c r="J3660" s="20" t="s">
        <v>3160</v>
      </c>
      <c r="K3660" s="20" t="s">
        <v>10013</v>
      </c>
      <c r="L3660" s="3">
        <v>24</v>
      </c>
      <c r="M3660" s="3" t="s">
        <v>10370</v>
      </c>
      <c r="N3660" s="3" t="str">
        <f>HYPERLINK("http://ictvonline.org/taxonomyHistory.asp?taxnode_id=20163796","ICTVonline=20163796")</f>
        <v>ICTVonline=20163796</v>
      </c>
    </row>
    <row r="3661" spans="1:14" x14ac:dyDescent="0.15">
      <c r="A3661" s="3">
        <v>3660</v>
      </c>
      <c r="B3661" s="1" t="s">
        <v>926</v>
      </c>
      <c r="C3661" s="1" t="s">
        <v>492</v>
      </c>
      <c r="E3661" s="1" t="s">
        <v>601</v>
      </c>
      <c r="F3661" s="1" t="s">
        <v>2191</v>
      </c>
      <c r="G3661" s="3">
        <v>0</v>
      </c>
      <c r="J3661" s="20" t="s">
        <v>3160</v>
      </c>
      <c r="K3661" s="20" t="s">
        <v>10013</v>
      </c>
      <c r="L3661" s="3">
        <v>25</v>
      </c>
      <c r="M3661" s="3" t="s">
        <v>10369</v>
      </c>
      <c r="N3661" s="3" t="str">
        <f>HYPERLINK("http://ictvonline.org/taxonomyHistory.asp?taxnode_id=20163797","ICTVonline=20163797")</f>
        <v>ICTVonline=20163797</v>
      </c>
    </row>
    <row r="3662" spans="1:14" x14ac:dyDescent="0.15">
      <c r="A3662" s="3">
        <v>3661</v>
      </c>
      <c r="B3662" s="1" t="s">
        <v>926</v>
      </c>
      <c r="C3662" s="1" t="s">
        <v>492</v>
      </c>
      <c r="E3662" s="1" t="s">
        <v>601</v>
      </c>
      <c r="F3662" s="1" t="s">
        <v>605</v>
      </c>
      <c r="G3662" s="3">
        <v>0</v>
      </c>
      <c r="H3662" s="20" t="s">
        <v>5880</v>
      </c>
      <c r="I3662" s="20" t="s">
        <v>5881</v>
      </c>
      <c r="J3662" s="20" t="s">
        <v>3160</v>
      </c>
      <c r="K3662" s="20" t="s">
        <v>10013</v>
      </c>
      <c r="L3662" s="3">
        <v>23</v>
      </c>
      <c r="M3662" s="3" t="s">
        <v>10229</v>
      </c>
      <c r="N3662" s="3" t="str">
        <f>HYPERLINK("http://ictvonline.org/taxonomyHistory.asp?taxnode_id=20163798","ICTVonline=20163798")</f>
        <v>ICTVonline=20163798</v>
      </c>
    </row>
    <row r="3663" spans="1:14" x14ac:dyDescent="0.15">
      <c r="A3663" s="3">
        <v>3662</v>
      </c>
      <c r="B3663" s="1" t="s">
        <v>926</v>
      </c>
      <c r="C3663" s="1" t="s">
        <v>492</v>
      </c>
      <c r="E3663" s="1" t="s">
        <v>601</v>
      </c>
      <c r="F3663" s="1" t="s">
        <v>606</v>
      </c>
      <c r="G3663" s="3">
        <v>0</v>
      </c>
      <c r="J3663" s="20" t="s">
        <v>3160</v>
      </c>
      <c r="K3663" s="20" t="s">
        <v>10016</v>
      </c>
      <c r="L3663" s="3">
        <v>13</v>
      </c>
      <c r="M3663" s="3" t="s">
        <v>10225</v>
      </c>
      <c r="N3663" s="3" t="str">
        <f>HYPERLINK("http://ictvonline.org/taxonomyHistory.asp?taxnode_id=20163799","ICTVonline=20163799")</f>
        <v>ICTVonline=20163799</v>
      </c>
    </row>
    <row r="3664" spans="1:14" x14ac:dyDescent="0.15">
      <c r="A3664" s="3">
        <v>3663</v>
      </c>
      <c r="B3664" s="1" t="s">
        <v>926</v>
      </c>
      <c r="C3664" s="1" t="s">
        <v>492</v>
      </c>
      <c r="E3664" s="1" t="s">
        <v>601</v>
      </c>
      <c r="F3664" s="1" t="s">
        <v>2216</v>
      </c>
      <c r="G3664" s="3">
        <v>0</v>
      </c>
      <c r="H3664" s="20" t="s">
        <v>5882</v>
      </c>
      <c r="I3664" s="20" t="s">
        <v>5883</v>
      </c>
      <c r="J3664" s="20" t="s">
        <v>3160</v>
      </c>
      <c r="K3664" s="20" t="s">
        <v>10013</v>
      </c>
      <c r="L3664" s="3">
        <v>25</v>
      </c>
      <c r="M3664" s="3" t="s">
        <v>10371</v>
      </c>
      <c r="N3664" s="3" t="str">
        <f>HYPERLINK("http://ictvonline.org/taxonomyHistory.asp?taxnode_id=20163800","ICTVonline=20163800")</f>
        <v>ICTVonline=20163800</v>
      </c>
    </row>
    <row r="3665" spans="1:14" x14ac:dyDescent="0.15">
      <c r="A3665" s="3">
        <v>3664</v>
      </c>
      <c r="B3665" s="1" t="s">
        <v>926</v>
      </c>
      <c r="C3665" s="1" t="s">
        <v>492</v>
      </c>
      <c r="E3665" s="1" t="s">
        <v>601</v>
      </c>
      <c r="F3665" s="1" t="s">
        <v>608</v>
      </c>
      <c r="G3665" s="3">
        <v>0</v>
      </c>
      <c r="H3665" s="20" t="s">
        <v>5884</v>
      </c>
      <c r="I3665" s="20" t="s">
        <v>5885</v>
      </c>
      <c r="J3665" s="20" t="s">
        <v>3160</v>
      </c>
      <c r="K3665" s="20" t="s">
        <v>10016</v>
      </c>
      <c r="L3665" s="3">
        <v>13</v>
      </c>
      <c r="M3665" s="3" t="s">
        <v>10225</v>
      </c>
      <c r="N3665" s="3" t="str">
        <f>HYPERLINK("http://ictvonline.org/taxonomyHistory.asp?taxnode_id=20163801","ICTVonline=20163801")</f>
        <v>ICTVonline=20163801</v>
      </c>
    </row>
    <row r="3666" spans="1:14" x14ac:dyDescent="0.15">
      <c r="A3666" s="3">
        <v>3665</v>
      </c>
      <c r="B3666" s="1" t="s">
        <v>926</v>
      </c>
      <c r="C3666" s="1" t="s">
        <v>492</v>
      </c>
      <c r="E3666" s="1" t="s">
        <v>601</v>
      </c>
      <c r="F3666" s="1" t="s">
        <v>609</v>
      </c>
      <c r="G3666" s="3">
        <v>0</v>
      </c>
      <c r="H3666" s="20" t="s">
        <v>5886</v>
      </c>
      <c r="I3666" s="20" t="s">
        <v>5188</v>
      </c>
      <c r="J3666" s="20" t="s">
        <v>3160</v>
      </c>
      <c r="K3666" s="20" t="s">
        <v>10013</v>
      </c>
      <c r="L3666" s="3">
        <v>18</v>
      </c>
      <c r="M3666" s="3" t="s">
        <v>10101</v>
      </c>
      <c r="N3666" s="3" t="str">
        <f>HYPERLINK("http://ictvonline.org/taxonomyHistory.asp?taxnode_id=20163802","ICTVonline=20163802")</f>
        <v>ICTVonline=20163802</v>
      </c>
    </row>
    <row r="3667" spans="1:14" x14ac:dyDescent="0.15">
      <c r="A3667" s="3">
        <v>3666</v>
      </c>
      <c r="B3667" s="1" t="s">
        <v>926</v>
      </c>
      <c r="C3667" s="1" t="s">
        <v>492</v>
      </c>
      <c r="E3667" s="1" t="s">
        <v>601</v>
      </c>
      <c r="F3667" s="1" t="s">
        <v>610</v>
      </c>
      <c r="G3667" s="3">
        <v>0</v>
      </c>
      <c r="H3667" s="20" t="s">
        <v>5887</v>
      </c>
      <c r="I3667" s="20" t="s">
        <v>5888</v>
      </c>
      <c r="J3667" s="20" t="s">
        <v>3160</v>
      </c>
      <c r="K3667" s="20" t="s">
        <v>10013</v>
      </c>
      <c r="L3667" s="3">
        <v>24</v>
      </c>
      <c r="M3667" s="3" t="s">
        <v>10370</v>
      </c>
      <c r="N3667" s="3" t="str">
        <f>HYPERLINK("http://ictvonline.org/taxonomyHistory.asp?taxnode_id=20163803","ICTVonline=20163803")</f>
        <v>ICTVonline=20163803</v>
      </c>
    </row>
    <row r="3668" spans="1:14" x14ac:dyDescent="0.15">
      <c r="A3668" s="3">
        <v>3667</v>
      </c>
      <c r="B3668" s="1" t="s">
        <v>926</v>
      </c>
      <c r="C3668" s="1" t="s">
        <v>492</v>
      </c>
      <c r="E3668" s="1" t="s">
        <v>601</v>
      </c>
      <c r="F3668" s="1" t="s">
        <v>611</v>
      </c>
      <c r="G3668" s="3">
        <v>0</v>
      </c>
      <c r="H3668" s="20" t="s">
        <v>5889</v>
      </c>
      <c r="I3668" s="20" t="s">
        <v>5890</v>
      </c>
      <c r="J3668" s="20" t="s">
        <v>3160</v>
      </c>
      <c r="K3668" s="20" t="s">
        <v>10013</v>
      </c>
      <c r="L3668" s="3">
        <v>14</v>
      </c>
      <c r="M3668" s="3" t="s">
        <v>10234</v>
      </c>
      <c r="N3668" s="3" t="str">
        <f>HYPERLINK("http://ictvonline.org/taxonomyHistory.asp?taxnode_id=20163804","ICTVonline=20163804")</f>
        <v>ICTVonline=20163804</v>
      </c>
    </row>
    <row r="3669" spans="1:14" x14ac:dyDescent="0.15">
      <c r="A3669" s="3">
        <v>3668</v>
      </c>
      <c r="B3669" s="1" t="s">
        <v>926</v>
      </c>
      <c r="C3669" s="1" t="s">
        <v>492</v>
      </c>
      <c r="E3669" s="1" t="s">
        <v>601</v>
      </c>
      <c r="F3669" s="1" t="s">
        <v>612</v>
      </c>
      <c r="G3669" s="3">
        <v>0</v>
      </c>
      <c r="H3669" s="20" t="s">
        <v>5891</v>
      </c>
      <c r="I3669" s="20" t="s">
        <v>3263</v>
      </c>
      <c r="J3669" s="20" t="s">
        <v>3160</v>
      </c>
      <c r="K3669" s="20" t="s">
        <v>10216</v>
      </c>
      <c r="L3669" s="3">
        <v>18</v>
      </c>
      <c r="M3669" s="3" t="s">
        <v>10101</v>
      </c>
      <c r="N3669" s="3" t="str">
        <f>HYPERLINK("http://ictvonline.org/taxonomyHistory.asp?taxnode_id=20163805","ICTVonline=20163805")</f>
        <v>ICTVonline=20163805</v>
      </c>
    </row>
    <row r="3670" spans="1:14" x14ac:dyDescent="0.15">
      <c r="A3670" s="3">
        <v>3669</v>
      </c>
      <c r="B3670" s="1" t="s">
        <v>926</v>
      </c>
      <c r="C3670" s="1" t="s">
        <v>492</v>
      </c>
      <c r="E3670" s="1" t="s">
        <v>601</v>
      </c>
      <c r="F3670" s="1" t="s">
        <v>613</v>
      </c>
      <c r="G3670" s="3">
        <v>0</v>
      </c>
      <c r="H3670" s="20" t="s">
        <v>5892</v>
      </c>
      <c r="I3670" s="20" t="s">
        <v>4956</v>
      </c>
      <c r="J3670" s="20" t="s">
        <v>3160</v>
      </c>
      <c r="K3670" s="20" t="s">
        <v>10016</v>
      </c>
      <c r="L3670" s="3">
        <v>13</v>
      </c>
      <c r="M3670" s="3" t="s">
        <v>10225</v>
      </c>
      <c r="N3670" s="3" t="str">
        <f>HYPERLINK("http://ictvonline.org/taxonomyHistory.asp?taxnode_id=20163806","ICTVonline=20163806")</f>
        <v>ICTVonline=20163806</v>
      </c>
    </row>
    <row r="3671" spans="1:14" x14ac:dyDescent="0.15">
      <c r="A3671" s="3">
        <v>3670</v>
      </c>
      <c r="B3671" s="1" t="s">
        <v>926</v>
      </c>
      <c r="C3671" s="1" t="s">
        <v>492</v>
      </c>
      <c r="E3671" s="1" t="s">
        <v>601</v>
      </c>
      <c r="F3671" s="1" t="s">
        <v>614</v>
      </c>
      <c r="G3671" s="3">
        <v>0</v>
      </c>
      <c r="H3671" s="20" t="s">
        <v>5893</v>
      </c>
      <c r="I3671" s="20" t="s">
        <v>5894</v>
      </c>
      <c r="J3671" s="20" t="s">
        <v>3160</v>
      </c>
      <c r="K3671" s="20" t="s">
        <v>10016</v>
      </c>
      <c r="L3671" s="3">
        <v>13</v>
      </c>
      <c r="M3671" s="3" t="s">
        <v>10225</v>
      </c>
      <c r="N3671" s="3" t="str">
        <f>HYPERLINK("http://ictvonline.org/taxonomyHistory.asp?taxnode_id=20163807","ICTVonline=20163807")</f>
        <v>ICTVonline=20163807</v>
      </c>
    </row>
    <row r="3672" spans="1:14" x14ac:dyDescent="0.15">
      <c r="A3672" s="3">
        <v>3671</v>
      </c>
      <c r="B3672" s="1" t="s">
        <v>926</v>
      </c>
      <c r="C3672" s="1" t="s">
        <v>492</v>
      </c>
      <c r="E3672" s="1" t="s">
        <v>601</v>
      </c>
      <c r="F3672" s="1" t="s">
        <v>2801</v>
      </c>
      <c r="G3672" s="3">
        <v>0</v>
      </c>
      <c r="H3672" s="20" t="s">
        <v>3194</v>
      </c>
      <c r="I3672" s="20" t="s">
        <v>5895</v>
      </c>
      <c r="J3672" s="20" t="s">
        <v>3160</v>
      </c>
      <c r="K3672" s="20" t="s">
        <v>10013</v>
      </c>
      <c r="L3672" s="3">
        <v>29</v>
      </c>
      <c r="M3672" s="3" t="s">
        <v>10372</v>
      </c>
      <c r="N3672" s="3" t="str">
        <f>HYPERLINK("http://ictvonline.org/taxonomyHistory.asp?taxnode_id=20163808","ICTVonline=20163808")</f>
        <v>ICTVonline=20163808</v>
      </c>
    </row>
    <row r="3673" spans="1:14" x14ac:dyDescent="0.15">
      <c r="A3673" s="3">
        <v>3672</v>
      </c>
      <c r="B3673" s="1" t="s">
        <v>926</v>
      </c>
      <c r="C3673" s="1" t="s">
        <v>492</v>
      </c>
      <c r="E3673" s="1" t="s">
        <v>601</v>
      </c>
      <c r="F3673" s="1" t="s">
        <v>615</v>
      </c>
      <c r="G3673" s="3">
        <v>0</v>
      </c>
      <c r="H3673" s="20" t="s">
        <v>5896</v>
      </c>
      <c r="I3673" s="20" t="s">
        <v>5897</v>
      </c>
      <c r="J3673" s="20" t="s">
        <v>3160</v>
      </c>
      <c r="K3673" s="20" t="s">
        <v>10016</v>
      </c>
      <c r="L3673" s="3">
        <v>13</v>
      </c>
      <c r="M3673" s="3" t="s">
        <v>10225</v>
      </c>
      <c r="N3673" s="3" t="str">
        <f>HYPERLINK("http://ictvonline.org/taxonomyHistory.asp?taxnode_id=20163809","ICTVonline=20163809")</f>
        <v>ICTVonline=20163809</v>
      </c>
    </row>
    <row r="3674" spans="1:14" x14ac:dyDescent="0.15">
      <c r="A3674" s="3">
        <v>3673</v>
      </c>
      <c r="B3674" s="1" t="s">
        <v>926</v>
      </c>
      <c r="C3674" s="1" t="s">
        <v>492</v>
      </c>
      <c r="E3674" s="1" t="s">
        <v>601</v>
      </c>
      <c r="F3674" s="1" t="s">
        <v>2802</v>
      </c>
      <c r="G3674" s="3">
        <v>0</v>
      </c>
      <c r="H3674" s="20" t="s">
        <v>5898</v>
      </c>
      <c r="I3674" s="20" t="s">
        <v>5873</v>
      </c>
      <c r="J3674" s="20" t="s">
        <v>3160</v>
      </c>
      <c r="K3674" s="20" t="s">
        <v>10013</v>
      </c>
      <c r="L3674" s="3">
        <v>29</v>
      </c>
      <c r="M3674" s="3" t="s">
        <v>10372</v>
      </c>
      <c r="N3674" s="3" t="str">
        <f>HYPERLINK("http://ictvonline.org/taxonomyHistory.asp?taxnode_id=20163810","ICTVonline=20163810")</f>
        <v>ICTVonline=20163810</v>
      </c>
    </row>
    <row r="3675" spans="1:14" x14ac:dyDescent="0.15">
      <c r="A3675" s="3">
        <v>3674</v>
      </c>
      <c r="B3675" s="1" t="s">
        <v>926</v>
      </c>
      <c r="C3675" s="1" t="s">
        <v>492</v>
      </c>
      <c r="E3675" s="1" t="s">
        <v>601</v>
      </c>
      <c r="F3675" s="1" t="s">
        <v>2803</v>
      </c>
      <c r="G3675" s="3">
        <v>0</v>
      </c>
      <c r="H3675" s="20" t="s">
        <v>5899</v>
      </c>
      <c r="I3675" s="20" t="s">
        <v>5900</v>
      </c>
      <c r="J3675" s="20" t="s">
        <v>3160</v>
      </c>
      <c r="K3675" s="20" t="s">
        <v>10013</v>
      </c>
      <c r="L3675" s="3">
        <v>29</v>
      </c>
      <c r="M3675" s="3" t="s">
        <v>10372</v>
      </c>
      <c r="N3675" s="3" t="str">
        <f>HYPERLINK("http://ictvonline.org/taxonomyHistory.asp?taxnode_id=20163811","ICTVonline=20163811")</f>
        <v>ICTVonline=20163811</v>
      </c>
    </row>
    <row r="3676" spans="1:14" x14ac:dyDescent="0.15">
      <c r="A3676" s="3">
        <v>3675</v>
      </c>
      <c r="B3676" s="1" t="s">
        <v>926</v>
      </c>
      <c r="C3676" s="1" t="s">
        <v>492</v>
      </c>
      <c r="E3676" s="1" t="s">
        <v>601</v>
      </c>
      <c r="F3676" s="1" t="s">
        <v>2217</v>
      </c>
      <c r="G3676" s="3">
        <v>0</v>
      </c>
      <c r="H3676" s="20" t="s">
        <v>5901</v>
      </c>
      <c r="I3676" s="20" t="s">
        <v>5902</v>
      </c>
      <c r="J3676" s="20" t="s">
        <v>3160</v>
      </c>
      <c r="K3676" s="20" t="s">
        <v>10013</v>
      </c>
      <c r="L3676" s="3">
        <v>25</v>
      </c>
      <c r="M3676" s="3" t="s">
        <v>10371</v>
      </c>
      <c r="N3676" s="3" t="str">
        <f>HYPERLINK("http://ictvonline.org/taxonomyHistory.asp?taxnode_id=20163812","ICTVonline=20163812")</f>
        <v>ICTVonline=20163812</v>
      </c>
    </row>
    <row r="3677" spans="1:14" x14ac:dyDescent="0.15">
      <c r="A3677" s="3">
        <v>3676</v>
      </c>
      <c r="B3677" s="1" t="s">
        <v>926</v>
      </c>
      <c r="C3677" s="1" t="s">
        <v>492</v>
      </c>
      <c r="E3677" s="1" t="s">
        <v>601</v>
      </c>
      <c r="F3677" s="1" t="s">
        <v>2192</v>
      </c>
      <c r="G3677" s="3">
        <v>0</v>
      </c>
      <c r="J3677" s="20" t="s">
        <v>3160</v>
      </c>
      <c r="K3677" s="20" t="s">
        <v>10013</v>
      </c>
      <c r="L3677" s="3">
        <v>25</v>
      </c>
      <c r="M3677" s="3" t="s">
        <v>10369</v>
      </c>
      <c r="N3677" s="3" t="str">
        <f>HYPERLINK("http://ictvonline.org/taxonomyHistory.asp?taxnode_id=20163813","ICTVonline=20163813")</f>
        <v>ICTVonline=20163813</v>
      </c>
    </row>
    <row r="3678" spans="1:14" x14ac:dyDescent="0.15">
      <c r="A3678" s="3">
        <v>3677</v>
      </c>
      <c r="B3678" s="1" t="s">
        <v>926</v>
      </c>
      <c r="C3678" s="1" t="s">
        <v>492</v>
      </c>
      <c r="E3678" s="1" t="s">
        <v>601</v>
      </c>
      <c r="F3678" s="1" t="s">
        <v>1626</v>
      </c>
      <c r="G3678" s="3">
        <v>0</v>
      </c>
      <c r="J3678" s="20" t="s">
        <v>3160</v>
      </c>
      <c r="K3678" s="20" t="s">
        <v>10013</v>
      </c>
      <c r="L3678" s="3">
        <v>18</v>
      </c>
      <c r="M3678" s="3" t="s">
        <v>10101</v>
      </c>
      <c r="N3678" s="3" t="str">
        <f>HYPERLINK("http://ictvonline.org/taxonomyHistory.asp?taxnode_id=20163814","ICTVonline=20163814")</f>
        <v>ICTVonline=20163814</v>
      </c>
    </row>
    <row r="3679" spans="1:14" x14ac:dyDescent="0.15">
      <c r="A3679" s="3">
        <v>3678</v>
      </c>
      <c r="B3679" s="1" t="s">
        <v>926</v>
      </c>
      <c r="C3679" s="1" t="s">
        <v>492</v>
      </c>
      <c r="E3679" s="1" t="s">
        <v>601</v>
      </c>
      <c r="F3679" s="1" t="s">
        <v>2804</v>
      </c>
      <c r="G3679" s="3">
        <v>0</v>
      </c>
      <c r="H3679" s="20" t="s">
        <v>3195</v>
      </c>
      <c r="I3679" s="20" t="s">
        <v>5903</v>
      </c>
      <c r="J3679" s="20" t="s">
        <v>3160</v>
      </c>
      <c r="K3679" s="20" t="s">
        <v>10013</v>
      </c>
      <c r="L3679" s="3">
        <v>29</v>
      </c>
      <c r="M3679" s="3" t="s">
        <v>10372</v>
      </c>
      <c r="N3679" s="3" t="str">
        <f>HYPERLINK("http://ictvonline.org/taxonomyHistory.asp?taxnode_id=20163815","ICTVonline=20163815")</f>
        <v>ICTVonline=20163815</v>
      </c>
    </row>
    <row r="3680" spans="1:14" x14ac:dyDescent="0.15">
      <c r="A3680" s="3">
        <v>3679</v>
      </c>
      <c r="B3680" s="1" t="s">
        <v>926</v>
      </c>
      <c r="C3680" s="1" t="s">
        <v>492</v>
      </c>
      <c r="E3680" s="1" t="s">
        <v>601</v>
      </c>
      <c r="F3680" s="1" t="s">
        <v>2193</v>
      </c>
      <c r="G3680" s="3">
        <v>0</v>
      </c>
      <c r="H3680" s="20" t="s">
        <v>5904</v>
      </c>
      <c r="I3680" s="20" t="s">
        <v>4972</v>
      </c>
      <c r="J3680" s="20" t="s">
        <v>3160</v>
      </c>
      <c r="K3680" s="20" t="s">
        <v>10013</v>
      </c>
      <c r="L3680" s="3">
        <v>25</v>
      </c>
      <c r="M3680" s="3" t="s">
        <v>10369</v>
      </c>
      <c r="N3680" s="3" t="str">
        <f>HYPERLINK("http://ictvonline.org/taxonomyHistory.asp?taxnode_id=20163816","ICTVonline=20163816")</f>
        <v>ICTVonline=20163816</v>
      </c>
    </row>
    <row r="3681" spans="1:14" x14ac:dyDescent="0.15">
      <c r="A3681" s="3">
        <v>3680</v>
      </c>
      <c r="B3681" s="1" t="s">
        <v>926</v>
      </c>
      <c r="C3681" s="1" t="s">
        <v>492</v>
      </c>
      <c r="E3681" s="1" t="s">
        <v>601</v>
      </c>
      <c r="F3681" s="1" t="s">
        <v>1627</v>
      </c>
      <c r="G3681" s="3">
        <v>0</v>
      </c>
      <c r="J3681" s="20" t="s">
        <v>3160</v>
      </c>
      <c r="K3681" s="20" t="s">
        <v>10016</v>
      </c>
      <c r="L3681" s="3">
        <v>13</v>
      </c>
      <c r="M3681" s="3" t="s">
        <v>10225</v>
      </c>
      <c r="N3681" s="3" t="str">
        <f>HYPERLINK("http://ictvonline.org/taxonomyHistory.asp?taxnode_id=20163817","ICTVonline=20163817")</f>
        <v>ICTVonline=20163817</v>
      </c>
    </row>
    <row r="3682" spans="1:14" x14ac:dyDescent="0.15">
      <c r="A3682" s="3">
        <v>3681</v>
      </c>
      <c r="B3682" s="1" t="s">
        <v>926</v>
      </c>
      <c r="C3682" s="1" t="s">
        <v>492</v>
      </c>
      <c r="E3682" s="1" t="s">
        <v>601</v>
      </c>
      <c r="F3682" s="1" t="s">
        <v>1628</v>
      </c>
      <c r="G3682" s="3">
        <v>0</v>
      </c>
      <c r="H3682" s="20" t="s">
        <v>5905</v>
      </c>
      <c r="I3682" s="20" t="s">
        <v>5906</v>
      </c>
      <c r="J3682" s="20" t="s">
        <v>3160</v>
      </c>
      <c r="K3682" s="20" t="s">
        <v>10016</v>
      </c>
      <c r="L3682" s="3">
        <v>13</v>
      </c>
      <c r="M3682" s="3" t="s">
        <v>10225</v>
      </c>
      <c r="N3682" s="3" t="str">
        <f>HYPERLINK("http://ictvonline.org/taxonomyHistory.asp?taxnode_id=20163818","ICTVonline=20163818")</f>
        <v>ICTVonline=20163818</v>
      </c>
    </row>
    <row r="3683" spans="1:14" x14ac:dyDescent="0.15">
      <c r="A3683" s="3">
        <v>3682</v>
      </c>
      <c r="B3683" s="1" t="s">
        <v>926</v>
      </c>
      <c r="C3683" s="1" t="s">
        <v>492</v>
      </c>
      <c r="E3683" s="1" t="s">
        <v>601</v>
      </c>
      <c r="F3683" s="1" t="s">
        <v>1629</v>
      </c>
      <c r="G3683" s="3">
        <v>0</v>
      </c>
      <c r="J3683" s="20" t="s">
        <v>3160</v>
      </c>
      <c r="K3683" s="20" t="s">
        <v>10013</v>
      </c>
      <c r="L3683" s="3">
        <v>22</v>
      </c>
      <c r="M3683" s="3" t="s">
        <v>10361</v>
      </c>
      <c r="N3683" s="3" t="str">
        <f>HYPERLINK("http://ictvonline.org/taxonomyHistory.asp?taxnode_id=20163819","ICTVonline=20163819")</f>
        <v>ICTVonline=20163819</v>
      </c>
    </row>
    <row r="3684" spans="1:14" x14ac:dyDescent="0.15">
      <c r="A3684" s="3">
        <v>3683</v>
      </c>
      <c r="B3684" s="1" t="s">
        <v>926</v>
      </c>
      <c r="C3684" s="1" t="s">
        <v>492</v>
      </c>
      <c r="E3684" s="1" t="s">
        <v>601</v>
      </c>
      <c r="F3684" s="1" t="s">
        <v>5907</v>
      </c>
      <c r="G3684" s="3">
        <v>0</v>
      </c>
      <c r="H3684" s="20" t="s">
        <v>7055</v>
      </c>
      <c r="I3684" s="20" t="s">
        <v>5908</v>
      </c>
      <c r="J3684" s="20" t="s">
        <v>3160</v>
      </c>
      <c r="K3684" s="20" t="s">
        <v>10013</v>
      </c>
      <c r="L3684" s="3">
        <v>30</v>
      </c>
      <c r="M3684" s="3" t="s">
        <v>10366</v>
      </c>
      <c r="N3684" s="3" t="str">
        <f>HYPERLINK("http://ictvonline.org/taxonomyHistory.asp?taxnode_id=20163820","ICTVonline=20163820")</f>
        <v>ICTVonline=20163820</v>
      </c>
    </row>
    <row r="3685" spans="1:14" x14ac:dyDescent="0.15">
      <c r="A3685" s="3">
        <v>3684</v>
      </c>
      <c r="B3685" s="1" t="s">
        <v>926</v>
      </c>
      <c r="C3685" s="1" t="s">
        <v>492</v>
      </c>
      <c r="E3685" s="1" t="s">
        <v>601</v>
      </c>
      <c r="F3685" s="1" t="s">
        <v>1630</v>
      </c>
      <c r="G3685" s="3">
        <v>0</v>
      </c>
      <c r="H3685" s="20" t="s">
        <v>5909</v>
      </c>
      <c r="I3685" s="20" t="s">
        <v>5274</v>
      </c>
      <c r="J3685" s="20" t="s">
        <v>3160</v>
      </c>
      <c r="K3685" s="20" t="s">
        <v>10016</v>
      </c>
      <c r="L3685" s="3">
        <v>13</v>
      </c>
      <c r="M3685" s="3" t="s">
        <v>10225</v>
      </c>
      <c r="N3685" s="3" t="str">
        <f>HYPERLINK("http://ictvonline.org/taxonomyHistory.asp?taxnode_id=20163821","ICTVonline=20163821")</f>
        <v>ICTVonline=20163821</v>
      </c>
    </row>
    <row r="3686" spans="1:14" x14ac:dyDescent="0.15">
      <c r="A3686" s="3">
        <v>3685</v>
      </c>
      <c r="B3686" s="1" t="s">
        <v>926</v>
      </c>
      <c r="C3686" s="1" t="s">
        <v>492</v>
      </c>
      <c r="E3686" s="1" t="s">
        <v>601</v>
      </c>
      <c r="F3686" s="1" t="s">
        <v>1631</v>
      </c>
      <c r="G3686" s="3">
        <v>0</v>
      </c>
      <c r="J3686" s="20" t="s">
        <v>3160</v>
      </c>
      <c r="K3686" s="20" t="s">
        <v>10013</v>
      </c>
      <c r="L3686" s="3">
        <v>18</v>
      </c>
      <c r="M3686" s="3" t="s">
        <v>10101</v>
      </c>
      <c r="N3686" s="3" t="str">
        <f>HYPERLINK("http://ictvonline.org/taxonomyHistory.asp?taxnode_id=20163822","ICTVonline=20163822")</f>
        <v>ICTVonline=20163822</v>
      </c>
    </row>
    <row r="3687" spans="1:14" x14ac:dyDescent="0.15">
      <c r="A3687" s="3">
        <v>3686</v>
      </c>
      <c r="B3687" s="1" t="s">
        <v>926</v>
      </c>
      <c r="C3687" s="1" t="s">
        <v>492</v>
      </c>
      <c r="E3687" s="1" t="s">
        <v>601</v>
      </c>
      <c r="F3687" s="1" t="s">
        <v>2218</v>
      </c>
      <c r="G3687" s="3">
        <v>0</v>
      </c>
      <c r="H3687" s="20" t="s">
        <v>5910</v>
      </c>
      <c r="I3687" s="20" t="s">
        <v>5911</v>
      </c>
      <c r="J3687" s="20" t="s">
        <v>3160</v>
      </c>
      <c r="K3687" s="20" t="s">
        <v>10013</v>
      </c>
      <c r="L3687" s="3">
        <v>25</v>
      </c>
      <c r="M3687" s="3" t="s">
        <v>10371</v>
      </c>
      <c r="N3687" s="3" t="str">
        <f>HYPERLINK("http://ictvonline.org/taxonomyHistory.asp?taxnode_id=20163823","ICTVonline=20163823")</f>
        <v>ICTVonline=20163823</v>
      </c>
    </row>
    <row r="3688" spans="1:14" x14ac:dyDescent="0.15">
      <c r="A3688" s="3">
        <v>3687</v>
      </c>
      <c r="B3688" s="1" t="s">
        <v>926</v>
      </c>
      <c r="C3688" s="1" t="s">
        <v>492</v>
      </c>
      <c r="E3688" s="1" t="s">
        <v>601</v>
      </c>
      <c r="F3688" s="1" t="s">
        <v>1632</v>
      </c>
      <c r="G3688" s="3">
        <v>0</v>
      </c>
      <c r="H3688" s="20" t="s">
        <v>5912</v>
      </c>
      <c r="I3688" s="20" t="s">
        <v>5913</v>
      </c>
      <c r="J3688" s="20" t="s">
        <v>3160</v>
      </c>
      <c r="K3688" s="20" t="s">
        <v>10013</v>
      </c>
      <c r="L3688" s="3">
        <v>14</v>
      </c>
      <c r="M3688" s="3" t="s">
        <v>10234</v>
      </c>
      <c r="N3688" s="3" t="str">
        <f>HYPERLINK("http://ictvonline.org/taxonomyHistory.asp?taxnode_id=20163824","ICTVonline=20163824")</f>
        <v>ICTVonline=20163824</v>
      </c>
    </row>
    <row r="3689" spans="1:14" x14ac:dyDescent="0.15">
      <c r="A3689" s="3">
        <v>3688</v>
      </c>
      <c r="B3689" s="1" t="s">
        <v>926</v>
      </c>
      <c r="C3689" s="1" t="s">
        <v>492</v>
      </c>
      <c r="E3689" s="1" t="s">
        <v>601</v>
      </c>
      <c r="F3689" s="1" t="s">
        <v>1633</v>
      </c>
      <c r="G3689" s="3">
        <v>0</v>
      </c>
      <c r="J3689" s="20" t="s">
        <v>3160</v>
      </c>
      <c r="K3689" s="20" t="s">
        <v>10013</v>
      </c>
      <c r="L3689" s="3">
        <v>24</v>
      </c>
      <c r="M3689" s="3" t="s">
        <v>10370</v>
      </c>
      <c r="N3689" s="3" t="str">
        <f>HYPERLINK("http://ictvonline.org/taxonomyHistory.asp?taxnode_id=20163825","ICTVonline=20163825")</f>
        <v>ICTVonline=20163825</v>
      </c>
    </row>
    <row r="3690" spans="1:14" x14ac:dyDescent="0.15">
      <c r="A3690" s="3">
        <v>3689</v>
      </c>
      <c r="B3690" s="1" t="s">
        <v>926</v>
      </c>
      <c r="C3690" s="1" t="s">
        <v>492</v>
      </c>
      <c r="E3690" s="1" t="s">
        <v>601</v>
      </c>
      <c r="F3690" s="1" t="s">
        <v>1634</v>
      </c>
      <c r="G3690" s="3">
        <v>0</v>
      </c>
      <c r="J3690" s="20" t="s">
        <v>3160</v>
      </c>
      <c r="K3690" s="20" t="s">
        <v>10013</v>
      </c>
      <c r="L3690" s="3">
        <v>22</v>
      </c>
      <c r="M3690" s="3" t="s">
        <v>10361</v>
      </c>
      <c r="N3690" s="3" t="str">
        <f>HYPERLINK("http://ictvonline.org/taxonomyHistory.asp?taxnode_id=20163826","ICTVonline=20163826")</f>
        <v>ICTVonline=20163826</v>
      </c>
    </row>
    <row r="3691" spans="1:14" x14ac:dyDescent="0.15">
      <c r="A3691" s="3">
        <v>3690</v>
      </c>
      <c r="B3691" s="1" t="s">
        <v>926</v>
      </c>
      <c r="C3691" s="1" t="s">
        <v>492</v>
      </c>
      <c r="E3691" s="1" t="s">
        <v>601</v>
      </c>
      <c r="F3691" s="1" t="s">
        <v>1635</v>
      </c>
      <c r="G3691" s="3">
        <v>0</v>
      </c>
      <c r="H3691" s="20" t="s">
        <v>5914</v>
      </c>
      <c r="I3691" s="20" t="s">
        <v>6469</v>
      </c>
      <c r="J3691" s="20" t="s">
        <v>3160</v>
      </c>
      <c r="K3691" s="20" t="s">
        <v>10216</v>
      </c>
      <c r="L3691" s="3">
        <v>14</v>
      </c>
      <c r="M3691" s="3" t="s">
        <v>10234</v>
      </c>
      <c r="N3691" s="3" t="str">
        <f>HYPERLINK("http://ictvonline.org/taxonomyHistory.asp?taxnode_id=20163827","ICTVonline=20163827")</f>
        <v>ICTVonline=20163827</v>
      </c>
    </row>
    <row r="3692" spans="1:14" x14ac:dyDescent="0.15">
      <c r="A3692" s="3">
        <v>3691</v>
      </c>
      <c r="B3692" s="1" t="s">
        <v>926</v>
      </c>
      <c r="C3692" s="1" t="s">
        <v>492</v>
      </c>
      <c r="E3692" s="1" t="s">
        <v>601</v>
      </c>
      <c r="F3692" s="1" t="s">
        <v>2174</v>
      </c>
      <c r="G3692" s="3">
        <v>0</v>
      </c>
      <c r="H3692" s="20" t="s">
        <v>5915</v>
      </c>
      <c r="I3692" s="20" t="s">
        <v>5916</v>
      </c>
      <c r="J3692" s="20" t="s">
        <v>3160</v>
      </c>
      <c r="K3692" s="20" t="s">
        <v>10016</v>
      </c>
      <c r="L3692" s="3">
        <v>13</v>
      </c>
      <c r="M3692" s="3" t="s">
        <v>10225</v>
      </c>
      <c r="N3692" s="3" t="str">
        <f>HYPERLINK("http://ictvonline.org/taxonomyHistory.asp?taxnode_id=20163828","ICTVonline=20163828")</f>
        <v>ICTVonline=20163828</v>
      </c>
    </row>
    <row r="3693" spans="1:14" x14ac:dyDescent="0.15">
      <c r="A3693" s="3">
        <v>3692</v>
      </c>
      <c r="B3693" s="1" t="s">
        <v>926</v>
      </c>
      <c r="C3693" s="1" t="s">
        <v>492</v>
      </c>
      <c r="E3693" s="1" t="s">
        <v>601</v>
      </c>
      <c r="F3693" s="1" t="s">
        <v>2175</v>
      </c>
      <c r="G3693" s="3">
        <v>0</v>
      </c>
      <c r="H3693" s="20" t="s">
        <v>5917</v>
      </c>
      <c r="I3693" s="20" t="s">
        <v>4972</v>
      </c>
      <c r="J3693" s="20" t="s">
        <v>3160</v>
      </c>
      <c r="K3693" s="20" t="s">
        <v>10016</v>
      </c>
      <c r="L3693" s="3">
        <v>13</v>
      </c>
      <c r="M3693" s="3" t="s">
        <v>10225</v>
      </c>
      <c r="N3693" s="3" t="str">
        <f>HYPERLINK("http://ictvonline.org/taxonomyHistory.asp?taxnode_id=20163829","ICTVonline=20163829")</f>
        <v>ICTVonline=20163829</v>
      </c>
    </row>
    <row r="3694" spans="1:14" x14ac:dyDescent="0.15">
      <c r="A3694" s="3">
        <v>3693</v>
      </c>
      <c r="B3694" s="1" t="s">
        <v>926</v>
      </c>
      <c r="C3694" s="1" t="s">
        <v>492</v>
      </c>
      <c r="E3694" s="1" t="s">
        <v>601</v>
      </c>
      <c r="F3694" s="1" t="s">
        <v>2176</v>
      </c>
      <c r="G3694" s="3">
        <v>0</v>
      </c>
      <c r="J3694" s="20" t="s">
        <v>3160</v>
      </c>
      <c r="K3694" s="20" t="s">
        <v>10016</v>
      </c>
      <c r="L3694" s="3">
        <v>13</v>
      </c>
      <c r="M3694" s="3" t="s">
        <v>10225</v>
      </c>
      <c r="N3694" s="3" t="str">
        <f>HYPERLINK("http://ictvonline.org/taxonomyHistory.asp?taxnode_id=20163830","ICTVonline=20163830")</f>
        <v>ICTVonline=20163830</v>
      </c>
    </row>
    <row r="3695" spans="1:14" x14ac:dyDescent="0.15">
      <c r="A3695" s="3">
        <v>3694</v>
      </c>
      <c r="B3695" s="1" t="s">
        <v>926</v>
      </c>
      <c r="C3695" s="1" t="s">
        <v>492</v>
      </c>
      <c r="E3695" s="1" t="s">
        <v>601</v>
      </c>
      <c r="F3695" s="1" t="s">
        <v>2177</v>
      </c>
      <c r="G3695" s="3">
        <v>0</v>
      </c>
      <c r="H3695" s="20" t="s">
        <v>5918</v>
      </c>
      <c r="I3695" s="20" t="s">
        <v>5919</v>
      </c>
      <c r="J3695" s="20" t="s">
        <v>3160</v>
      </c>
      <c r="K3695" s="20" t="s">
        <v>10016</v>
      </c>
      <c r="L3695" s="3">
        <v>13</v>
      </c>
      <c r="M3695" s="3" t="s">
        <v>10225</v>
      </c>
      <c r="N3695" s="3" t="str">
        <f>HYPERLINK("http://ictvonline.org/taxonomyHistory.asp?taxnode_id=20163831","ICTVonline=20163831")</f>
        <v>ICTVonline=20163831</v>
      </c>
    </row>
    <row r="3696" spans="1:14" x14ac:dyDescent="0.15">
      <c r="A3696" s="3">
        <v>3695</v>
      </c>
      <c r="B3696" s="1" t="s">
        <v>926</v>
      </c>
      <c r="C3696" s="1" t="s">
        <v>492</v>
      </c>
      <c r="E3696" s="1" t="s">
        <v>601</v>
      </c>
      <c r="F3696" s="1" t="s">
        <v>2178</v>
      </c>
      <c r="G3696" s="3">
        <v>0</v>
      </c>
      <c r="J3696" s="20" t="s">
        <v>3160</v>
      </c>
      <c r="K3696" s="20" t="s">
        <v>10013</v>
      </c>
      <c r="L3696" s="3">
        <v>22</v>
      </c>
      <c r="M3696" s="3" t="s">
        <v>10361</v>
      </c>
      <c r="N3696" s="3" t="str">
        <f>HYPERLINK("http://ictvonline.org/taxonomyHistory.asp?taxnode_id=20163833","ICTVonline=20163833")</f>
        <v>ICTVonline=20163833</v>
      </c>
    </row>
    <row r="3697" spans="1:14" x14ac:dyDescent="0.15">
      <c r="A3697" s="3">
        <v>3696</v>
      </c>
      <c r="B3697" s="1" t="s">
        <v>926</v>
      </c>
      <c r="C3697" s="1" t="s">
        <v>492</v>
      </c>
      <c r="E3697" s="1" t="s">
        <v>601</v>
      </c>
      <c r="F3697" s="1" t="s">
        <v>2805</v>
      </c>
      <c r="G3697" s="3">
        <v>0</v>
      </c>
      <c r="H3697" s="20" t="s">
        <v>3196</v>
      </c>
      <c r="I3697" s="20" t="s">
        <v>5920</v>
      </c>
      <c r="J3697" s="20" t="s">
        <v>3160</v>
      </c>
      <c r="K3697" s="20" t="s">
        <v>10013</v>
      </c>
      <c r="L3697" s="3">
        <v>29</v>
      </c>
      <c r="M3697" s="3" t="s">
        <v>10372</v>
      </c>
      <c r="N3697" s="3" t="str">
        <f>HYPERLINK("http://ictvonline.org/taxonomyHistory.asp?taxnode_id=20163834","ICTVonline=20163834")</f>
        <v>ICTVonline=20163834</v>
      </c>
    </row>
    <row r="3698" spans="1:14" x14ac:dyDescent="0.15">
      <c r="A3698" s="3">
        <v>3697</v>
      </c>
      <c r="B3698" s="1" t="s">
        <v>926</v>
      </c>
      <c r="C3698" s="1" t="s">
        <v>492</v>
      </c>
      <c r="E3698" s="1" t="s">
        <v>601</v>
      </c>
      <c r="F3698" s="1" t="s">
        <v>2179</v>
      </c>
      <c r="G3698" s="3">
        <v>0</v>
      </c>
      <c r="H3698" s="20" t="s">
        <v>5921</v>
      </c>
      <c r="I3698" s="20" t="s">
        <v>5922</v>
      </c>
      <c r="J3698" s="20" t="s">
        <v>3160</v>
      </c>
      <c r="K3698" s="20" t="s">
        <v>10013</v>
      </c>
      <c r="L3698" s="3">
        <v>24</v>
      </c>
      <c r="M3698" s="3" t="s">
        <v>10370</v>
      </c>
      <c r="N3698" s="3" t="str">
        <f>HYPERLINK("http://ictvonline.org/taxonomyHistory.asp?taxnode_id=20163835","ICTVonline=20163835")</f>
        <v>ICTVonline=20163835</v>
      </c>
    </row>
    <row r="3699" spans="1:14" x14ac:dyDescent="0.15">
      <c r="A3699" s="3">
        <v>3698</v>
      </c>
      <c r="B3699" s="1" t="s">
        <v>926</v>
      </c>
      <c r="C3699" s="1" t="s">
        <v>492</v>
      </c>
      <c r="E3699" s="1" t="s">
        <v>601</v>
      </c>
      <c r="F3699" s="1" t="s">
        <v>2180</v>
      </c>
      <c r="G3699" s="3">
        <v>0</v>
      </c>
      <c r="H3699" s="20" t="s">
        <v>5923</v>
      </c>
      <c r="I3699" s="20" t="s">
        <v>5924</v>
      </c>
      <c r="J3699" s="20" t="s">
        <v>3160</v>
      </c>
      <c r="K3699" s="20" t="s">
        <v>10016</v>
      </c>
      <c r="L3699" s="3">
        <v>13</v>
      </c>
      <c r="M3699" s="3" t="s">
        <v>10225</v>
      </c>
      <c r="N3699" s="3" t="str">
        <f>HYPERLINK("http://ictvonline.org/taxonomyHistory.asp?taxnode_id=20163836","ICTVonline=20163836")</f>
        <v>ICTVonline=20163836</v>
      </c>
    </row>
    <row r="3700" spans="1:14" x14ac:dyDescent="0.15">
      <c r="A3700" s="3">
        <v>3699</v>
      </c>
      <c r="B3700" s="1" t="s">
        <v>926</v>
      </c>
      <c r="C3700" s="1" t="s">
        <v>492</v>
      </c>
      <c r="E3700" s="1" t="s">
        <v>601</v>
      </c>
      <c r="F3700" s="1" t="s">
        <v>2181</v>
      </c>
      <c r="G3700" s="3">
        <v>0</v>
      </c>
      <c r="J3700" s="20" t="s">
        <v>3160</v>
      </c>
      <c r="K3700" s="20" t="s">
        <v>10016</v>
      </c>
      <c r="L3700" s="3">
        <v>13</v>
      </c>
      <c r="M3700" s="3" t="s">
        <v>10225</v>
      </c>
      <c r="N3700" s="3" t="str">
        <f>HYPERLINK("http://ictvonline.org/taxonomyHistory.asp?taxnode_id=20163837","ICTVonline=20163837")</f>
        <v>ICTVonline=20163837</v>
      </c>
    </row>
    <row r="3701" spans="1:14" x14ac:dyDescent="0.15">
      <c r="A3701" s="3">
        <v>3700</v>
      </c>
      <c r="B3701" s="1" t="s">
        <v>926</v>
      </c>
      <c r="C3701" s="1" t="s">
        <v>492</v>
      </c>
      <c r="E3701" s="1" t="s">
        <v>601</v>
      </c>
      <c r="F3701" s="1" t="s">
        <v>2182</v>
      </c>
      <c r="G3701" s="3">
        <v>0</v>
      </c>
      <c r="J3701" s="20" t="s">
        <v>3160</v>
      </c>
      <c r="K3701" s="20" t="s">
        <v>10013</v>
      </c>
      <c r="L3701" s="3">
        <v>22</v>
      </c>
      <c r="M3701" s="3" t="s">
        <v>10361</v>
      </c>
      <c r="N3701" s="3" t="str">
        <f>HYPERLINK("http://ictvonline.org/taxonomyHistory.asp?taxnode_id=20163838","ICTVonline=20163838")</f>
        <v>ICTVonline=20163838</v>
      </c>
    </row>
    <row r="3702" spans="1:14" x14ac:dyDescent="0.15">
      <c r="A3702" s="3">
        <v>3701</v>
      </c>
      <c r="B3702" s="1" t="s">
        <v>926</v>
      </c>
      <c r="C3702" s="1" t="s">
        <v>492</v>
      </c>
      <c r="E3702" s="1" t="s">
        <v>601</v>
      </c>
      <c r="F3702" s="1" t="s">
        <v>5925</v>
      </c>
      <c r="G3702" s="3">
        <v>0</v>
      </c>
      <c r="H3702" s="20" t="s">
        <v>7056</v>
      </c>
      <c r="I3702" s="20" t="s">
        <v>7057</v>
      </c>
      <c r="J3702" s="20" t="s">
        <v>3160</v>
      </c>
      <c r="K3702" s="20" t="s">
        <v>10013</v>
      </c>
      <c r="L3702" s="3">
        <v>30</v>
      </c>
      <c r="M3702" s="3" t="s">
        <v>10366</v>
      </c>
      <c r="N3702" s="3" t="str">
        <f>HYPERLINK("http://ictvonline.org/taxonomyHistory.asp?taxnode_id=20163839","ICTVonline=20163839")</f>
        <v>ICTVonline=20163839</v>
      </c>
    </row>
    <row r="3703" spans="1:14" x14ac:dyDescent="0.15">
      <c r="A3703" s="3">
        <v>3702</v>
      </c>
      <c r="B3703" s="1" t="s">
        <v>926</v>
      </c>
      <c r="C3703" s="1" t="s">
        <v>492</v>
      </c>
      <c r="E3703" s="1" t="s">
        <v>601</v>
      </c>
      <c r="F3703" s="1" t="s">
        <v>2183</v>
      </c>
      <c r="G3703" s="3">
        <v>0</v>
      </c>
      <c r="H3703" s="20" t="s">
        <v>5926</v>
      </c>
      <c r="I3703" s="20" t="s">
        <v>5927</v>
      </c>
      <c r="J3703" s="20" t="s">
        <v>3160</v>
      </c>
      <c r="K3703" s="20" t="s">
        <v>10013</v>
      </c>
      <c r="L3703" s="3">
        <v>24</v>
      </c>
      <c r="M3703" s="3" t="s">
        <v>10370</v>
      </c>
      <c r="N3703" s="3" t="str">
        <f>HYPERLINK("http://ictvonline.org/taxonomyHistory.asp?taxnode_id=20163840","ICTVonline=20163840")</f>
        <v>ICTVonline=20163840</v>
      </c>
    </row>
    <row r="3704" spans="1:14" x14ac:dyDescent="0.15">
      <c r="A3704" s="3">
        <v>3703</v>
      </c>
      <c r="B3704" s="1" t="s">
        <v>926</v>
      </c>
      <c r="C3704" s="1" t="s">
        <v>492</v>
      </c>
      <c r="E3704" s="1" t="s">
        <v>601</v>
      </c>
      <c r="F3704" s="1" t="s">
        <v>2184</v>
      </c>
      <c r="G3704" s="3">
        <v>0</v>
      </c>
      <c r="J3704" s="20" t="s">
        <v>3160</v>
      </c>
      <c r="K3704" s="20" t="s">
        <v>10013</v>
      </c>
      <c r="L3704" s="3">
        <v>18</v>
      </c>
      <c r="M3704" s="3" t="s">
        <v>10101</v>
      </c>
      <c r="N3704" s="3" t="str">
        <f>HYPERLINK("http://ictvonline.org/taxonomyHistory.asp?taxnode_id=20163841","ICTVonline=20163841")</f>
        <v>ICTVonline=20163841</v>
      </c>
    </row>
    <row r="3705" spans="1:14" x14ac:dyDescent="0.15">
      <c r="A3705" s="3">
        <v>3704</v>
      </c>
      <c r="B3705" s="1" t="s">
        <v>926</v>
      </c>
      <c r="C3705" s="1" t="s">
        <v>492</v>
      </c>
      <c r="E3705" s="1" t="s">
        <v>601</v>
      </c>
      <c r="F3705" s="1" t="s">
        <v>2185</v>
      </c>
      <c r="G3705" s="3">
        <v>0</v>
      </c>
      <c r="J3705" s="20" t="s">
        <v>3160</v>
      </c>
      <c r="K3705" s="20" t="s">
        <v>10013</v>
      </c>
      <c r="L3705" s="3">
        <v>24</v>
      </c>
      <c r="M3705" s="3" t="s">
        <v>10370</v>
      </c>
      <c r="N3705" s="3" t="str">
        <f>HYPERLINK("http://ictvonline.org/taxonomyHistory.asp?taxnode_id=20163842","ICTVonline=20163842")</f>
        <v>ICTVonline=20163842</v>
      </c>
    </row>
    <row r="3706" spans="1:14" x14ac:dyDescent="0.15">
      <c r="A3706" s="3">
        <v>3705</v>
      </c>
      <c r="B3706" s="1" t="s">
        <v>926</v>
      </c>
      <c r="C3706" s="1" t="s">
        <v>492</v>
      </c>
      <c r="E3706" s="1" t="s">
        <v>601</v>
      </c>
      <c r="F3706" s="1" t="s">
        <v>2186</v>
      </c>
      <c r="G3706" s="3">
        <v>0</v>
      </c>
      <c r="H3706" s="20" t="s">
        <v>5928</v>
      </c>
      <c r="I3706" s="20" t="s">
        <v>4752</v>
      </c>
      <c r="J3706" s="20" t="s">
        <v>3160</v>
      </c>
      <c r="K3706" s="20" t="s">
        <v>10216</v>
      </c>
      <c r="L3706" s="3">
        <v>25</v>
      </c>
      <c r="M3706" s="3" t="s">
        <v>10373</v>
      </c>
      <c r="N3706" s="3" t="str">
        <f>HYPERLINK("http://ictvonline.org/taxonomyHistory.asp?taxnode_id=20163843","ICTVonline=20163843")</f>
        <v>ICTVonline=20163843</v>
      </c>
    </row>
    <row r="3707" spans="1:14" x14ac:dyDescent="0.15">
      <c r="A3707" s="3">
        <v>3706</v>
      </c>
      <c r="B3707" s="1" t="s">
        <v>926</v>
      </c>
      <c r="C3707" s="1" t="s">
        <v>492</v>
      </c>
      <c r="E3707" s="1" t="s">
        <v>601</v>
      </c>
      <c r="F3707" s="1" t="s">
        <v>2187</v>
      </c>
      <c r="G3707" s="3">
        <v>0</v>
      </c>
      <c r="H3707" s="20" t="s">
        <v>5929</v>
      </c>
      <c r="I3707" s="20" t="s">
        <v>5930</v>
      </c>
      <c r="J3707" s="20" t="s">
        <v>3160</v>
      </c>
      <c r="K3707" s="20" t="s">
        <v>10013</v>
      </c>
      <c r="L3707" s="3">
        <v>24</v>
      </c>
      <c r="M3707" s="3" t="s">
        <v>10370</v>
      </c>
      <c r="N3707" s="3" t="str">
        <f>HYPERLINK("http://ictvonline.org/taxonomyHistory.asp?taxnode_id=20163844","ICTVonline=20163844")</f>
        <v>ICTVonline=20163844</v>
      </c>
    </row>
    <row r="3708" spans="1:14" x14ac:dyDescent="0.15">
      <c r="A3708" s="3">
        <v>3707</v>
      </c>
      <c r="B3708" s="1" t="s">
        <v>926</v>
      </c>
      <c r="C3708" s="1" t="s">
        <v>492</v>
      </c>
      <c r="E3708" s="1" t="s">
        <v>601</v>
      </c>
      <c r="F3708" s="1" t="s">
        <v>2188</v>
      </c>
      <c r="G3708" s="3">
        <v>0</v>
      </c>
      <c r="H3708" s="20" t="s">
        <v>5931</v>
      </c>
      <c r="I3708" s="20" t="s">
        <v>5932</v>
      </c>
      <c r="J3708" s="20" t="s">
        <v>3160</v>
      </c>
      <c r="K3708" s="20" t="s">
        <v>10016</v>
      </c>
      <c r="L3708" s="3">
        <v>13</v>
      </c>
      <c r="M3708" s="3" t="s">
        <v>10225</v>
      </c>
      <c r="N3708" s="3" t="str">
        <f>HYPERLINK("http://ictvonline.org/taxonomyHistory.asp?taxnode_id=20163845","ICTVonline=20163845")</f>
        <v>ICTVonline=20163845</v>
      </c>
    </row>
    <row r="3709" spans="1:14" x14ac:dyDescent="0.15">
      <c r="A3709" s="3">
        <v>3708</v>
      </c>
      <c r="B3709" s="1" t="s">
        <v>926</v>
      </c>
      <c r="C3709" s="1" t="s">
        <v>492</v>
      </c>
      <c r="E3709" s="1" t="s">
        <v>601</v>
      </c>
      <c r="F3709" s="1" t="s">
        <v>2806</v>
      </c>
      <c r="G3709" s="3">
        <v>0</v>
      </c>
      <c r="H3709" s="20" t="s">
        <v>3197</v>
      </c>
      <c r="I3709" s="20" t="s">
        <v>5933</v>
      </c>
      <c r="J3709" s="20" t="s">
        <v>3160</v>
      </c>
      <c r="K3709" s="20" t="s">
        <v>10013</v>
      </c>
      <c r="L3709" s="3">
        <v>29</v>
      </c>
      <c r="M3709" s="3" t="s">
        <v>10372</v>
      </c>
      <c r="N3709" s="3" t="str">
        <f>HYPERLINK("http://ictvonline.org/taxonomyHistory.asp?taxnode_id=20163848","ICTVonline=20163848")</f>
        <v>ICTVonline=20163848</v>
      </c>
    </row>
    <row r="3710" spans="1:14" x14ac:dyDescent="0.15">
      <c r="A3710" s="3">
        <v>3709</v>
      </c>
      <c r="B3710" s="1" t="s">
        <v>926</v>
      </c>
      <c r="C3710" s="1" t="s">
        <v>492</v>
      </c>
      <c r="E3710" s="1" t="s">
        <v>601</v>
      </c>
      <c r="F3710" s="1" t="s">
        <v>2194</v>
      </c>
      <c r="G3710" s="3">
        <v>0</v>
      </c>
      <c r="H3710" s="20" t="s">
        <v>5934</v>
      </c>
      <c r="I3710" s="20" t="s">
        <v>7058</v>
      </c>
      <c r="J3710" s="20" t="s">
        <v>3160</v>
      </c>
      <c r="K3710" s="20" t="s">
        <v>10013</v>
      </c>
      <c r="L3710" s="3">
        <v>25</v>
      </c>
      <c r="M3710" s="3" t="s">
        <v>10369</v>
      </c>
      <c r="N3710" s="3" t="str">
        <f>HYPERLINK("http://ictvonline.org/taxonomyHistory.asp?taxnode_id=20163849","ICTVonline=20163849")</f>
        <v>ICTVonline=20163849</v>
      </c>
    </row>
    <row r="3711" spans="1:14" x14ac:dyDescent="0.15">
      <c r="A3711" s="3">
        <v>3710</v>
      </c>
      <c r="B3711" s="1" t="s">
        <v>926</v>
      </c>
      <c r="C3711" s="1" t="s">
        <v>492</v>
      </c>
      <c r="E3711" s="1" t="s">
        <v>601</v>
      </c>
      <c r="F3711" s="1" t="s">
        <v>541</v>
      </c>
      <c r="G3711" s="3">
        <v>0</v>
      </c>
      <c r="J3711" s="20" t="s">
        <v>3160</v>
      </c>
      <c r="K3711" s="20" t="s">
        <v>10016</v>
      </c>
      <c r="L3711" s="3">
        <v>13</v>
      </c>
      <c r="M3711" s="3" t="s">
        <v>10225</v>
      </c>
      <c r="N3711" s="3" t="str">
        <f>HYPERLINK("http://ictvonline.org/taxonomyHistory.asp?taxnode_id=20163851","ICTVonline=20163851")</f>
        <v>ICTVonline=20163851</v>
      </c>
    </row>
    <row r="3712" spans="1:14" x14ac:dyDescent="0.15">
      <c r="A3712" s="3">
        <v>3711</v>
      </c>
      <c r="B3712" s="1" t="s">
        <v>926</v>
      </c>
      <c r="C3712" s="1" t="s">
        <v>492</v>
      </c>
      <c r="E3712" s="1" t="s">
        <v>601</v>
      </c>
      <c r="F3712" s="1" t="s">
        <v>542</v>
      </c>
      <c r="G3712" s="3">
        <v>0</v>
      </c>
      <c r="J3712" s="20" t="s">
        <v>3160</v>
      </c>
      <c r="K3712" s="20" t="s">
        <v>10013</v>
      </c>
      <c r="L3712" s="3">
        <v>23</v>
      </c>
      <c r="M3712" s="3" t="s">
        <v>10229</v>
      </c>
      <c r="N3712" s="3" t="str">
        <f>HYPERLINK("http://ictvonline.org/taxonomyHistory.asp?taxnode_id=20163852","ICTVonline=20163852")</f>
        <v>ICTVonline=20163852</v>
      </c>
    </row>
    <row r="3713" spans="1:14" x14ac:dyDescent="0.15">
      <c r="A3713" s="3">
        <v>3712</v>
      </c>
      <c r="B3713" s="1" t="s">
        <v>926</v>
      </c>
      <c r="C3713" s="1" t="s">
        <v>492</v>
      </c>
      <c r="E3713" s="1" t="s">
        <v>601</v>
      </c>
      <c r="F3713" s="1" t="s">
        <v>543</v>
      </c>
      <c r="G3713" s="3">
        <v>0</v>
      </c>
      <c r="H3713" s="20" t="s">
        <v>5935</v>
      </c>
      <c r="I3713" s="20" t="s">
        <v>5936</v>
      </c>
      <c r="J3713" s="20" t="s">
        <v>3160</v>
      </c>
      <c r="K3713" s="20" t="s">
        <v>10016</v>
      </c>
      <c r="L3713" s="3">
        <v>13</v>
      </c>
      <c r="M3713" s="3" t="s">
        <v>10225</v>
      </c>
      <c r="N3713" s="3" t="str">
        <f>HYPERLINK("http://ictvonline.org/taxonomyHistory.asp?taxnode_id=20163853","ICTVonline=20163853")</f>
        <v>ICTVonline=20163853</v>
      </c>
    </row>
    <row r="3714" spans="1:14" x14ac:dyDescent="0.15">
      <c r="A3714" s="3">
        <v>3713</v>
      </c>
      <c r="B3714" s="1" t="s">
        <v>926</v>
      </c>
      <c r="C3714" s="1" t="s">
        <v>492</v>
      </c>
      <c r="E3714" s="1" t="s">
        <v>601</v>
      </c>
      <c r="F3714" s="1" t="s">
        <v>544</v>
      </c>
      <c r="G3714" s="3">
        <v>0</v>
      </c>
      <c r="J3714" s="20" t="s">
        <v>3160</v>
      </c>
      <c r="K3714" s="20" t="s">
        <v>10013</v>
      </c>
      <c r="L3714" s="3">
        <v>17</v>
      </c>
      <c r="M3714" s="3" t="s">
        <v>10208</v>
      </c>
      <c r="N3714" s="3" t="str">
        <f>HYPERLINK("http://ictvonline.org/taxonomyHistory.asp?taxnode_id=20163854","ICTVonline=20163854")</f>
        <v>ICTVonline=20163854</v>
      </c>
    </row>
    <row r="3715" spans="1:14" x14ac:dyDescent="0.15">
      <c r="A3715" s="3">
        <v>3714</v>
      </c>
      <c r="B3715" s="1" t="s">
        <v>926</v>
      </c>
      <c r="C3715" s="1" t="s">
        <v>492</v>
      </c>
      <c r="E3715" s="1" t="s">
        <v>601</v>
      </c>
      <c r="F3715" s="1" t="s">
        <v>545</v>
      </c>
      <c r="G3715" s="3">
        <v>0</v>
      </c>
      <c r="J3715" s="20" t="s">
        <v>3160</v>
      </c>
      <c r="K3715" s="20" t="s">
        <v>10016</v>
      </c>
      <c r="L3715" s="3">
        <v>13</v>
      </c>
      <c r="M3715" s="3" t="s">
        <v>10225</v>
      </c>
      <c r="N3715" s="3" t="str">
        <f>HYPERLINK("http://ictvonline.org/taxonomyHistory.asp?taxnode_id=20163855","ICTVonline=20163855")</f>
        <v>ICTVonline=20163855</v>
      </c>
    </row>
    <row r="3716" spans="1:14" x14ac:dyDescent="0.15">
      <c r="A3716" s="3">
        <v>3715</v>
      </c>
      <c r="B3716" s="1" t="s">
        <v>926</v>
      </c>
      <c r="C3716" s="1" t="s">
        <v>492</v>
      </c>
      <c r="E3716" s="1" t="s">
        <v>601</v>
      </c>
      <c r="F3716" s="1" t="s">
        <v>546</v>
      </c>
      <c r="G3716" s="3">
        <v>0</v>
      </c>
      <c r="J3716" s="20" t="s">
        <v>3160</v>
      </c>
      <c r="K3716" s="20" t="s">
        <v>10016</v>
      </c>
      <c r="L3716" s="3">
        <v>13</v>
      </c>
      <c r="M3716" s="3" t="s">
        <v>10225</v>
      </c>
      <c r="N3716" s="3" t="str">
        <f>HYPERLINK("http://ictvonline.org/taxonomyHistory.asp?taxnode_id=20163856","ICTVonline=20163856")</f>
        <v>ICTVonline=20163856</v>
      </c>
    </row>
    <row r="3717" spans="1:14" x14ac:dyDescent="0.15">
      <c r="A3717" s="3">
        <v>3716</v>
      </c>
      <c r="B3717" s="1" t="s">
        <v>926</v>
      </c>
      <c r="C3717" s="1" t="s">
        <v>492</v>
      </c>
      <c r="E3717" s="1" t="s">
        <v>601</v>
      </c>
      <c r="F3717" s="1" t="s">
        <v>547</v>
      </c>
      <c r="G3717" s="3">
        <v>0</v>
      </c>
      <c r="J3717" s="20" t="s">
        <v>3160</v>
      </c>
      <c r="K3717" s="20" t="s">
        <v>10016</v>
      </c>
      <c r="L3717" s="3">
        <v>13</v>
      </c>
      <c r="M3717" s="3" t="s">
        <v>10225</v>
      </c>
      <c r="N3717" s="3" t="str">
        <f>HYPERLINK("http://ictvonline.org/taxonomyHistory.asp?taxnode_id=20163857","ICTVonline=20163857")</f>
        <v>ICTVonline=20163857</v>
      </c>
    </row>
    <row r="3718" spans="1:14" x14ac:dyDescent="0.15">
      <c r="A3718" s="3">
        <v>3717</v>
      </c>
      <c r="B3718" s="1" t="s">
        <v>926</v>
      </c>
      <c r="C3718" s="1" t="s">
        <v>492</v>
      </c>
      <c r="E3718" s="1" t="s">
        <v>601</v>
      </c>
      <c r="F3718" s="1" t="s">
        <v>548</v>
      </c>
      <c r="G3718" s="3">
        <v>0</v>
      </c>
      <c r="H3718" s="20" t="s">
        <v>5937</v>
      </c>
      <c r="I3718" s="20" t="s">
        <v>6445</v>
      </c>
      <c r="J3718" s="20" t="s">
        <v>3160</v>
      </c>
      <c r="K3718" s="20" t="s">
        <v>10013</v>
      </c>
      <c r="L3718" s="3">
        <v>22</v>
      </c>
      <c r="M3718" s="3" t="s">
        <v>10361</v>
      </c>
      <c r="N3718" s="3" t="str">
        <f>HYPERLINK("http://ictvonline.org/taxonomyHistory.asp?taxnode_id=20163858","ICTVonline=20163858")</f>
        <v>ICTVonline=20163858</v>
      </c>
    </row>
    <row r="3719" spans="1:14" x14ac:dyDescent="0.15">
      <c r="A3719" s="3">
        <v>3718</v>
      </c>
      <c r="B3719" s="1" t="s">
        <v>926</v>
      </c>
      <c r="C3719" s="1" t="s">
        <v>492</v>
      </c>
      <c r="E3719" s="1" t="s">
        <v>601</v>
      </c>
      <c r="F3719" s="1" t="s">
        <v>9712</v>
      </c>
      <c r="G3719" s="3">
        <v>0</v>
      </c>
      <c r="H3719" s="20" t="s">
        <v>9713</v>
      </c>
      <c r="I3719" s="20" t="s">
        <v>9714</v>
      </c>
      <c r="J3719" s="20" t="s">
        <v>3160</v>
      </c>
      <c r="K3719" s="20" t="s">
        <v>10013</v>
      </c>
      <c r="L3719" s="3">
        <v>31</v>
      </c>
      <c r="M3719" s="3" t="s">
        <v>9715</v>
      </c>
      <c r="N3719" s="3" t="str">
        <f>HYPERLINK("http://ictvonline.org/taxonomyHistory.asp?taxnode_id=20165419","ICTVonline=20165419")</f>
        <v>ICTVonline=20165419</v>
      </c>
    </row>
    <row r="3720" spans="1:14" x14ac:dyDescent="0.15">
      <c r="A3720" s="3">
        <v>3719</v>
      </c>
      <c r="B3720" s="1" t="s">
        <v>926</v>
      </c>
      <c r="C3720" s="1" t="s">
        <v>492</v>
      </c>
      <c r="E3720" s="1" t="s">
        <v>601</v>
      </c>
      <c r="F3720" s="1" t="s">
        <v>549</v>
      </c>
      <c r="G3720" s="3">
        <v>0</v>
      </c>
      <c r="H3720" s="20" t="s">
        <v>5938</v>
      </c>
      <c r="I3720" s="20" t="s">
        <v>5939</v>
      </c>
      <c r="J3720" s="20" t="s">
        <v>3160</v>
      </c>
      <c r="K3720" s="20" t="s">
        <v>10016</v>
      </c>
      <c r="L3720" s="3">
        <v>13</v>
      </c>
      <c r="M3720" s="3" t="s">
        <v>10225</v>
      </c>
      <c r="N3720" s="3" t="str">
        <f>HYPERLINK("http://ictvonline.org/taxonomyHistory.asp?taxnode_id=20163859","ICTVonline=20163859")</f>
        <v>ICTVonline=20163859</v>
      </c>
    </row>
    <row r="3721" spans="1:14" x14ac:dyDescent="0.15">
      <c r="A3721" s="3">
        <v>3720</v>
      </c>
      <c r="B3721" s="1" t="s">
        <v>926</v>
      </c>
      <c r="C3721" s="1" t="s">
        <v>492</v>
      </c>
      <c r="E3721" s="1" t="s">
        <v>601</v>
      </c>
      <c r="F3721" s="1" t="s">
        <v>6470</v>
      </c>
      <c r="G3721" s="3">
        <v>0</v>
      </c>
      <c r="J3721" s="20" t="s">
        <v>3160</v>
      </c>
      <c r="K3721" s="20" t="s">
        <v>10013</v>
      </c>
      <c r="L3721" s="3">
        <v>18</v>
      </c>
      <c r="M3721" s="3" t="s">
        <v>10101</v>
      </c>
      <c r="N3721" s="3" t="str">
        <f>HYPERLINK("http://ictvonline.org/taxonomyHistory.asp?taxnode_id=20163860","ICTVonline=20163860")</f>
        <v>ICTVonline=20163860</v>
      </c>
    </row>
    <row r="3722" spans="1:14" x14ac:dyDescent="0.15">
      <c r="A3722" s="3">
        <v>3721</v>
      </c>
      <c r="B3722" s="1" t="s">
        <v>926</v>
      </c>
      <c r="C3722" s="1" t="s">
        <v>492</v>
      </c>
      <c r="E3722" s="1" t="s">
        <v>601</v>
      </c>
      <c r="F3722" s="1" t="s">
        <v>2807</v>
      </c>
      <c r="G3722" s="3">
        <v>0</v>
      </c>
      <c r="H3722" s="20" t="s">
        <v>3198</v>
      </c>
      <c r="I3722" s="20" t="s">
        <v>5940</v>
      </c>
      <c r="J3722" s="20" t="s">
        <v>3160</v>
      </c>
      <c r="K3722" s="20" t="s">
        <v>10013</v>
      </c>
      <c r="L3722" s="3">
        <v>29</v>
      </c>
      <c r="M3722" s="3" t="s">
        <v>10372</v>
      </c>
      <c r="N3722" s="3" t="str">
        <f>HYPERLINK("http://ictvonline.org/taxonomyHistory.asp?taxnode_id=20163861","ICTVonline=20163861")</f>
        <v>ICTVonline=20163861</v>
      </c>
    </row>
    <row r="3723" spans="1:14" x14ac:dyDescent="0.15">
      <c r="A3723" s="3">
        <v>3722</v>
      </c>
      <c r="B3723" s="1" t="s">
        <v>926</v>
      </c>
      <c r="C3723" s="1" t="s">
        <v>492</v>
      </c>
      <c r="E3723" s="1" t="s">
        <v>601</v>
      </c>
      <c r="F3723" s="1" t="s">
        <v>550</v>
      </c>
      <c r="G3723" s="3">
        <v>0</v>
      </c>
      <c r="H3723" s="20" t="s">
        <v>5941</v>
      </c>
      <c r="I3723" s="20" t="s">
        <v>5942</v>
      </c>
      <c r="J3723" s="20" t="s">
        <v>3160</v>
      </c>
      <c r="K3723" s="20" t="s">
        <v>10216</v>
      </c>
      <c r="L3723" s="3">
        <v>24</v>
      </c>
      <c r="M3723" s="3" t="s">
        <v>10374</v>
      </c>
      <c r="N3723" s="3" t="str">
        <f>HYPERLINK("http://ictvonline.org/taxonomyHistory.asp?taxnode_id=20163862","ICTVonline=20163862")</f>
        <v>ICTVonline=20163862</v>
      </c>
    </row>
    <row r="3724" spans="1:14" x14ac:dyDescent="0.15">
      <c r="A3724" s="3">
        <v>3723</v>
      </c>
      <c r="B3724" s="1" t="s">
        <v>926</v>
      </c>
      <c r="C3724" s="1" t="s">
        <v>492</v>
      </c>
      <c r="E3724" s="1" t="s">
        <v>601</v>
      </c>
      <c r="F3724" s="1" t="s">
        <v>551</v>
      </c>
      <c r="G3724" s="3">
        <v>0</v>
      </c>
      <c r="H3724" s="20" t="s">
        <v>5943</v>
      </c>
      <c r="I3724" s="20" t="s">
        <v>5944</v>
      </c>
      <c r="J3724" s="20" t="s">
        <v>3160</v>
      </c>
      <c r="K3724" s="20" t="s">
        <v>10016</v>
      </c>
      <c r="L3724" s="3">
        <v>13</v>
      </c>
      <c r="M3724" s="3" t="s">
        <v>10225</v>
      </c>
      <c r="N3724" s="3" t="str">
        <f>HYPERLINK("http://ictvonline.org/taxonomyHistory.asp?taxnode_id=20163863","ICTVonline=20163863")</f>
        <v>ICTVonline=20163863</v>
      </c>
    </row>
    <row r="3725" spans="1:14" x14ac:dyDescent="0.15">
      <c r="A3725" s="3">
        <v>3724</v>
      </c>
      <c r="B3725" s="1" t="s">
        <v>926</v>
      </c>
      <c r="C3725" s="1" t="s">
        <v>492</v>
      </c>
      <c r="E3725" s="1" t="s">
        <v>601</v>
      </c>
      <c r="F3725" s="1" t="s">
        <v>9716</v>
      </c>
      <c r="G3725" s="3">
        <v>0</v>
      </c>
      <c r="H3725" s="20" t="s">
        <v>9717</v>
      </c>
      <c r="I3725" s="20" t="s">
        <v>9718</v>
      </c>
      <c r="J3725" s="20" t="s">
        <v>3160</v>
      </c>
      <c r="K3725" s="20" t="s">
        <v>10013</v>
      </c>
      <c r="L3725" s="3">
        <v>31</v>
      </c>
      <c r="M3725" s="3" t="s">
        <v>9715</v>
      </c>
      <c r="N3725" s="3" t="str">
        <f>HYPERLINK("http://ictvonline.org/taxonomyHistory.asp?taxnode_id=20165420","ICTVonline=20165420")</f>
        <v>ICTVonline=20165420</v>
      </c>
    </row>
    <row r="3726" spans="1:14" x14ac:dyDescent="0.15">
      <c r="A3726" s="3">
        <v>3725</v>
      </c>
      <c r="B3726" s="1" t="s">
        <v>926</v>
      </c>
      <c r="C3726" s="1" t="s">
        <v>492</v>
      </c>
      <c r="E3726" s="1" t="s">
        <v>601</v>
      </c>
      <c r="F3726" s="1" t="s">
        <v>552</v>
      </c>
      <c r="G3726" s="3">
        <v>0</v>
      </c>
      <c r="H3726" s="20" t="s">
        <v>5945</v>
      </c>
      <c r="I3726" s="20" t="s">
        <v>4669</v>
      </c>
      <c r="J3726" s="20" t="s">
        <v>3160</v>
      </c>
      <c r="K3726" s="20" t="s">
        <v>10016</v>
      </c>
      <c r="L3726" s="3">
        <v>13</v>
      </c>
      <c r="M3726" s="3" t="s">
        <v>10225</v>
      </c>
      <c r="N3726" s="3" t="str">
        <f>HYPERLINK("http://ictvonline.org/taxonomyHistory.asp?taxnode_id=20163864","ICTVonline=20163864")</f>
        <v>ICTVonline=20163864</v>
      </c>
    </row>
    <row r="3727" spans="1:14" x14ac:dyDescent="0.15">
      <c r="A3727" s="3">
        <v>3726</v>
      </c>
      <c r="B3727" s="1" t="s">
        <v>926</v>
      </c>
      <c r="C3727" s="1" t="s">
        <v>492</v>
      </c>
      <c r="E3727" s="1" t="s">
        <v>601</v>
      </c>
      <c r="F3727" s="1" t="s">
        <v>553</v>
      </c>
      <c r="G3727" s="3">
        <v>0</v>
      </c>
      <c r="H3727" s="20" t="s">
        <v>5946</v>
      </c>
      <c r="I3727" s="20" t="s">
        <v>5947</v>
      </c>
      <c r="J3727" s="20" t="s">
        <v>3160</v>
      </c>
      <c r="K3727" s="20" t="s">
        <v>10013</v>
      </c>
      <c r="L3727" s="3">
        <v>18</v>
      </c>
      <c r="M3727" s="3" t="s">
        <v>10101</v>
      </c>
      <c r="N3727" s="3" t="str">
        <f>HYPERLINK("http://ictvonline.org/taxonomyHistory.asp?taxnode_id=20163865","ICTVonline=20163865")</f>
        <v>ICTVonline=20163865</v>
      </c>
    </row>
    <row r="3728" spans="1:14" x14ac:dyDescent="0.15">
      <c r="A3728" s="3">
        <v>3727</v>
      </c>
      <c r="B3728" s="1" t="s">
        <v>926</v>
      </c>
      <c r="C3728" s="1" t="s">
        <v>492</v>
      </c>
      <c r="E3728" s="1" t="s">
        <v>601</v>
      </c>
      <c r="F3728" s="1" t="s">
        <v>2808</v>
      </c>
      <c r="G3728" s="3">
        <v>0</v>
      </c>
      <c r="H3728" s="20" t="s">
        <v>3199</v>
      </c>
      <c r="I3728" s="20" t="s">
        <v>5948</v>
      </c>
      <c r="J3728" s="20" t="s">
        <v>3160</v>
      </c>
      <c r="K3728" s="20" t="s">
        <v>10013</v>
      </c>
      <c r="L3728" s="3">
        <v>29</v>
      </c>
      <c r="M3728" s="3" t="s">
        <v>10372</v>
      </c>
      <c r="N3728" s="3" t="str">
        <f>HYPERLINK("http://ictvonline.org/taxonomyHistory.asp?taxnode_id=20163866","ICTVonline=20163866")</f>
        <v>ICTVonline=20163866</v>
      </c>
    </row>
    <row r="3729" spans="1:14" x14ac:dyDescent="0.15">
      <c r="A3729" s="3">
        <v>3728</v>
      </c>
      <c r="B3729" s="1" t="s">
        <v>926</v>
      </c>
      <c r="C3729" s="1" t="s">
        <v>492</v>
      </c>
      <c r="E3729" s="1" t="s">
        <v>601</v>
      </c>
      <c r="F3729" s="1" t="s">
        <v>554</v>
      </c>
      <c r="G3729" s="3">
        <v>0</v>
      </c>
      <c r="J3729" s="20" t="s">
        <v>3160</v>
      </c>
      <c r="K3729" s="20" t="s">
        <v>10013</v>
      </c>
      <c r="L3729" s="3">
        <v>22</v>
      </c>
      <c r="M3729" s="3" t="s">
        <v>10361</v>
      </c>
      <c r="N3729" s="3" t="str">
        <f>HYPERLINK("http://ictvonline.org/taxonomyHistory.asp?taxnode_id=20163867","ICTVonline=20163867")</f>
        <v>ICTVonline=20163867</v>
      </c>
    </row>
    <row r="3730" spans="1:14" x14ac:dyDescent="0.15">
      <c r="A3730" s="3">
        <v>3729</v>
      </c>
      <c r="B3730" s="1" t="s">
        <v>926</v>
      </c>
      <c r="C3730" s="1" t="s">
        <v>492</v>
      </c>
      <c r="E3730" s="1" t="s">
        <v>601</v>
      </c>
      <c r="F3730" s="1" t="s">
        <v>906</v>
      </c>
      <c r="G3730" s="3">
        <v>0</v>
      </c>
      <c r="H3730" s="20" t="s">
        <v>5949</v>
      </c>
      <c r="I3730" s="20" t="s">
        <v>5950</v>
      </c>
      <c r="J3730" s="20" t="s">
        <v>3160</v>
      </c>
      <c r="K3730" s="20" t="s">
        <v>10016</v>
      </c>
      <c r="L3730" s="3">
        <v>13</v>
      </c>
      <c r="M3730" s="3" t="s">
        <v>10225</v>
      </c>
      <c r="N3730" s="3" t="str">
        <f>HYPERLINK("http://ictvonline.org/taxonomyHistory.asp?taxnode_id=20163868","ICTVonline=20163868")</f>
        <v>ICTVonline=20163868</v>
      </c>
    </row>
    <row r="3731" spans="1:14" x14ac:dyDescent="0.15">
      <c r="A3731" s="3">
        <v>3730</v>
      </c>
      <c r="B3731" s="1" t="s">
        <v>926</v>
      </c>
      <c r="C3731" s="1" t="s">
        <v>492</v>
      </c>
      <c r="E3731" s="1" t="s">
        <v>601</v>
      </c>
      <c r="F3731" s="1" t="s">
        <v>2219</v>
      </c>
      <c r="G3731" s="3">
        <v>0</v>
      </c>
      <c r="J3731" s="20" t="s">
        <v>3160</v>
      </c>
      <c r="K3731" s="20" t="s">
        <v>10013</v>
      </c>
      <c r="L3731" s="3">
        <v>25</v>
      </c>
      <c r="M3731" s="3" t="s">
        <v>10371</v>
      </c>
      <c r="N3731" s="3" t="str">
        <f>HYPERLINK("http://ictvonline.org/taxonomyHistory.asp?taxnode_id=20163869","ICTVonline=20163869")</f>
        <v>ICTVonline=20163869</v>
      </c>
    </row>
    <row r="3732" spans="1:14" x14ac:dyDescent="0.15">
      <c r="A3732" s="3">
        <v>3731</v>
      </c>
      <c r="B3732" s="1" t="s">
        <v>926</v>
      </c>
      <c r="C3732" s="1" t="s">
        <v>492</v>
      </c>
      <c r="E3732" s="1" t="s">
        <v>601</v>
      </c>
      <c r="F3732" s="1" t="s">
        <v>907</v>
      </c>
      <c r="G3732" s="3">
        <v>0</v>
      </c>
      <c r="J3732" s="20" t="s">
        <v>3160</v>
      </c>
      <c r="K3732" s="20" t="s">
        <v>10013</v>
      </c>
      <c r="L3732" s="3">
        <v>24</v>
      </c>
      <c r="M3732" s="3" t="s">
        <v>10370</v>
      </c>
      <c r="N3732" s="3" t="str">
        <f>HYPERLINK("http://ictvonline.org/taxonomyHistory.asp?taxnode_id=20163870","ICTVonline=20163870")</f>
        <v>ICTVonline=20163870</v>
      </c>
    </row>
    <row r="3733" spans="1:14" x14ac:dyDescent="0.15">
      <c r="A3733" s="3">
        <v>3732</v>
      </c>
      <c r="B3733" s="1" t="s">
        <v>926</v>
      </c>
      <c r="C3733" s="1" t="s">
        <v>492</v>
      </c>
      <c r="E3733" s="1" t="s">
        <v>601</v>
      </c>
      <c r="F3733" s="1" t="s">
        <v>908</v>
      </c>
      <c r="G3733" s="3">
        <v>0</v>
      </c>
      <c r="H3733" s="20" t="s">
        <v>5951</v>
      </c>
      <c r="I3733" s="20" t="s">
        <v>5952</v>
      </c>
      <c r="J3733" s="20" t="s">
        <v>3160</v>
      </c>
      <c r="K3733" s="20" t="s">
        <v>10013</v>
      </c>
      <c r="L3733" s="3">
        <v>18</v>
      </c>
      <c r="M3733" s="3" t="s">
        <v>10101</v>
      </c>
      <c r="N3733" s="3" t="str">
        <f>HYPERLINK("http://ictvonline.org/taxonomyHistory.asp?taxnode_id=20163871","ICTVonline=20163871")</f>
        <v>ICTVonline=20163871</v>
      </c>
    </row>
    <row r="3734" spans="1:14" x14ac:dyDescent="0.15">
      <c r="A3734" s="3">
        <v>3733</v>
      </c>
      <c r="B3734" s="1" t="s">
        <v>926</v>
      </c>
      <c r="C3734" s="1" t="s">
        <v>492</v>
      </c>
      <c r="E3734" s="1" t="s">
        <v>601</v>
      </c>
      <c r="F3734" s="1" t="s">
        <v>987</v>
      </c>
      <c r="G3734" s="3">
        <v>0</v>
      </c>
      <c r="H3734" s="20" t="s">
        <v>5953</v>
      </c>
      <c r="I3734" s="20" t="s">
        <v>5954</v>
      </c>
      <c r="J3734" s="20" t="s">
        <v>3160</v>
      </c>
      <c r="K3734" s="20" t="s">
        <v>10016</v>
      </c>
      <c r="L3734" s="3">
        <v>13</v>
      </c>
      <c r="M3734" s="3" t="s">
        <v>10225</v>
      </c>
      <c r="N3734" s="3" t="str">
        <f>HYPERLINK("http://ictvonline.org/taxonomyHistory.asp?taxnode_id=20163872","ICTVonline=20163872")</f>
        <v>ICTVonline=20163872</v>
      </c>
    </row>
    <row r="3735" spans="1:14" x14ac:dyDescent="0.15">
      <c r="A3735" s="3">
        <v>3734</v>
      </c>
      <c r="B3735" s="1" t="s">
        <v>926</v>
      </c>
      <c r="C3735" s="1" t="s">
        <v>492</v>
      </c>
      <c r="E3735" s="1" t="s">
        <v>601</v>
      </c>
      <c r="F3735" s="1" t="s">
        <v>988</v>
      </c>
      <c r="G3735" s="3">
        <v>0</v>
      </c>
      <c r="H3735" s="20" t="s">
        <v>5955</v>
      </c>
      <c r="I3735" s="20" t="s">
        <v>5956</v>
      </c>
      <c r="J3735" s="20" t="s">
        <v>3160</v>
      </c>
      <c r="K3735" s="20" t="s">
        <v>10013</v>
      </c>
      <c r="L3735" s="3">
        <v>17</v>
      </c>
      <c r="M3735" s="3" t="s">
        <v>10208</v>
      </c>
      <c r="N3735" s="3" t="str">
        <f>HYPERLINK("http://ictvonline.org/taxonomyHistory.asp?taxnode_id=20163873","ICTVonline=20163873")</f>
        <v>ICTVonline=20163873</v>
      </c>
    </row>
    <row r="3736" spans="1:14" x14ac:dyDescent="0.15">
      <c r="A3736" s="3">
        <v>3735</v>
      </c>
      <c r="B3736" s="1" t="s">
        <v>926</v>
      </c>
      <c r="C3736" s="1" t="s">
        <v>492</v>
      </c>
      <c r="E3736" s="1" t="s">
        <v>601</v>
      </c>
      <c r="F3736" s="1" t="s">
        <v>989</v>
      </c>
      <c r="G3736" s="3">
        <v>0</v>
      </c>
      <c r="H3736" s="20" t="s">
        <v>5957</v>
      </c>
      <c r="I3736" s="20" t="s">
        <v>5954</v>
      </c>
      <c r="J3736" s="20" t="s">
        <v>3160</v>
      </c>
      <c r="K3736" s="20" t="s">
        <v>10016</v>
      </c>
      <c r="L3736" s="3">
        <v>13</v>
      </c>
      <c r="M3736" s="3" t="s">
        <v>10225</v>
      </c>
      <c r="N3736" s="3" t="str">
        <f>HYPERLINK("http://ictvonline.org/taxonomyHistory.asp?taxnode_id=20163874","ICTVonline=20163874")</f>
        <v>ICTVonline=20163874</v>
      </c>
    </row>
    <row r="3737" spans="1:14" x14ac:dyDescent="0.15">
      <c r="A3737" s="3">
        <v>3736</v>
      </c>
      <c r="B3737" s="1" t="s">
        <v>926</v>
      </c>
      <c r="C3737" s="1" t="s">
        <v>492</v>
      </c>
      <c r="E3737" s="1" t="s">
        <v>601</v>
      </c>
      <c r="F3737" s="1" t="s">
        <v>990</v>
      </c>
      <c r="G3737" s="3">
        <v>0</v>
      </c>
      <c r="J3737" s="20" t="s">
        <v>3160</v>
      </c>
      <c r="K3737" s="20" t="s">
        <v>10013</v>
      </c>
      <c r="L3737" s="3">
        <v>17</v>
      </c>
      <c r="M3737" s="3" t="s">
        <v>10208</v>
      </c>
      <c r="N3737" s="3" t="str">
        <f>HYPERLINK("http://ictvonline.org/taxonomyHistory.asp?taxnode_id=20163875","ICTVonline=20163875")</f>
        <v>ICTVonline=20163875</v>
      </c>
    </row>
    <row r="3738" spans="1:14" x14ac:dyDescent="0.15">
      <c r="A3738" s="3">
        <v>3737</v>
      </c>
      <c r="B3738" s="1" t="s">
        <v>926</v>
      </c>
      <c r="C3738" s="1" t="s">
        <v>492</v>
      </c>
      <c r="E3738" s="1" t="s">
        <v>601</v>
      </c>
      <c r="F3738" s="1" t="s">
        <v>912</v>
      </c>
      <c r="G3738" s="3">
        <v>0</v>
      </c>
      <c r="J3738" s="20" t="s">
        <v>3160</v>
      </c>
      <c r="K3738" s="20" t="s">
        <v>10016</v>
      </c>
      <c r="L3738" s="3">
        <v>13</v>
      </c>
      <c r="M3738" s="3" t="s">
        <v>10225</v>
      </c>
      <c r="N3738" s="3" t="str">
        <f>HYPERLINK("http://ictvonline.org/taxonomyHistory.asp?taxnode_id=20163876","ICTVonline=20163876")</f>
        <v>ICTVonline=20163876</v>
      </c>
    </row>
    <row r="3739" spans="1:14" x14ac:dyDescent="0.15">
      <c r="A3739" s="3">
        <v>3738</v>
      </c>
      <c r="B3739" s="1" t="s">
        <v>926</v>
      </c>
      <c r="C3739" s="1" t="s">
        <v>492</v>
      </c>
      <c r="E3739" s="1" t="s">
        <v>601</v>
      </c>
      <c r="F3739" s="1" t="s">
        <v>913</v>
      </c>
      <c r="G3739" s="3">
        <v>0</v>
      </c>
      <c r="H3739" s="20" t="s">
        <v>5958</v>
      </c>
      <c r="I3739" s="20" t="s">
        <v>5944</v>
      </c>
      <c r="J3739" s="20" t="s">
        <v>3160</v>
      </c>
      <c r="K3739" s="20" t="s">
        <v>10016</v>
      </c>
      <c r="L3739" s="3">
        <v>13</v>
      </c>
      <c r="M3739" s="3" t="s">
        <v>10225</v>
      </c>
      <c r="N3739" s="3" t="str">
        <f>HYPERLINK("http://ictvonline.org/taxonomyHistory.asp?taxnode_id=20163877","ICTVonline=20163877")</f>
        <v>ICTVonline=20163877</v>
      </c>
    </row>
    <row r="3740" spans="1:14" x14ac:dyDescent="0.15">
      <c r="A3740" s="3">
        <v>3739</v>
      </c>
      <c r="B3740" s="1" t="s">
        <v>926</v>
      </c>
      <c r="C3740" s="1" t="s">
        <v>492</v>
      </c>
      <c r="E3740" s="1" t="s">
        <v>601</v>
      </c>
      <c r="F3740" s="1" t="s">
        <v>914</v>
      </c>
      <c r="G3740" s="3">
        <v>0</v>
      </c>
      <c r="H3740" s="20" t="s">
        <v>5959</v>
      </c>
      <c r="I3740" s="20" t="s">
        <v>7059</v>
      </c>
      <c r="J3740" s="20" t="s">
        <v>3160</v>
      </c>
      <c r="K3740" s="20" t="s">
        <v>10016</v>
      </c>
      <c r="L3740" s="3">
        <v>13</v>
      </c>
      <c r="M3740" s="3" t="s">
        <v>10225</v>
      </c>
      <c r="N3740" s="3" t="str">
        <f>HYPERLINK("http://ictvonline.org/taxonomyHistory.asp?taxnode_id=20163878","ICTVonline=20163878")</f>
        <v>ICTVonline=20163878</v>
      </c>
    </row>
    <row r="3741" spans="1:14" x14ac:dyDescent="0.15">
      <c r="A3741" s="3">
        <v>3740</v>
      </c>
      <c r="B3741" s="1" t="s">
        <v>926</v>
      </c>
      <c r="C3741" s="1" t="s">
        <v>492</v>
      </c>
      <c r="E3741" s="1" t="s">
        <v>601</v>
      </c>
      <c r="F3741" s="1" t="s">
        <v>993</v>
      </c>
      <c r="G3741" s="3">
        <v>0</v>
      </c>
      <c r="J3741" s="20" t="s">
        <v>3160</v>
      </c>
      <c r="K3741" s="20" t="s">
        <v>10013</v>
      </c>
      <c r="L3741" s="3">
        <v>22</v>
      </c>
      <c r="M3741" s="3" t="s">
        <v>10361</v>
      </c>
      <c r="N3741" s="3" t="str">
        <f>HYPERLINK("http://ictvonline.org/taxonomyHistory.asp?taxnode_id=20163879","ICTVonline=20163879")</f>
        <v>ICTVonline=20163879</v>
      </c>
    </row>
    <row r="3742" spans="1:14" x14ac:dyDescent="0.15">
      <c r="A3742" s="3">
        <v>3741</v>
      </c>
      <c r="B3742" s="1" t="s">
        <v>926</v>
      </c>
      <c r="C3742" s="1" t="s">
        <v>492</v>
      </c>
      <c r="E3742" s="1" t="s">
        <v>601</v>
      </c>
      <c r="F3742" s="1" t="s">
        <v>994</v>
      </c>
      <c r="G3742" s="3">
        <v>0</v>
      </c>
      <c r="J3742" s="20" t="s">
        <v>3160</v>
      </c>
      <c r="K3742" s="20" t="s">
        <v>10013</v>
      </c>
      <c r="L3742" s="3">
        <v>22</v>
      </c>
      <c r="M3742" s="3" t="s">
        <v>10361</v>
      </c>
      <c r="N3742" s="3" t="str">
        <f>HYPERLINK("http://ictvonline.org/taxonomyHistory.asp?taxnode_id=20163880","ICTVonline=20163880")</f>
        <v>ICTVonline=20163880</v>
      </c>
    </row>
    <row r="3743" spans="1:14" x14ac:dyDescent="0.15">
      <c r="A3743" s="3">
        <v>3742</v>
      </c>
      <c r="B3743" s="1" t="s">
        <v>926</v>
      </c>
      <c r="C3743" s="1" t="s">
        <v>492</v>
      </c>
      <c r="E3743" s="1" t="s">
        <v>601</v>
      </c>
      <c r="F3743" s="1" t="s">
        <v>2809</v>
      </c>
      <c r="G3743" s="3">
        <v>0</v>
      </c>
      <c r="H3743" s="20" t="s">
        <v>3200</v>
      </c>
      <c r="I3743" s="20" t="s">
        <v>5960</v>
      </c>
      <c r="J3743" s="20" t="s">
        <v>3160</v>
      </c>
      <c r="K3743" s="20" t="s">
        <v>10013</v>
      </c>
      <c r="L3743" s="3">
        <v>29</v>
      </c>
      <c r="M3743" s="3" t="s">
        <v>10372</v>
      </c>
      <c r="N3743" s="3" t="str">
        <f>HYPERLINK("http://ictvonline.org/taxonomyHistory.asp?taxnode_id=20163881","ICTVonline=20163881")</f>
        <v>ICTVonline=20163881</v>
      </c>
    </row>
    <row r="3744" spans="1:14" x14ac:dyDescent="0.15">
      <c r="A3744" s="3">
        <v>3743</v>
      </c>
      <c r="B3744" s="1" t="s">
        <v>926</v>
      </c>
      <c r="C3744" s="1" t="s">
        <v>492</v>
      </c>
      <c r="E3744" s="1" t="s">
        <v>601</v>
      </c>
      <c r="F3744" s="1" t="s">
        <v>995</v>
      </c>
      <c r="G3744" s="3">
        <v>0</v>
      </c>
      <c r="H3744" s="20" t="s">
        <v>5961</v>
      </c>
      <c r="I3744" s="20" t="s">
        <v>5962</v>
      </c>
      <c r="J3744" s="20" t="s">
        <v>3160</v>
      </c>
      <c r="K3744" s="20" t="s">
        <v>10013</v>
      </c>
      <c r="L3744" s="3">
        <v>22</v>
      </c>
      <c r="M3744" s="3" t="s">
        <v>10361</v>
      </c>
      <c r="N3744" s="3" t="str">
        <f>HYPERLINK("http://ictvonline.org/taxonomyHistory.asp?taxnode_id=20163882","ICTVonline=20163882")</f>
        <v>ICTVonline=20163882</v>
      </c>
    </row>
    <row r="3745" spans="1:14" x14ac:dyDescent="0.15">
      <c r="A3745" s="3">
        <v>3744</v>
      </c>
      <c r="B3745" s="1" t="s">
        <v>926</v>
      </c>
      <c r="C3745" s="1" t="s">
        <v>492</v>
      </c>
      <c r="E3745" s="1" t="s">
        <v>601</v>
      </c>
      <c r="F3745" s="1" t="s">
        <v>996</v>
      </c>
      <c r="G3745" s="3">
        <v>0</v>
      </c>
      <c r="H3745" s="20" t="s">
        <v>5963</v>
      </c>
      <c r="I3745" s="20" t="s">
        <v>5964</v>
      </c>
      <c r="J3745" s="20" t="s">
        <v>3160</v>
      </c>
      <c r="K3745" s="20" t="s">
        <v>10016</v>
      </c>
      <c r="L3745" s="3">
        <v>13</v>
      </c>
      <c r="M3745" s="3" t="s">
        <v>10225</v>
      </c>
      <c r="N3745" s="3" t="str">
        <f>HYPERLINK("http://ictvonline.org/taxonomyHistory.asp?taxnode_id=20163883","ICTVonline=20163883")</f>
        <v>ICTVonline=20163883</v>
      </c>
    </row>
    <row r="3746" spans="1:14" x14ac:dyDescent="0.15">
      <c r="A3746" s="3">
        <v>3745</v>
      </c>
      <c r="B3746" s="1" t="s">
        <v>926</v>
      </c>
      <c r="C3746" s="1" t="s">
        <v>492</v>
      </c>
      <c r="E3746" s="1" t="s">
        <v>601</v>
      </c>
      <c r="F3746" s="1" t="s">
        <v>997</v>
      </c>
      <c r="G3746" s="3">
        <v>0</v>
      </c>
      <c r="J3746" s="20" t="s">
        <v>3160</v>
      </c>
      <c r="K3746" s="20" t="s">
        <v>10016</v>
      </c>
      <c r="L3746" s="3">
        <v>13</v>
      </c>
      <c r="M3746" s="3" t="s">
        <v>10225</v>
      </c>
      <c r="N3746" s="3" t="str">
        <f>HYPERLINK("http://ictvonline.org/taxonomyHistory.asp?taxnode_id=20163884","ICTVonline=20163884")</f>
        <v>ICTVonline=20163884</v>
      </c>
    </row>
    <row r="3747" spans="1:14" x14ac:dyDescent="0.15">
      <c r="A3747" s="3">
        <v>3746</v>
      </c>
      <c r="B3747" s="1" t="s">
        <v>926</v>
      </c>
      <c r="C3747" s="1" t="s">
        <v>492</v>
      </c>
      <c r="E3747" s="1" t="s">
        <v>601</v>
      </c>
      <c r="F3747" s="1" t="s">
        <v>998</v>
      </c>
      <c r="G3747" s="3">
        <v>0</v>
      </c>
      <c r="J3747" s="20" t="s">
        <v>3160</v>
      </c>
      <c r="K3747" s="20" t="s">
        <v>10013</v>
      </c>
      <c r="L3747" s="3">
        <v>24</v>
      </c>
      <c r="M3747" s="3" t="s">
        <v>10370</v>
      </c>
      <c r="N3747" s="3" t="str">
        <f>HYPERLINK("http://ictvonline.org/taxonomyHistory.asp?taxnode_id=20163885","ICTVonline=20163885")</f>
        <v>ICTVonline=20163885</v>
      </c>
    </row>
    <row r="3748" spans="1:14" x14ac:dyDescent="0.15">
      <c r="A3748" s="3">
        <v>3747</v>
      </c>
      <c r="B3748" s="1" t="s">
        <v>926</v>
      </c>
      <c r="C3748" s="1" t="s">
        <v>492</v>
      </c>
      <c r="E3748" s="1" t="s">
        <v>601</v>
      </c>
      <c r="F3748" s="1" t="s">
        <v>999</v>
      </c>
      <c r="G3748" s="3">
        <v>0</v>
      </c>
      <c r="H3748" s="20" t="s">
        <v>5965</v>
      </c>
      <c r="I3748" s="20" t="s">
        <v>5966</v>
      </c>
      <c r="J3748" s="20" t="s">
        <v>3160</v>
      </c>
      <c r="K3748" s="20" t="s">
        <v>10021</v>
      </c>
      <c r="L3748" s="3">
        <v>18</v>
      </c>
      <c r="M3748" s="3" t="s">
        <v>10101</v>
      </c>
      <c r="N3748" s="3" t="str">
        <f>HYPERLINK("http://ictvonline.org/taxonomyHistory.asp?taxnode_id=20163886","ICTVonline=20163886")</f>
        <v>ICTVonline=20163886</v>
      </c>
    </row>
    <row r="3749" spans="1:14" x14ac:dyDescent="0.15">
      <c r="A3749" s="3">
        <v>3748</v>
      </c>
      <c r="B3749" s="1" t="s">
        <v>926</v>
      </c>
      <c r="C3749" s="1" t="s">
        <v>492</v>
      </c>
      <c r="E3749" s="1" t="s">
        <v>601</v>
      </c>
      <c r="F3749" s="1" t="s">
        <v>1000</v>
      </c>
      <c r="G3749" s="3">
        <v>0</v>
      </c>
      <c r="H3749" s="20" t="s">
        <v>5967</v>
      </c>
      <c r="I3749" s="20" t="s">
        <v>5968</v>
      </c>
      <c r="J3749" s="20" t="s">
        <v>3160</v>
      </c>
      <c r="K3749" s="20" t="s">
        <v>10016</v>
      </c>
      <c r="L3749" s="3">
        <v>13</v>
      </c>
      <c r="M3749" s="3" t="s">
        <v>10225</v>
      </c>
      <c r="N3749" s="3" t="str">
        <f>HYPERLINK("http://ictvonline.org/taxonomyHistory.asp?taxnode_id=20163887","ICTVonline=20163887")</f>
        <v>ICTVonline=20163887</v>
      </c>
    </row>
    <row r="3750" spans="1:14" x14ac:dyDescent="0.15">
      <c r="A3750" s="3">
        <v>3749</v>
      </c>
      <c r="B3750" s="1" t="s">
        <v>926</v>
      </c>
      <c r="C3750" s="1" t="s">
        <v>492</v>
      </c>
      <c r="E3750" s="1" t="s">
        <v>601</v>
      </c>
      <c r="F3750" s="1" t="s">
        <v>1001</v>
      </c>
      <c r="G3750" s="3">
        <v>0</v>
      </c>
      <c r="H3750" s="20" t="s">
        <v>5969</v>
      </c>
      <c r="I3750" s="20" t="s">
        <v>5970</v>
      </c>
      <c r="J3750" s="20" t="s">
        <v>3160</v>
      </c>
      <c r="K3750" s="20" t="s">
        <v>10016</v>
      </c>
      <c r="L3750" s="3">
        <v>13</v>
      </c>
      <c r="M3750" s="3" t="s">
        <v>10225</v>
      </c>
      <c r="N3750" s="3" t="str">
        <f>HYPERLINK("http://ictvonline.org/taxonomyHistory.asp?taxnode_id=20163888","ICTVonline=20163888")</f>
        <v>ICTVonline=20163888</v>
      </c>
    </row>
    <row r="3751" spans="1:14" x14ac:dyDescent="0.15">
      <c r="A3751" s="3">
        <v>3750</v>
      </c>
      <c r="B3751" s="1" t="s">
        <v>926</v>
      </c>
      <c r="C3751" s="1" t="s">
        <v>492</v>
      </c>
      <c r="E3751" s="1" t="s">
        <v>601</v>
      </c>
      <c r="F3751" s="1" t="s">
        <v>653</v>
      </c>
      <c r="G3751" s="3">
        <v>0</v>
      </c>
      <c r="H3751" s="20" t="s">
        <v>5971</v>
      </c>
      <c r="I3751" s="20" t="s">
        <v>5972</v>
      </c>
      <c r="J3751" s="20" t="s">
        <v>3160</v>
      </c>
      <c r="K3751" s="20" t="s">
        <v>10013</v>
      </c>
      <c r="L3751" s="3">
        <v>24</v>
      </c>
      <c r="M3751" s="3" t="s">
        <v>10370</v>
      </c>
      <c r="N3751" s="3" t="str">
        <f>HYPERLINK("http://ictvonline.org/taxonomyHistory.asp?taxnode_id=20163889","ICTVonline=20163889")</f>
        <v>ICTVonline=20163889</v>
      </c>
    </row>
    <row r="3752" spans="1:14" x14ac:dyDescent="0.15">
      <c r="A3752" s="3">
        <v>3751</v>
      </c>
      <c r="B3752" s="1" t="s">
        <v>926</v>
      </c>
      <c r="C3752" s="1" t="s">
        <v>492</v>
      </c>
      <c r="E3752" s="1" t="s">
        <v>601</v>
      </c>
      <c r="F3752" s="1" t="s">
        <v>654</v>
      </c>
      <c r="G3752" s="3">
        <v>0</v>
      </c>
      <c r="H3752" s="20" t="s">
        <v>5973</v>
      </c>
      <c r="I3752" s="20" t="s">
        <v>5528</v>
      </c>
      <c r="J3752" s="20" t="s">
        <v>3160</v>
      </c>
      <c r="K3752" s="20" t="s">
        <v>10016</v>
      </c>
      <c r="L3752" s="3">
        <v>13</v>
      </c>
      <c r="M3752" s="3" t="s">
        <v>10225</v>
      </c>
      <c r="N3752" s="3" t="str">
        <f>HYPERLINK("http://ictvonline.org/taxonomyHistory.asp?taxnode_id=20163890","ICTVonline=20163890")</f>
        <v>ICTVonline=20163890</v>
      </c>
    </row>
    <row r="3753" spans="1:14" x14ac:dyDescent="0.15">
      <c r="A3753" s="3">
        <v>3752</v>
      </c>
      <c r="B3753" s="1" t="s">
        <v>926</v>
      </c>
      <c r="C3753" s="1" t="s">
        <v>492</v>
      </c>
      <c r="E3753" s="1" t="s">
        <v>601</v>
      </c>
      <c r="F3753" s="1" t="s">
        <v>655</v>
      </c>
      <c r="G3753" s="3">
        <v>0</v>
      </c>
      <c r="H3753" s="20" t="s">
        <v>5974</v>
      </c>
      <c r="I3753" s="20" t="s">
        <v>4752</v>
      </c>
      <c r="J3753" s="20" t="s">
        <v>3160</v>
      </c>
      <c r="K3753" s="20" t="s">
        <v>10016</v>
      </c>
      <c r="L3753" s="3">
        <v>13</v>
      </c>
      <c r="M3753" s="3" t="s">
        <v>10225</v>
      </c>
      <c r="N3753" s="3" t="str">
        <f>HYPERLINK("http://ictvonline.org/taxonomyHistory.asp?taxnode_id=20163891","ICTVonline=20163891")</f>
        <v>ICTVonline=20163891</v>
      </c>
    </row>
    <row r="3754" spans="1:14" x14ac:dyDescent="0.15">
      <c r="A3754" s="3">
        <v>3753</v>
      </c>
      <c r="B3754" s="1" t="s">
        <v>926</v>
      </c>
      <c r="C3754" s="1" t="s">
        <v>492</v>
      </c>
      <c r="E3754" s="1" t="s">
        <v>601</v>
      </c>
      <c r="F3754" s="1" t="s">
        <v>656</v>
      </c>
      <c r="G3754" s="3">
        <v>0</v>
      </c>
      <c r="H3754" s="20" t="s">
        <v>5975</v>
      </c>
      <c r="I3754" s="20" t="s">
        <v>5962</v>
      </c>
      <c r="J3754" s="20" t="s">
        <v>3160</v>
      </c>
      <c r="K3754" s="20" t="s">
        <v>10016</v>
      </c>
      <c r="L3754" s="3">
        <v>13</v>
      </c>
      <c r="M3754" s="3" t="s">
        <v>10225</v>
      </c>
      <c r="N3754" s="3" t="str">
        <f>HYPERLINK("http://ictvonline.org/taxonomyHistory.asp?taxnode_id=20163892","ICTVonline=20163892")</f>
        <v>ICTVonline=20163892</v>
      </c>
    </row>
    <row r="3755" spans="1:14" x14ac:dyDescent="0.15">
      <c r="A3755" s="3">
        <v>3754</v>
      </c>
      <c r="B3755" s="1" t="s">
        <v>926</v>
      </c>
      <c r="C3755" s="1" t="s">
        <v>492</v>
      </c>
      <c r="E3755" s="1" t="s">
        <v>601</v>
      </c>
      <c r="F3755" s="1" t="s">
        <v>657</v>
      </c>
      <c r="G3755" s="3">
        <v>0</v>
      </c>
      <c r="H3755" s="20" t="s">
        <v>5976</v>
      </c>
      <c r="I3755" s="20" t="s">
        <v>5977</v>
      </c>
      <c r="J3755" s="20" t="s">
        <v>3160</v>
      </c>
      <c r="K3755" s="20" t="s">
        <v>10013</v>
      </c>
      <c r="L3755" s="3">
        <v>22</v>
      </c>
      <c r="M3755" s="3" t="s">
        <v>10361</v>
      </c>
      <c r="N3755" s="3" t="str">
        <f>HYPERLINK("http://ictvonline.org/taxonomyHistory.asp?taxnode_id=20163893","ICTVonline=20163893")</f>
        <v>ICTVonline=20163893</v>
      </c>
    </row>
    <row r="3756" spans="1:14" x14ac:dyDescent="0.15">
      <c r="A3756" s="3">
        <v>3755</v>
      </c>
      <c r="B3756" s="1" t="s">
        <v>926</v>
      </c>
      <c r="C3756" s="1" t="s">
        <v>492</v>
      </c>
      <c r="E3756" s="1" t="s">
        <v>601</v>
      </c>
      <c r="F3756" s="1" t="s">
        <v>658</v>
      </c>
      <c r="G3756" s="3">
        <v>0</v>
      </c>
      <c r="H3756" s="20" t="s">
        <v>5978</v>
      </c>
      <c r="I3756" s="20" t="s">
        <v>5979</v>
      </c>
      <c r="J3756" s="20" t="s">
        <v>3160</v>
      </c>
      <c r="K3756" s="20" t="s">
        <v>10021</v>
      </c>
      <c r="L3756" s="3">
        <v>14</v>
      </c>
      <c r="M3756" s="3" t="s">
        <v>10234</v>
      </c>
      <c r="N3756" s="3" t="str">
        <f>HYPERLINK("http://ictvonline.org/taxonomyHistory.asp?taxnode_id=20163894","ICTVonline=20163894")</f>
        <v>ICTVonline=20163894</v>
      </c>
    </row>
    <row r="3757" spans="1:14" x14ac:dyDescent="0.15">
      <c r="A3757" s="3">
        <v>3756</v>
      </c>
      <c r="B3757" s="1" t="s">
        <v>926</v>
      </c>
      <c r="C3757" s="1" t="s">
        <v>492</v>
      </c>
      <c r="E3757" s="1" t="s">
        <v>601</v>
      </c>
      <c r="F3757" s="1" t="s">
        <v>659</v>
      </c>
      <c r="G3757" s="3">
        <v>0</v>
      </c>
      <c r="J3757" s="20" t="s">
        <v>3160</v>
      </c>
      <c r="K3757" s="20" t="s">
        <v>10013</v>
      </c>
      <c r="L3757" s="3">
        <v>24</v>
      </c>
      <c r="M3757" s="3" t="s">
        <v>10370</v>
      </c>
      <c r="N3757" s="3" t="str">
        <f>HYPERLINK("http://ictvonline.org/taxonomyHistory.asp?taxnode_id=20163895","ICTVonline=20163895")</f>
        <v>ICTVonline=20163895</v>
      </c>
    </row>
    <row r="3758" spans="1:14" x14ac:dyDescent="0.15">
      <c r="A3758" s="3">
        <v>3757</v>
      </c>
      <c r="B3758" s="1" t="s">
        <v>926</v>
      </c>
      <c r="C3758" s="1" t="s">
        <v>492</v>
      </c>
      <c r="E3758" s="1" t="s">
        <v>601</v>
      </c>
      <c r="F3758" s="1" t="s">
        <v>660</v>
      </c>
      <c r="G3758" s="3">
        <v>0</v>
      </c>
      <c r="J3758" s="20" t="s">
        <v>3160</v>
      </c>
      <c r="K3758" s="20" t="s">
        <v>10013</v>
      </c>
      <c r="L3758" s="3">
        <v>22</v>
      </c>
      <c r="M3758" s="3" t="s">
        <v>10361</v>
      </c>
      <c r="N3758" s="3" t="str">
        <f>HYPERLINK("http://ictvonline.org/taxonomyHistory.asp?taxnode_id=20163896","ICTVonline=20163896")</f>
        <v>ICTVonline=20163896</v>
      </c>
    </row>
    <row r="3759" spans="1:14" x14ac:dyDescent="0.15">
      <c r="A3759" s="3">
        <v>3758</v>
      </c>
      <c r="B3759" s="1" t="s">
        <v>926</v>
      </c>
      <c r="C3759" s="1" t="s">
        <v>492</v>
      </c>
      <c r="E3759" s="1" t="s">
        <v>601</v>
      </c>
      <c r="F3759" s="1" t="s">
        <v>469</v>
      </c>
      <c r="G3759" s="3">
        <v>0</v>
      </c>
      <c r="H3759" s="20" t="s">
        <v>5980</v>
      </c>
      <c r="I3759" s="20" t="s">
        <v>4726</v>
      </c>
      <c r="J3759" s="20" t="s">
        <v>3160</v>
      </c>
      <c r="K3759" s="20" t="s">
        <v>10016</v>
      </c>
      <c r="L3759" s="3">
        <v>13</v>
      </c>
      <c r="M3759" s="3" t="s">
        <v>10225</v>
      </c>
      <c r="N3759" s="3" t="str">
        <f>HYPERLINK("http://ictvonline.org/taxonomyHistory.asp?taxnode_id=20163897","ICTVonline=20163897")</f>
        <v>ICTVonline=20163897</v>
      </c>
    </row>
    <row r="3760" spans="1:14" x14ac:dyDescent="0.15">
      <c r="A3760" s="3">
        <v>3759</v>
      </c>
      <c r="B3760" s="1" t="s">
        <v>926</v>
      </c>
      <c r="C3760" s="1" t="s">
        <v>492</v>
      </c>
      <c r="E3760" s="1" t="s">
        <v>601</v>
      </c>
      <c r="F3760" s="1" t="s">
        <v>1636</v>
      </c>
      <c r="G3760" s="3">
        <v>0</v>
      </c>
      <c r="H3760" s="20" t="s">
        <v>5981</v>
      </c>
      <c r="I3760" s="20" t="s">
        <v>5982</v>
      </c>
      <c r="J3760" s="20" t="s">
        <v>3160</v>
      </c>
      <c r="K3760" s="20" t="s">
        <v>10016</v>
      </c>
      <c r="L3760" s="3">
        <v>13</v>
      </c>
      <c r="M3760" s="3" t="s">
        <v>10225</v>
      </c>
      <c r="N3760" s="3" t="str">
        <f>HYPERLINK("http://ictvonline.org/taxonomyHistory.asp?taxnode_id=20163898","ICTVonline=20163898")</f>
        <v>ICTVonline=20163898</v>
      </c>
    </row>
    <row r="3761" spans="1:14" x14ac:dyDescent="0.15">
      <c r="A3761" s="3">
        <v>3760</v>
      </c>
      <c r="B3761" s="1" t="s">
        <v>926</v>
      </c>
      <c r="C3761" s="1" t="s">
        <v>492</v>
      </c>
      <c r="E3761" s="1" t="s">
        <v>601</v>
      </c>
      <c r="F3761" s="1" t="s">
        <v>1637</v>
      </c>
      <c r="G3761" s="3">
        <v>0</v>
      </c>
      <c r="H3761" s="20" t="s">
        <v>5983</v>
      </c>
      <c r="I3761" s="20" t="s">
        <v>5984</v>
      </c>
      <c r="J3761" s="20" t="s">
        <v>3160</v>
      </c>
      <c r="K3761" s="20" t="s">
        <v>10216</v>
      </c>
      <c r="L3761" s="3">
        <v>23</v>
      </c>
      <c r="M3761" s="3" t="s">
        <v>10229</v>
      </c>
      <c r="N3761" s="3" t="str">
        <f>HYPERLINK("http://ictvonline.org/taxonomyHistory.asp?taxnode_id=20163899","ICTVonline=20163899")</f>
        <v>ICTVonline=20163899</v>
      </c>
    </row>
    <row r="3762" spans="1:14" x14ac:dyDescent="0.15">
      <c r="A3762" s="3">
        <v>3761</v>
      </c>
      <c r="B3762" s="1" t="s">
        <v>926</v>
      </c>
      <c r="C3762" s="1" t="s">
        <v>492</v>
      </c>
      <c r="E3762" s="1" t="s">
        <v>601</v>
      </c>
      <c r="F3762" s="1" t="s">
        <v>523</v>
      </c>
      <c r="G3762" s="3">
        <v>0</v>
      </c>
      <c r="H3762" s="20" t="s">
        <v>5985</v>
      </c>
      <c r="I3762" s="20" t="s">
        <v>5986</v>
      </c>
      <c r="J3762" s="20" t="s">
        <v>3160</v>
      </c>
      <c r="K3762" s="20" t="s">
        <v>10016</v>
      </c>
      <c r="L3762" s="3">
        <v>13</v>
      </c>
      <c r="M3762" s="3" t="s">
        <v>10225</v>
      </c>
      <c r="N3762" s="3" t="str">
        <f>HYPERLINK("http://ictvonline.org/taxonomyHistory.asp?taxnode_id=20163900","ICTVonline=20163900")</f>
        <v>ICTVonline=20163900</v>
      </c>
    </row>
    <row r="3763" spans="1:14" x14ac:dyDescent="0.15">
      <c r="A3763" s="3">
        <v>3762</v>
      </c>
      <c r="B3763" s="1" t="s">
        <v>926</v>
      </c>
      <c r="C3763" s="1" t="s">
        <v>492</v>
      </c>
      <c r="E3763" s="1" t="s">
        <v>601</v>
      </c>
      <c r="F3763" s="1" t="s">
        <v>524</v>
      </c>
      <c r="G3763" s="3">
        <v>1</v>
      </c>
      <c r="H3763" s="20" t="s">
        <v>5987</v>
      </c>
      <c r="I3763" s="20" t="s">
        <v>5988</v>
      </c>
      <c r="J3763" s="20" t="s">
        <v>3160</v>
      </c>
      <c r="K3763" s="20" t="s">
        <v>10016</v>
      </c>
      <c r="L3763" s="3">
        <v>13</v>
      </c>
      <c r="M3763" s="3" t="s">
        <v>10225</v>
      </c>
      <c r="N3763" s="3" t="str">
        <f>HYPERLINK("http://ictvonline.org/taxonomyHistory.asp?taxnode_id=20163901","ICTVonline=20163901")</f>
        <v>ICTVonline=20163901</v>
      </c>
    </row>
    <row r="3764" spans="1:14" x14ac:dyDescent="0.15">
      <c r="A3764" s="3">
        <v>3763</v>
      </c>
      <c r="B3764" s="1" t="s">
        <v>926</v>
      </c>
      <c r="C3764" s="1" t="s">
        <v>492</v>
      </c>
      <c r="E3764" s="1" t="s">
        <v>601</v>
      </c>
      <c r="F3764" s="1" t="s">
        <v>525</v>
      </c>
      <c r="G3764" s="3">
        <v>0</v>
      </c>
      <c r="J3764" s="20" t="s">
        <v>3160</v>
      </c>
      <c r="K3764" s="20" t="s">
        <v>10013</v>
      </c>
      <c r="L3764" s="3">
        <v>24</v>
      </c>
      <c r="M3764" s="3" t="s">
        <v>10370</v>
      </c>
      <c r="N3764" s="3" t="str">
        <f>HYPERLINK("http://ictvonline.org/taxonomyHistory.asp?taxnode_id=20163902","ICTVonline=20163902")</f>
        <v>ICTVonline=20163902</v>
      </c>
    </row>
    <row r="3765" spans="1:14" x14ac:dyDescent="0.15">
      <c r="A3765" s="3">
        <v>3764</v>
      </c>
      <c r="B3765" s="1" t="s">
        <v>926</v>
      </c>
      <c r="C3765" s="1" t="s">
        <v>492</v>
      </c>
      <c r="E3765" s="1" t="s">
        <v>601</v>
      </c>
      <c r="F3765" s="1" t="s">
        <v>1507</v>
      </c>
      <c r="G3765" s="3">
        <v>0</v>
      </c>
      <c r="J3765" s="20" t="s">
        <v>3160</v>
      </c>
      <c r="K3765" s="20" t="s">
        <v>10013</v>
      </c>
      <c r="L3765" s="3">
        <v>24</v>
      </c>
      <c r="M3765" s="3" t="s">
        <v>10370</v>
      </c>
      <c r="N3765" s="3" t="str">
        <f>HYPERLINK("http://ictvonline.org/taxonomyHistory.asp?taxnode_id=20163903","ICTVonline=20163903")</f>
        <v>ICTVonline=20163903</v>
      </c>
    </row>
    <row r="3766" spans="1:14" x14ac:dyDescent="0.15">
      <c r="A3766" s="3">
        <v>3765</v>
      </c>
      <c r="B3766" s="1" t="s">
        <v>926</v>
      </c>
      <c r="C3766" s="1" t="s">
        <v>492</v>
      </c>
      <c r="E3766" s="1" t="s">
        <v>601</v>
      </c>
      <c r="F3766" s="1" t="s">
        <v>1508</v>
      </c>
      <c r="G3766" s="3">
        <v>0</v>
      </c>
      <c r="J3766" s="20" t="s">
        <v>3160</v>
      </c>
      <c r="K3766" s="20" t="s">
        <v>10013</v>
      </c>
      <c r="L3766" s="3">
        <v>24</v>
      </c>
      <c r="M3766" s="3" t="s">
        <v>10370</v>
      </c>
      <c r="N3766" s="3" t="str">
        <f>HYPERLINK("http://ictvonline.org/taxonomyHistory.asp?taxnode_id=20163904","ICTVonline=20163904")</f>
        <v>ICTVonline=20163904</v>
      </c>
    </row>
    <row r="3767" spans="1:14" x14ac:dyDescent="0.15">
      <c r="A3767" s="3">
        <v>3766</v>
      </c>
      <c r="B3767" s="1" t="s">
        <v>926</v>
      </c>
      <c r="C3767" s="1" t="s">
        <v>492</v>
      </c>
      <c r="E3767" s="1" t="s">
        <v>601</v>
      </c>
      <c r="F3767" s="1" t="s">
        <v>390</v>
      </c>
      <c r="G3767" s="3">
        <v>0</v>
      </c>
      <c r="J3767" s="20" t="s">
        <v>3160</v>
      </c>
      <c r="K3767" s="20" t="s">
        <v>10013</v>
      </c>
      <c r="L3767" s="3">
        <v>22</v>
      </c>
      <c r="M3767" s="3" t="s">
        <v>10361</v>
      </c>
      <c r="N3767" s="3" t="str">
        <f>HYPERLINK("http://ictvonline.org/taxonomyHistory.asp?taxnode_id=20163905","ICTVonline=20163905")</f>
        <v>ICTVonline=20163905</v>
      </c>
    </row>
    <row r="3768" spans="1:14" x14ac:dyDescent="0.15">
      <c r="A3768" s="3">
        <v>3767</v>
      </c>
      <c r="B3768" s="1" t="s">
        <v>926</v>
      </c>
      <c r="C3768" s="1" t="s">
        <v>492</v>
      </c>
      <c r="E3768" s="1" t="s">
        <v>601</v>
      </c>
      <c r="F3768" s="1" t="s">
        <v>391</v>
      </c>
      <c r="G3768" s="3">
        <v>0</v>
      </c>
      <c r="J3768" s="20" t="s">
        <v>3160</v>
      </c>
      <c r="K3768" s="20" t="s">
        <v>10013</v>
      </c>
      <c r="L3768" s="3">
        <v>22</v>
      </c>
      <c r="M3768" s="3" t="s">
        <v>10361</v>
      </c>
      <c r="N3768" s="3" t="str">
        <f>HYPERLINK("http://ictvonline.org/taxonomyHistory.asp?taxnode_id=20163906","ICTVonline=20163906")</f>
        <v>ICTVonline=20163906</v>
      </c>
    </row>
    <row r="3769" spans="1:14" x14ac:dyDescent="0.15">
      <c r="A3769" s="3">
        <v>3768</v>
      </c>
      <c r="B3769" s="1" t="s">
        <v>926</v>
      </c>
      <c r="C3769" s="1" t="s">
        <v>492</v>
      </c>
      <c r="E3769" s="1" t="s">
        <v>601</v>
      </c>
      <c r="F3769" s="1" t="s">
        <v>392</v>
      </c>
      <c r="G3769" s="3">
        <v>0</v>
      </c>
      <c r="H3769" s="20" t="s">
        <v>5989</v>
      </c>
      <c r="I3769" s="20" t="s">
        <v>5990</v>
      </c>
      <c r="J3769" s="20" t="s">
        <v>3160</v>
      </c>
      <c r="K3769" s="20" t="s">
        <v>10013</v>
      </c>
      <c r="L3769" s="3">
        <v>22</v>
      </c>
      <c r="M3769" s="3" t="s">
        <v>10361</v>
      </c>
      <c r="N3769" s="3" t="str">
        <f>HYPERLINK("http://ictvonline.org/taxonomyHistory.asp?taxnode_id=20163907","ICTVonline=20163907")</f>
        <v>ICTVonline=20163907</v>
      </c>
    </row>
    <row r="3770" spans="1:14" x14ac:dyDescent="0.15">
      <c r="A3770" s="3">
        <v>3769</v>
      </c>
      <c r="B3770" s="1" t="s">
        <v>926</v>
      </c>
      <c r="C3770" s="1" t="s">
        <v>492</v>
      </c>
      <c r="E3770" s="1" t="s">
        <v>601</v>
      </c>
      <c r="F3770" s="1" t="s">
        <v>393</v>
      </c>
      <c r="G3770" s="3">
        <v>0</v>
      </c>
      <c r="H3770" s="20" t="s">
        <v>5991</v>
      </c>
      <c r="I3770" s="20" t="s">
        <v>5992</v>
      </c>
      <c r="J3770" s="20" t="s">
        <v>3160</v>
      </c>
      <c r="K3770" s="20" t="s">
        <v>10013</v>
      </c>
      <c r="L3770" s="3">
        <v>18</v>
      </c>
      <c r="M3770" s="3" t="s">
        <v>10101</v>
      </c>
      <c r="N3770" s="3" t="str">
        <f>HYPERLINK("http://ictvonline.org/taxonomyHistory.asp?taxnode_id=20163908","ICTVonline=20163908")</f>
        <v>ICTVonline=20163908</v>
      </c>
    </row>
    <row r="3771" spans="1:14" x14ac:dyDescent="0.15">
      <c r="A3771" s="3">
        <v>3770</v>
      </c>
      <c r="B3771" s="1" t="s">
        <v>926</v>
      </c>
      <c r="C3771" s="1" t="s">
        <v>492</v>
      </c>
      <c r="E3771" s="1" t="s">
        <v>601</v>
      </c>
      <c r="F3771" s="1" t="s">
        <v>1511</v>
      </c>
      <c r="G3771" s="3">
        <v>0</v>
      </c>
      <c r="H3771" s="20" t="s">
        <v>5993</v>
      </c>
      <c r="I3771" s="20" t="s">
        <v>5994</v>
      </c>
      <c r="J3771" s="20" t="s">
        <v>3160</v>
      </c>
      <c r="K3771" s="20" t="s">
        <v>10016</v>
      </c>
      <c r="L3771" s="3">
        <v>13</v>
      </c>
      <c r="M3771" s="3" t="s">
        <v>10225</v>
      </c>
      <c r="N3771" s="3" t="str">
        <f>HYPERLINK("http://ictvonline.org/taxonomyHistory.asp?taxnode_id=20163909","ICTVonline=20163909")</f>
        <v>ICTVonline=20163909</v>
      </c>
    </row>
    <row r="3772" spans="1:14" x14ac:dyDescent="0.15">
      <c r="A3772" s="3">
        <v>3771</v>
      </c>
      <c r="B3772" s="1" t="s">
        <v>926</v>
      </c>
      <c r="C3772" s="1" t="s">
        <v>492</v>
      </c>
      <c r="E3772" s="1" t="s">
        <v>601</v>
      </c>
      <c r="F3772" s="1" t="s">
        <v>1512</v>
      </c>
      <c r="G3772" s="3">
        <v>0</v>
      </c>
      <c r="H3772" s="20" t="s">
        <v>5995</v>
      </c>
      <c r="I3772" s="20" t="s">
        <v>5996</v>
      </c>
      <c r="J3772" s="20" t="s">
        <v>3160</v>
      </c>
      <c r="K3772" s="20" t="s">
        <v>10016</v>
      </c>
      <c r="L3772" s="3">
        <v>13</v>
      </c>
      <c r="M3772" s="3" t="s">
        <v>10225</v>
      </c>
      <c r="N3772" s="3" t="str">
        <f>HYPERLINK("http://ictvonline.org/taxonomyHistory.asp?taxnode_id=20163910","ICTVonline=20163910")</f>
        <v>ICTVonline=20163910</v>
      </c>
    </row>
    <row r="3773" spans="1:14" x14ac:dyDescent="0.15">
      <c r="A3773" s="3">
        <v>3772</v>
      </c>
      <c r="B3773" s="1" t="s">
        <v>926</v>
      </c>
      <c r="C3773" s="1" t="s">
        <v>492</v>
      </c>
      <c r="E3773" s="1" t="s">
        <v>601</v>
      </c>
      <c r="F3773" s="1" t="s">
        <v>1960</v>
      </c>
      <c r="G3773" s="3">
        <v>0</v>
      </c>
      <c r="J3773" s="20" t="s">
        <v>3160</v>
      </c>
      <c r="K3773" s="20" t="s">
        <v>10013</v>
      </c>
      <c r="L3773" s="3">
        <v>25</v>
      </c>
      <c r="M3773" s="3" t="s">
        <v>10369</v>
      </c>
      <c r="N3773" s="3" t="str">
        <f>HYPERLINK("http://ictvonline.org/taxonomyHistory.asp?taxnode_id=20163911","ICTVonline=20163911")</f>
        <v>ICTVonline=20163911</v>
      </c>
    </row>
    <row r="3774" spans="1:14" x14ac:dyDescent="0.15">
      <c r="A3774" s="3">
        <v>3773</v>
      </c>
      <c r="B3774" s="1" t="s">
        <v>926</v>
      </c>
      <c r="C3774" s="1" t="s">
        <v>492</v>
      </c>
      <c r="E3774" s="1" t="s">
        <v>601</v>
      </c>
      <c r="F3774" s="1" t="s">
        <v>1513</v>
      </c>
      <c r="G3774" s="3">
        <v>0</v>
      </c>
      <c r="H3774" s="20" t="s">
        <v>5997</v>
      </c>
      <c r="I3774" s="20" t="s">
        <v>5998</v>
      </c>
      <c r="J3774" s="20" t="s">
        <v>3160</v>
      </c>
      <c r="K3774" s="20" t="s">
        <v>10016</v>
      </c>
      <c r="L3774" s="3">
        <v>13</v>
      </c>
      <c r="M3774" s="3" t="s">
        <v>10225</v>
      </c>
      <c r="N3774" s="3" t="str">
        <f>HYPERLINK("http://ictvonline.org/taxonomyHistory.asp?taxnode_id=20163912","ICTVonline=20163912")</f>
        <v>ICTVonline=20163912</v>
      </c>
    </row>
    <row r="3775" spans="1:14" x14ac:dyDescent="0.15">
      <c r="A3775" s="3">
        <v>3774</v>
      </c>
      <c r="B3775" s="1" t="s">
        <v>926</v>
      </c>
      <c r="C3775" s="1" t="s">
        <v>492</v>
      </c>
      <c r="E3775" s="1" t="s">
        <v>601</v>
      </c>
      <c r="F3775" s="1" t="s">
        <v>198</v>
      </c>
      <c r="G3775" s="3">
        <v>0</v>
      </c>
      <c r="H3775" s="20" t="s">
        <v>5999</v>
      </c>
      <c r="I3775" s="20" t="s">
        <v>6000</v>
      </c>
      <c r="J3775" s="20" t="s">
        <v>3160</v>
      </c>
      <c r="K3775" s="20" t="s">
        <v>10013</v>
      </c>
      <c r="L3775" s="3">
        <v>26</v>
      </c>
      <c r="M3775" s="3" t="s">
        <v>10375</v>
      </c>
      <c r="N3775" s="3" t="str">
        <f>HYPERLINK("http://ictvonline.org/taxonomyHistory.asp?taxnode_id=20163913","ICTVonline=20163913")</f>
        <v>ICTVonline=20163913</v>
      </c>
    </row>
    <row r="3776" spans="1:14" x14ac:dyDescent="0.15">
      <c r="A3776" s="3">
        <v>3775</v>
      </c>
      <c r="B3776" s="1" t="s">
        <v>926</v>
      </c>
      <c r="C3776" s="1" t="s">
        <v>492</v>
      </c>
      <c r="E3776" s="1" t="s">
        <v>601</v>
      </c>
      <c r="F3776" s="1" t="s">
        <v>6001</v>
      </c>
      <c r="G3776" s="3">
        <v>0</v>
      </c>
      <c r="H3776" s="20" t="s">
        <v>7060</v>
      </c>
      <c r="I3776" s="20" t="s">
        <v>6002</v>
      </c>
      <c r="J3776" s="20" t="s">
        <v>3160</v>
      </c>
      <c r="K3776" s="20" t="s">
        <v>10013</v>
      </c>
      <c r="L3776" s="3">
        <v>30</v>
      </c>
      <c r="M3776" s="3" t="s">
        <v>10366</v>
      </c>
      <c r="N3776" s="3" t="str">
        <f>HYPERLINK("http://ictvonline.org/taxonomyHistory.asp?taxnode_id=20163914","ICTVonline=20163914")</f>
        <v>ICTVonline=20163914</v>
      </c>
    </row>
    <row r="3777" spans="1:14" x14ac:dyDescent="0.15">
      <c r="A3777" s="3">
        <v>3776</v>
      </c>
      <c r="B3777" s="1" t="s">
        <v>926</v>
      </c>
      <c r="C3777" s="1" t="s">
        <v>492</v>
      </c>
      <c r="E3777" s="1" t="s">
        <v>601</v>
      </c>
      <c r="F3777" s="1" t="s">
        <v>1514</v>
      </c>
      <c r="G3777" s="3">
        <v>0</v>
      </c>
      <c r="J3777" s="20" t="s">
        <v>3160</v>
      </c>
      <c r="K3777" s="20" t="s">
        <v>10013</v>
      </c>
      <c r="L3777" s="3">
        <v>22</v>
      </c>
      <c r="M3777" s="3" t="s">
        <v>10361</v>
      </c>
      <c r="N3777" s="3" t="str">
        <f>HYPERLINK("http://ictvonline.org/taxonomyHistory.asp?taxnode_id=20163915","ICTVonline=20163915")</f>
        <v>ICTVonline=20163915</v>
      </c>
    </row>
    <row r="3778" spans="1:14" x14ac:dyDescent="0.15">
      <c r="A3778" s="3">
        <v>3777</v>
      </c>
      <c r="B3778" s="1" t="s">
        <v>926</v>
      </c>
      <c r="C3778" s="1" t="s">
        <v>492</v>
      </c>
      <c r="E3778" s="1" t="s">
        <v>601</v>
      </c>
      <c r="F3778" s="1" t="s">
        <v>1515</v>
      </c>
      <c r="G3778" s="3">
        <v>0</v>
      </c>
      <c r="H3778" s="20" t="s">
        <v>6003</v>
      </c>
      <c r="I3778" s="20" t="s">
        <v>4956</v>
      </c>
      <c r="J3778" s="20" t="s">
        <v>3160</v>
      </c>
      <c r="K3778" s="20" t="s">
        <v>10016</v>
      </c>
      <c r="L3778" s="3">
        <v>13</v>
      </c>
      <c r="M3778" s="3" t="s">
        <v>10225</v>
      </c>
      <c r="N3778" s="3" t="str">
        <f>HYPERLINK("http://ictvonline.org/taxonomyHistory.asp?taxnode_id=20163916","ICTVonline=20163916")</f>
        <v>ICTVonline=20163916</v>
      </c>
    </row>
    <row r="3779" spans="1:14" x14ac:dyDescent="0.15">
      <c r="A3779" s="3">
        <v>3778</v>
      </c>
      <c r="B3779" s="1" t="s">
        <v>926</v>
      </c>
      <c r="C3779" s="1" t="s">
        <v>492</v>
      </c>
      <c r="E3779" s="1" t="s">
        <v>601</v>
      </c>
      <c r="F3779" s="1" t="s">
        <v>1516</v>
      </c>
      <c r="G3779" s="3">
        <v>0</v>
      </c>
      <c r="H3779" s="20" t="s">
        <v>6004</v>
      </c>
      <c r="I3779" s="20" t="s">
        <v>4671</v>
      </c>
      <c r="J3779" s="20" t="s">
        <v>3160</v>
      </c>
      <c r="K3779" s="20" t="s">
        <v>10013</v>
      </c>
      <c r="L3779" s="3">
        <v>17</v>
      </c>
      <c r="M3779" s="3" t="s">
        <v>10208</v>
      </c>
      <c r="N3779" s="3" t="str">
        <f>HYPERLINK("http://ictvonline.org/taxonomyHistory.asp?taxnode_id=20163917","ICTVonline=20163917")</f>
        <v>ICTVonline=20163917</v>
      </c>
    </row>
    <row r="3780" spans="1:14" x14ac:dyDescent="0.15">
      <c r="A3780" s="3">
        <v>3779</v>
      </c>
      <c r="B3780" s="1" t="s">
        <v>926</v>
      </c>
      <c r="C3780" s="1" t="s">
        <v>492</v>
      </c>
      <c r="E3780" s="1" t="s">
        <v>601</v>
      </c>
      <c r="F3780" s="1" t="s">
        <v>251</v>
      </c>
      <c r="G3780" s="3">
        <v>0</v>
      </c>
      <c r="J3780" s="20" t="s">
        <v>3160</v>
      </c>
      <c r="K3780" s="20" t="s">
        <v>10013</v>
      </c>
      <c r="L3780" s="3">
        <v>22</v>
      </c>
      <c r="M3780" s="3" t="s">
        <v>10361</v>
      </c>
      <c r="N3780" s="3" t="str">
        <f>HYPERLINK("http://ictvonline.org/taxonomyHistory.asp?taxnode_id=20163918","ICTVonline=20163918")</f>
        <v>ICTVonline=20163918</v>
      </c>
    </row>
    <row r="3781" spans="1:14" x14ac:dyDescent="0.15">
      <c r="A3781" s="3">
        <v>3780</v>
      </c>
      <c r="B3781" s="1" t="s">
        <v>926</v>
      </c>
      <c r="C3781" s="1" t="s">
        <v>492</v>
      </c>
      <c r="E3781" s="1" t="s">
        <v>601</v>
      </c>
      <c r="F3781" s="1" t="s">
        <v>252</v>
      </c>
      <c r="G3781" s="3">
        <v>0</v>
      </c>
      <c r="H3781" s="20" t="s">
        <v>6005</v>
      </c>
      <c r="I3781" s="20" t="s">
        <v>6006</v>
      </c>
      <c r="J3781" s="20" t="s">
        <v>3160</v>
      </c>
      <c r="K3781" s="20" t="s">
        <v>10013</v>
      </c>
      <c r="L3781" s="3">
        <v>24</v>
      </c>
      <c r="M3781" s="3" t="s">
        <v>10370</v>
      </c>
      <c r="N3781" s="3" t="str">
        <f>HYPERLINK("http://ictvonline.org/taxonomyHistory.asp?taxnode_id=20163919","ICTVonline=20163919")</f>
        <v>ICTVonline=20163919</v>
      </c>
    </row>
    <row r="3782" spans="1:14" x14ac:dyDescent="0.15">
      <c r="A3782" s="3">
        <v>3781</v>
      </c>
      <c r="B3782" s="1" t="s">
        <v>926</v>
      </c>
      <c r="C3782" s="1" t="s">
        <v>492</v>
      </c>
      <c r="E3782" s="1" t="s">
        <v>601</v>
      </c>
      <c r="F3782" s="1" t="s">
        <v>199</v>
      </c>
      <c r="G3782" s="3">
        <v>0</v>
      </c>
      <c r="H3782" s="20" t="s">
        <v>6007</v>
      </c>
      <c r="I3782" s="20" t="s">
        <v>6008</v>
      </c>
      <c r="J3782" s="20" t="s">
        <v>3160</v>
      </c>
      <c r="K3782" s="20" t="s">
        <v>10013</v>
      </c>
      <c r="L3782" s="3">
        <v>26</v>
      </c>
      <c r="M3782" s="3" t="s">
        <v>10376</v>
      </c>
      <c r="N3782" s="3" t="str">
        <f>HYPERLINK("http://ictvonline.org/taxonomyHistory.asp?taxnode_id=20163920","ICTVonline=20163920")</f>
        <v>ICTVonline=20163920</v>
      </c>
    </row>
    <row r="3783" spans="1:14" x14ac:dyDescent="0.15">
      <c r="A3783" s="3">
        <v>3782</v>
      </c>
      <c r="B3783" s="1" t="s">
        <v>926</v>
      </c>
      <c r="C3783" s="1" t="s">
        <v>492</v>
      </c>
      <c r="E3783" s="1" t="s">
        <v>601</v>
      </c>
      <c r="F3783" s="1" t="s">
        <v>253</v>
      </c>
      <c r="G3783" s="3">
        <v>0</v>
      </c>
      <c r="H3783" s="20" t="s">
        <v>6009</v>
      </c>
      <c r="I3783" s="20" t="s">
        <v>6010</v>
      </c>
      <c r="J3783" s="20" t="s">
        <v>3160</v>
      </c>
      <c r="K3783" s="20" t="s">
        <v>10013</v>
      </c>
      <c r="L3783" s="3">
        <v>23</v>
      </c>
      <c r="M3783" s="3" t="s">
        <v>10229</v>
      </c>
      <c r="N3783" s="3" t="str">
        <f>HYPERLINK("http://ictvonline.org/taxonomyHistory.asp?taxnode_id=20163921","ICTVonline=20163921")</f>
        <v>ICTVonline=20163921</v>
      </c>
    </row>
    <row r="3784" spans="1:14" x14ac:dyDescent="0.15">
      <c r="A3784" s="3">
        <v>3783</v>
      </c>
      <c r="B3784" s="1" t="s">
        <v>926</v>
      </c>
      <c r="C3784" s="1" t="s">
        <v>492</v>
      </c>
      <c r="E3784" s="1" t="s">
        <v>601</v>
      </c>
      <c r="F3784" s="1" t="s">
        <v>6011</v>
      </c>
      <c r="G3784" s="3">
        <v>0</v>
      </c>
      <c r="H3784" s="20" t="s">
        <v>7061</v>
      </c>
      <c r="I3784" s="20" t="s">
        <v>5467</v>
      </c>
      <c r="J3784" s="20" t="s">
        <v>3160</v>
      </c>
      <c r="K3784" s="20" t="s">
        <v>10013</v>
      </c>
      <c r="L3784" s="3">
        <v>30</v>
      </c>
      <c r="M3784" s="3" t="s">
        <v>10366</v>
      </c>
      <c r="N3784" s="3" t="str">
        <f>HYPERLINK("http://ictvonline.org/taxonomyHistory.asp?taxnode_id=20163922","ICTVonline=20163922")</f>
        <v>ICTVonline=20163922</v>
      </c>
    </row>
    <row r="3785" spans="1:14" x14ac:dyDescent="0.15">
      <c r="A3785" s="3">
        <v>3784</v>
      </c>
      <c r="B3785" s="1" t="s">
        <v>926</v>
      </c>
      <c r="C3785" s="1" t="s">
        <v>492</v>
      </c>
      <c r="E3785" s="1" t="s">
        <v>601</v>
      </c>
      <c r="F3785" s="1" t="s">
        <v>254</v>
      </c>
      <c r="G3785" s="3">
        <v>0</v>
      </c>
      <c r="J3785" s="20" t="s">
        <v>3160</v>
      </c>
      <c r="K3785" s="20" t="s">
        <v>10016</v>
      </c>
      <c r="L3785" s="3">
        <v>13</v>
      </c>
      <c r="M3785" s="3" t="s">
        <v>10225</v>
      </c>
      <c r="N3785" s="3" t="str">
        <f>HYPERLINK("http://ictvonline.org/taxonomyHistory.asp?taxnode_id=20163923","ICTVonline=20163923")</f>
        <v>ICTVonline=20163923</v>
      </c>
    </row>
    <row r="3786" spans="1:14" x14ac:dyDescent="0.15">
      <c r="A3786" s="3">
        <v>3785</v>
      </c>
      <c r="B3786" s="1" t="s">
        <v>926</v>
      </c>
      <c r="C3786" s="1" t="s">
        <v>492</v>
      </c>
      <c r="E3786" s="1" t="s">
        <v>601</v>
      </c>
      <c r="F3786" s="1" t="s">
        <v>2220</v>
      </c>
      <c r="G3786" s="3">
        <v>0</v>
      </c>
      <c r="H3786" s="20" t="s">
        <v>6012</v>
      </c>
      <c r="I3786" s="20" t="s">
        <v>6013</v>
      </c>
      <c r="J3786" s="20" t="s">
        <v>3160</v>
      </c>
      <c r="K3786" s="20" t="s">
        <v>10013</v>
      </c>
      <c r="L3786" s="3">
        <v>25</v>
      </c>
      <c r="M3786" s="3" t="s">
        <v>10371</v>
      </c>
      <c r="N3786" s="3" t="str">
        <f>HYPERLINK("http://ictvonline.org/taxonomyHistory.asp?taxnode_id=20163924","ICTVonline=20163924")</f>
        <v>ICTVonline=20163924</v>
      </c>
    </row>
    <row r="3787" spans="1:14" x14ac:dyDescent="0.15">
      <c r="A3787" s="3">
        <v>3786</v>
      </c>
      <c r="B3787" s="1" t="s">
        <v>926</v>
      </c>
      <c r="C3787" s="1" t="s">
        <v>492</v>
      </c>
      <c r="E3787" s="1" t="s">
        <v>601</v>
      </c>
      <c r="F3787" s="1" t="s">
        <v>255</v>
      </c>
      <c r="G3787" s="3">
        <v>0</v>
      </c>
      <c r="H3787" s="20" t="s">
        <v>6014</v>
      </c>
      <c r="I3787" s="20" t="s">
        <v>6015</v>
      </c>
      <c r="J3787" s="20" t="s">
        <v>3160</v>
      </c>
      <c r="K3787" s="20" t="s">
        <v>10013</v>
      </c>
      <c r="L3787" s="3">
        <v>24</v>
      </c>
      <c r="M3787" s="3" t="s">
        <v>10370</v>
      </c>
      <c r="N3787" s="3" t="str">
        <f>HYPERLINK("http://ictvonline.org/taxonomyHistory.asp?taxnode_id=20163925","ICTVonline=20163925")</f>
        <v>ICTVonline=20163925</v>
      </c>
    </row>
    <row r="3788" spans="1:14" x14ac:dyDescent="0.15">
      <c r="A3788" s="3">
        <v>3787</v>
      </c>
      <c r="B3788" s="1" t="s">
        <v>926</v>
      </c>
      <c r="C3788" s="1" t="s">
        <v>492</v>
      </c>
      <c r="E3788" s="1" t="s">
        <v>601</v>
      </c>
      <c r="F3788" s="1" t="s">
        <v>256</v>
      </c>
      <c r="G3788" s="3">
        <v>0</v>
      </c>
      <c r="H3788" s="20" t="s">
        <v>6016</v>
      </c>
      <c r="I3788" s="20" t="s">
        <v>6017</v>
      </c>
      <c r="J3788" s="20" t="s">
        <v>3160</v>
      </c>
      <c r="K3788" s="20" t="s">
        <v>10016</v>
      </c>
      <c r="L3788" s="3">
        <v>13</v>
      </c>
      <c r="M3788" s="3" t="s">
        <v>10225</v>
      </c>
      <c r="N3788" s="3" t="str">
        <f>HYPERLINK("http://ictvonline.org/taxonomyHistory.asp?taxnode_id=20163926","ICTVonline=20163926")</f>
        <v>ICTVonline=20163926</v>
      </c>
    </row>
    <row r="3789" spans="1:14" x14ac:dyDescent="0.15">
      <c r="A3789" s="3">
        <v>3788</v>
      </c>
      <c r="B3789" s="1" t="s">
        <v>926</v>
      </c>
      <c r="C3789" s="1" t="s">
        <v>492</v>
      </c>
      <c r="E3789" s="1" t="s">
        <v>601</v>
      </c>
      <c r="F3789" s="1" t="s">
        <v>394</v>
      </c>
      <c r="G3789" s="3">
        <v>0</v>
      </c>
      <c r="H3789" s="20" t="s">
        <v>6018</v>
      </c>
      <c r="I3789" s="20" t="s">
        <v>6019</v>
      </c>
      <c r="J3789" s="20" t="s">
        <v>3160</v>
      </c>
      <c r="K3789" s="20" t="s">
        <v>10013</v>
      </c>
      <c r="L3789" s="3">
        <v>17</v>
      </c>
      <c r="M3789" s="3" t="s">
        <v>10208</v>
      </c>
      <c r="N3789" s="3" t="str">
        <f>HYPERLINK("http://ictvonline.org/taxonomyHistory.asp?taxnode_id=20163927","ICTVonline=20163927")</f>
        <v>ICTVonline=20163927</v>
      </c>
    </row>
    <row r="3790" spans="1:14" x14ac:dyDescent="0.15">
      <c r="A3790" s="3">
        <v>3789</v>
      </c>
      <c r="B3790" s="1" t="s">
        <v>926</v>
      </c>
      <c r="C3790" s="1" t="s">
        <v>492</v>
      </c>
      <c r="E3790" s="1" t="s">
        <v>601</v>
      </c>
      <c r="F3790" s="1" t="s">
        <v>395</v>
      </c>
      <c r="G3790" s="3">
        <v>0</v>
      </c>
      <c r="H3790" s="20" t="s">
        <v>6020</v>
      </c>
      <c r="I3790" s="20" t="s">
        <v>6445</v>
      </c>
      <c r="J3790" s="20" t="s">
        <v>3160</v>
      </c>
      <c r="K3790" s="20" t="s">
        <v>10016</v>
      </c>
      <c r="L3790" s="3">
        <v>13</v>
      </c>
      <c r="M3790" s="3" t="s">
        <v>10225</v>
      </c>
      <c r="N3790" s="3" t="str">
        <f>HYPERLINK("http://ictvonline.org/taxonomyHistory.asp?taxnode_id=20163928","ICTVonline=20163928")</f>
        <v>ICTVonline=20163928</v>
      </c>
    </row>
    <row r="3791" spans="1:14" x14ac:dyDescent="0.15">
      <c r="A3791" s="3">
        <v>3790</v>
      </c>
      <c r="B3791" s="1" t="s">
        <v>926</v>
      </c>
      <c r="C3791" s="1" t="s">
        <v>492</v>
      </c>
      <c r="E3791" s="1" t="s">
        <v>601</v>
      </c>
      <c r="F3791" s="1" t="s">
        <v>2810</v>
      </c>
      <c r="G3791" s="3">
        <v>0</v>
      </c>
      <c r="H3791" s="20" t="s">
        <v>3201</v>
      </c>
      <c r="I3791" s="20" t="s">
        <v>6021</v>
      </c>
      <c r="J3791" s="20" t="s">
        <v>3160</v>
      </c>
      <c r="K3791" s="20" t="s">
        <v>10013</v>
      </c>
      <c r="L3791" s="3">
        <v>29</v>
      </c>
      <c r="M3791" s="3" t="s">
        <v>10372</v>
      </c>
      <c r="N3791" s="3" t="str">
        <f>HYPERLINK("http://ictvonline.org/taxonomyHistory.asp?taxnode_id=20163929","ICTVonline=20163929")</f>
        <v>ICTVonline=20163929</v>
      </c>
    </row>
    <row r="3792" spans="1:14" x14ac:dyDescent="0.15">
      <c r="A3792" s="3">
        <v>3791</v>
      </c>
      <c r="B3792" s="1" t="s">
        <v>926</v>
      </c>
      <c r="C3792" s="1" t="s">
        <v>492</v>
      </c>
      <c r="E3792" s="1" t="s">
        <v>601</v>
      </c>
      <c r="F3792" s="1" t="s">
        <v>396</v>
      </c>
      <c r="G3792" s="3">
        <v>0</v>
      </c>
      <c r="J3792" s="20" t="s">
        <v>3160</v>
      </c>
      <c r="K3792" s="20" t="s">
        <v>10013</v>
      </c>
      <c r="L3792" s="3">
        <v>24</v>
      </c>
      <c r="M3792" s="3" t="s">
        <v>10370</v>
      </c>
      <c r="N3792" s="3" t="str">
        <f>HYPERLINK("http://ictvonline.org/taxonomyHistory.asp?taxnode_id=20163930","ICTVonline=20163930")</f>
        <v>ICTVonline=20163930</v>
      </c>
    </row>
    <row r="3793" spans="1:14" x14ac:dyDescent="0.15">
      <c r="A3793" s="3">
        <v>3792</v>
      </c>
      <c r="B3793" s="1" t="s">
        <v>926</v>
      </c>
      <c r="C3793" s="1" t="s">
        <v>492</v>
      </c>
      <c r="E3793" s="1" t="s">
        <v>601</v>
      </c>
      <c r="F3793" s="1" t="s">
        <v>397</v>
      </c>
      <c r="G3793" s="3">
        <v>0</v>
      </c>
      <c r="J3793" s="20" t="s">
        <v>3160</v>
      </c>
      <c r="K3793" s="20" t="s">
        <v>10013</v>
      </c>
      <c r="L3793" s="3">
        <v>18</v>
      </c>
      <c r="M3793" s="3" t="s">
        <v>10101</v>
      </c>
      <c r="N3793" s="3" t="str">
        <f>HYPERLINK("http://ictvonline.org/taxonomyHistory.asp?taxnode_id=20163932","ICTVonline=20163932")</f>
        <v>ICTVonline=20163932</v>
      </c>
    </row>
    <row r="3794" spans="1:14" x14ac:dyDescent="0.15">
      <c r="A3794" s="3">
        <v>3793</v>
      </c>
      <c r="B3794" s="1" t="s">
        <v>926</v>
      </c>
      <c r="C3794" s="1" t="s">
        <v>492</v>
      </c>
      <c r="E3794" s="1" t="s">
        <v>601</v>
      </c>
      <c r="F3794" s="1" t="s">
        <v>398</v>
      </c>
      <c r="G3794" s="3">
        <v>0</v>
      </c>
      <c r="J3794" s="20" t="s">
        <v>3160</v>
      </c>
      <c r="K3794" s="20" t="s">
        <v>10013</v>
      </c>
      <c r="L3794" s="3">
        <v>24</v>
      </c>
      <c r="M3794" s="3" t="s">
        <v>10370</v>
      </c>
      <c r="N3794" s="3" t="str">
        <f>HYPERLINK("http://ictvonline.org/taxonomyHistory.asp?taxnode_id=20163933","ICTVonline=20163933")</f>
        <v>ICTVonline=20163933</v>
      </c>
    </row>
    <row r="3795" spans="1:14" x14ac:dyDescent="0.15">
      <c r="A3795" s="3">
        <v>3794</v>
      </c>
      <c r="B3795" s="1" t="s">
        <v>926</v>
      </c>
      <c r="C3795" s="1" t="s">
        <v>492</v>
      </c>
      <c r="E3795" s="1" t="s">
        <v>601</v>
      </c>
      <c r="F3795" s="1" t="s">
        <v>399</v>
      </c>
      <c r="G3795" s="3">
        <v>0</v>
      </c>
      <c r="J3795" s="20" t="s">
        <v>3160</v>
      </c>
      <c r="K3795" s="20" t="s">
        <v>10016</v>
      </c>
      <c r="L3795" s="3">
        <v>13</v>
      </c>
      <c r="M3795" s="3" t="s">
        <v>10225</v>
      </c>
      <c r="N3795" s="3" t="str">
        <f>HYPERLINK("http://ictvonline.org/taxonomyHistory.asp?taxnode_id=20163934","ICTVonline=20163934")</f>
        <v>ICTVonline=20163934</v>
      </c>
    </row>
    <row r="3796" spans="1:14" x14ac:dyDescent="0.15">
      <c r="A3796" s="3">
        <v>3795</v>
      </c>
      <c r="B3796" s="1" t="s">
        <v>926</v>
      </c>
      <c r="C3796" s="1" t="s">
        <v>492</v>
      </c>
      <c r="E3796" s="1" t="s">
        <v>601</v>
      </c>
      <c r="F3796" s="1" t="s">
        <v>400</v>
      </c>
      <c r="G3796" s="3">
        <v>0</v>
      </c>
      <c r="J3796" s="20" t="s">
        <v>3160</v>
      </c>
      <c r="K3796" s="20" t="s">
        <v>10013</v>
      </c>
      <c r="L3796" s="3">
        <v>23</v>
      </c>
      <c r="M3796" s="3" t="s">
        <v>10229</v>
      </c>
      <c r="N3796" s="3" t="str">
        <f>HYPERLINK("http://ictvonline.org/taxonomyHistory.asp?taxnode_id=20163935","ICTVonline=20163935")</f>
        <v>ICTVonline=20163935</v>
      </c>
    </row>
    <row r="3797" spans="1:14" x14ac:dyDescent="0.15">
      <c r="A3797" s="3">
        <v>3796</v>
      </c>
      <c r="B3797" s="1" t="s">
        <v>926</v>
      </c>
      <c r="C3797" s="1" t="s">
        <v>492</v>
      </c>
      <c r="E3797" s="1" t="s">
        <v>601</v>
      </c>
      <c r="F3797" s="1" t="s">
        <v>401</v>
      </c>
      <c r="G3797" s="3">
        <v>0</v>
      </c>
      <c r="H3797" s="20" t="s">
        <v>6022</v>
      </c>
      <c r="I3797" s="20" t="s">
        <v>6023</v>
      </c>
      <c r="J3797" s="20" t="s">
        <v>3160</v>
      </c>
      <c r="K3797" s="20" t="s">
        <v>10216</v>
      </c>
      <c r="L3797" s="3">
        <v>18</v>
      </c>
      <c r="M3797" s="3" t="s">
        <v>10101</v>
      </c>
      <c r="N3797" s="3" t="str">
        <f>HYPERLINK("http://ictvonline.org/taxonomyHistory.asp?taxnode_id=20163936","ICTVonline=20163936")</f>
        <v>ICTVonline=20163936</v>
      </c>
    </row>
    <row r="3798" spans="1:14" x14ac:dyDescent="0.15">
      <c r="A3798" s="3">
        <v>3797</v>
      </c>
      <c r="B3798" s="1" t="s">
        <v>926</v>
      </c>
      <c r="C3798" s="1" t="s">
        <v>492</v>
      </c>
      <c r="E3798" s="1" t="s">
        <v>601</v>
      </c>
      <c r="F3798" s="1" t="s">
        <v>2221</v>
      </c>
      <c r="G3798" s="3">
        <v>0</v>
      </c>
      <c r="J3798" s="20" t="s">
        <v>3160</v>
      </c>
      <c r="K3798" s="20" t="s">
        <v>10013</v>
      </c>
      <c r="L3798" s="3">
        <v>25</v>
      </c>
      <c r="M3798" s="3" t="s">
        <v>10371</v>
      </c>
      <c r="N3798" s="3" t="str">
        <f>HYPERLINK("http://ictvonline.org/taxonomyHistory.asp?taxnode_id=20163937","ICTVonline=20163937")</f>
        <v>ICTVonline=20163937</v>
      </c>
    </row>
    <row r="3799" spans="1:14" x14ac:dyDescent="0.15">
      <c r="A3799" s="3">
        <v>3798</v>
      </c>
      <c r="B3799" s="1" t="s">
        <v>926</v>
      </c>
      <c r="C3799" s="1" t="s">
        <v>492</v>
      </c>
      <c r="E3799" s="1" t="s">
        <v>601</v>
      </c>
      <c r="F3799" s="1" t="s">
        <v>2222</v>
      </c>
      <c r="G3799" s="3">
        <v>0</v>
      </c>
      <c r="J3799" s="20" t="s">
        <v>3160</v>
      </c>
      <c r="K3799" s="20" t="s">
        <v>10013</v>
      </c>
      <c r="L3799" s="3">
        <v>25</v>
      </c>
      <c r="M3799" s="3" t="s">
        <v>10371</v>
      </c>
      <c r="N3799" s="3" t="str">
        <f>HYPERLINK("http://ictvonline.org/taxonomyHistory.asp?taxnode_id=20163938","ICTVonline=20163938")</f>
        <v>ICTVonline=20163938</v>
      </c>
    </row>
    <row r="3800" spans="1:14" x14ac:dyDescent="0.15">
      <c r="A3800" s="3">
        <v>3799</v>
      </c>
      <c r="B3800" s="1" t="s">
        <v>926</v>
      </c>
      <c r="C3800" s="1" t="s">
        <v>492</v>
      </c>
      <c r="E3800" s="1" t="s">
        <v>601</v>
      </c>
      <c r="F3800" s="1" t="s">
        <v>6024</v>
      </c>
      <c r="G3800" s="3">
        <v>0</v>
      </c>
      <c r="H3800" s="20" t="s">
        <v>7062</v>
      </c>
      <c r="I3800" s="20" t="s">
        <v>6025</v>
      </c>
      <c r="J3800" s="20" t="s">
        <v>3160</v>
      </c>
      <c r="K3800" s="20" t="s">
        <v>10013</v>
      </c>
      <c r="L3800" s="3">
        <v>30</v>
      </c>
      <c r="M3800" s="3" t="s">
        <v>10366</v>
      </c>
      <c r="N3800" s="3" t="str">
        <f>HYPERLINK("http://ictvonline.org/taxonomyHistory.asp?taxnode_id=20163939","ICTVonline=20163939")</f>
        <v>ICTVonline=20163939</v>
      </c>
    </row>
    <row r="3801" spans="1:14" x14ac:dyDescent="0.15">
      <c r="A3801" s="3">
        <v>3800</v>
      </c>
      <c r="B3801" s="1" t="s">
        <v>926</v>
      </c>
      <c r="C3801" s="1" t="s">
        <v>492</v>
      </c>
      <c r="E3801" s="1" t="s">
        <v>601</v>
      </c>
      <c r="F3801" s="1" t="s">
        <v>2811</v>
      </c>
      <c r="G3801" s="3">
        <v>0</v>
      </c>
      <c r="H3801" s="20" t="s">
        <v>3202</v>
      </c>
      <c r="I3801" s="20" t="s">
        <v>6026</v>
      </c>
      <c r="J3801" s="20" t="s">
        <v>3160</v>
      </c>
      <c r="K3801" s="20" t="s">
        <v>10013</v>
      </c>
      <c r="L3801" s="3">
        <v>29</v>
      </c>
      <c r="M3801" s="3" t="s">
        <v>10372</v>
      </c>
      <c r="N3801" s="3" t="str">
        <f>HYPERLINK("http://ictvonline.org/taxonomyHistory.asp?taxnode_id=20163940","ICTVonline=20163940")</f>
        <v>ICTVonline=20163940</v>
      </c>
    </row>
    <row r="3802" spans="1:14" x14ac:dyDescent="0.15">
      <c r="A3802" s="3">
        <v>3801</v>
      </c>
      <c r="B3802" s="1" t="s">
        <v>926</v>
      </c>
      <c r="C3802" s="1" t="s">
        <v>492</v>
      </c>
      <c r="E3802" s="1" t="s">
        <v>601</v>
      </c>
      <c r="F3802" s="1" t="s">
        <v>402</v>
      </c>
      <c r="G3802" s="3">
        <v>0</v>
      </c>
      <c r="J3802" s="20" t="s">
        <v>3160</v>
      </c>
      <c r="K3802" s="20" t="s">
        <v>10013</v>
      </c>
      <c r="L3802" s="3">
        <v>23</v>
      </c>
      <c r="M3802" s="3" t="s">
        <v>10229</v>
      </c>
      <c r="N3802" s="3" t="str">
        <f>HYPERLINK("http://ictvonline.org/taxonomyHistory.asp?taxnode_id=20163941","ICTVonline=20163941")</f>
        <v>ICTVonline=20163941</v>
      </c>
    </row>
    <row r="3803" spans="1:14" x14ac:dyDescent="0.15">
      <c r="A3803" s="3">
        <v>3802</v>
      </c>
      <c r="B3803" s="1" t="s">
        <v>926</v>
      </c>
      <c r="C3803" s="1" t="s">
        <v>492</v>
      </c>
      <c r="E3803" s="1" t="s">
        <v>601</v>
      </c>
      <c r="F3803" s="1" t="s">
        <v>403</v>
      </c>
      <c r="G3803" s="3">
        <v>0</v>
      </c>
      <c r="H3803" s="20" t="s">
        <v>6027</v>
      </c>
      <c r="I3803" s="20" t="s">
        <v>5988</v>
      </c>
      <c r="J3803" s="20" t="s">
        <v>3160</v>
      </c>
      <c r="K3803" s="20" t="s">
        <v>10021</v>
      </c>
      <c r="L3803" s="3">
        <v>18</v>
      </c>
      <c r="M3803" s="3" t="s">
        <v>10101</v>
      </c>
      <c r="N3803" s="3" t="str">
        <f>HYPERLINK("http://ictvonline.org/taxonomyHistory.asp?taxnode_id=20163942","ICTVonline=20163942")</f>
        <v>ICTVonline=20163942</v>
      </c>
    </row>
    <row r="3804" spans="1:14" x14ac:dyDescent="0.15">
      <c r="A3804" s="3">
        <v>3803</v>
      </c>
      <c r="B3804" s="1" t="s">
        <v>926</v>
      </c>
      <c r="C3804" s="1" t="s">
        <v>492</v>
      </c>
      <c r="E3804" s="1" t="s">
        <v>601</v>
      </c>
      <c r="F3804" s="1" t="s">
        <v>1535</v>
      </c>
      <c r="G3804" s="3">
        <v>0</v>
      </c>
      <c r="H3804" s="20" t="s">
        <v>6028</v>
      </c>
      <c r="I3804" s="20" t="s">
        <v>4835</v>
      </c>
      <c r="J3804" s="20" t="s">
        <v>3160</v>
      </c>
      <c r="K3804" s="20" t="s">
        <v>10013</v>
      </c>
      <c r="L3804" s="3">
        <v>18</v>
      </c>
      <c r="M3804" s="3" t="s">
        <v>10101</v>
      </c>
      <c r="N3804" s="3" t="str">
        <f>HYPERLINK("http://ictvonline.org/taxonomyHistory.asp?taxnode_id=20163943","ICTVonline=20163943")</f>
        <v>ICTVonline=20163943</v>
      </c>
    </row>
    <row r="3805" spans="1:14" x14ac:dyDescent="0.15">
      <c r="A3805" s="3">
        <v>3804</v>
      </c>
      <c r="B3805" s="1" t="s">
        <v>926</v>
      </c>
      <c r="C3805" s="1" t="s">
        <v>492</v>
      </c>
      <c r="E3805" s="1" t="s">
        <v>601</v>
      </c>
      <c r="F3805" s="1" t="s">
        <v>2223</v>
      </c>
      <c r="G3805" s="3">
        <v>0</v>
      </c>
      <c r="H3805" s="20" t="s">
        <v>6029</v>
      </c>
      <c r="I3805" s="20" t="s">
        <v>6030</v>
      </c>
      <c r="J3805" s="20" t="s">
        <v>3160</v>
      </c>
      <c r="K3805" s="20" t="s">
        <v>10013</v>
      </c>
      <c r="L3805" s="3">
        <v>25</v>
      </c>
      <c r="M3805" s="3" t="s">
        <v>10371</v>
      </c>
      <c r="N3805" s="3" t="str">
        <f>HYPERLINK("http://ictvonline.org/taxonomyHistory.asp?taxnode_id=20163944","ICTVonline=20163944")</f>
        <v>ICTVonline=20163944</v>
      </c>
    </row>
    <row r="3806" spans="1:14" x14ac:dyDescent="0.15">
      <c r="A3806" s="3">
        <v>3805</v>
      </c>
      <c r="B3806" s="1" t="s">
        <v>926</v>
      </c>
      <c r="C3806" s="1" t="s">
        <v>492</v>
      </c>
      <c r="E3806" s="1" t="s">
        <v>601</v>
      </c>
      <c r="F3806" s="1" t="s">
        <v>1536</v>
      </c>
      <c r="G3806" s="3">
        <v>0</v>
      </c>
      <c r="H3806" s="20" t="s">
        <v>6031</v>
      </c>
      <c r="I3806" s="20" t="s">
        <v>6032</v>
      </c>
      <c r="J3806" s="20" t="s">
        <v>3160</v>
      </c>
      <c r="K3806" s="20" t="s">
        <v>10016</v>
      </c>
      <c r="L3806" s="3">
        <v>13</v>
      </c>
      <c r="M3806" s="3" t="s">
        <v>10225</v>
      </c>
      <c r="N3806" s="3" t="str">
        <f>HYPERLINK("http://ictvonline.org/taxonomyHistory.asp?taxnode_id=20163945","ICTVonline=20163945")</f>
        <v>ICTVonline=20163945</v>
      </c>
    </row>
    <row r="3807" spans="1:14" x14ac:dyDescent="0.15">
      <c r="A3807" s="3">
        <v>3806</v>
      </c>
      <c r="B3807" s="1" t="s">
        <v>926</v>
      </c>
      <c r="C3807" s="1" t="s">
        <v>492</v>
      </c>
      <c r="E3807" s="1" t="s">
        <v>601</v>
      </c>
      <c r="F3807" s="1" t="s">
        <v>1537</v>
      </c>
      <c r="G3807" s="3">
        <v>0</v>
      </c>
      <c r="H3807" s="20" t="s">
        <v>6033</v>
      </c>
      <c r="I3807" s="20" t="s">
        <v>4673</v>
      </c>
      <c r="J3807" s="20" t="s">
        <v>3160</v>
      </c>
      <c r="K3807" s="20" t="s">
        <v>10013</v>
      </c>
      <c r="L3807" s="3">
        <v>23</v>
      </c>
      <c r="M3807" s="3" t="s">
        <v>10229</v>
      </c>
      <c r="N3807" s="3" t="str">
        <f>HYPERLINK("http://ictvonline.org/taxonomyHistory.asp?taxnode_id=20163946","ICTVonline=20163946")</f>
        <v>ICTVonline=20163946</v>
      </c>
    </row>
    <row r="3808" spans="1:14" x14ac:dyDescent="0.15">
      <c r="A3808" s="3">
        <v>3807</v>
      </c>
      <c r="B3808" s="1" t="s">
        <v>926</v>
      </c>
      <c r="C3808" s="1" t="s">
        <v>492</v>
      </c>
      <c r="E3808" s="1" t="s">
        <v>601</v>
      </c>
      <c r="F3808" s="1" t="s">
        <v>1538</v>
      </c>
      <c r="G3808" s="3">
        <v>0</v>
      </c>
      <c r="H3808" s="20" t="s">
        <v>6034</v>
      </c>
      <c r="I3808" s="20" t="s">
        <v>6035</v>
      </c>
      <c r="J3808" s="20" t="s">
        <v>3160</v>
      </c>
      <c r="K3808" s="20" t="s">
        <v>10016</v>
      </c>
      <c r="L3808" s="3">
        <v>13</v>
      </c>
      <c r="M3808" s="3" t="s">
        <v>10225</v>
      </c>
      <c r="N3808" s="3" t="str">
        <f>HYPERLINK("http://ictvonline.org/taxonomyHistory.asp?taxnode_id=20163947","ICTVonline=20163947")</f>
        <v>ICTVonline=20163947</v>
      </c>
    </row>
    <row r="3809" spans="1:14" x14ac:dyDescent="0.15">
      <c r="A3809" s="3">
        <v>3808</v>
      </c>
      <c r="B3809" s="1" t="s">
        <v>926</v>
      </c>
      <c r="C3809" s="1" t="s">
        <v>492</v>
      </c>
      <c r="E3809" s="1" t="s">
        <v>601</v>
      </c>
      <c r="F3809" s="1" t="s">
        <v>200</v>
      </c>
      <c r="G3809" s="3">
        <v>0</v>
      </c>
      <c r="H3809" s="20" t="s">
        <v>6036</v>
      </c>
      <c r="I3809" s="20" t="s">
        <v>6037</v>
      </c>
      <c r="J3809" s="20" t="s">
        <v>3160</v>
      </c>
      <c r="K3809" s="20" t="s">
        <v>10013</v>
      </c>
      <c r="L3809" s="3">
        <v>26</v>
      </c>
      <c r="M3809" s="3" t="s">
        <v>10377</v>
      </c>
      <c r="N3809" s="3" t="str">
        <f>HYPERLINK("http://ictvonline.org/taxonomyHistory.asp?taxnode_id=20163948","ICTVonline=20163948")</f>
        <v>ICTVonline=20163948</v>
      </c>
    </row>
    <row r="3810" spans="1:14" x14ac:dyDescent="0.15">
      <c r="A3810" s="3">
        <v>3809</v>
      </c>
      <c r="B3810" s="1" t="s">
        <v>926</v>
      </c>
      <c r="C3810" s="1" t="s">
        <v>492</v>
      </c>
      <c r="E3810" s="1" t="s">
        <v>601</v>
      </c>
      <c r="F3810" s="1" t="s">
        <v>1539</v>
      </c>
      <c r="G3810" s="3">
        <v>0</v>
      </c>
      <c r="H3810" s="20" t="s">
        <v>6038</v>
      </c>
      <c r="I3810" s="20" t="s">
        <v>6039</v>
      </c>
      <c r="J3810" s="20" t="s">
        <v>3160</v>
      </c>
      <c r="K3810" s="20" t="s">
        <v>10013</v>
      </c>
      <c r="L3810" s="3">
        <v>24</v>
      </c>
      <c r="M3810" s="3" t="s">
        <v>10370</v>
      </c>
      <c r="N3810" s="3" t="str">
        <f>HYPERLINK("http://ictvonline.org/taxonomyHistory.asp?taxnode_id=20163949","ICTVonline=20163949")</f>
        <v>ICTVonline=20163949</v>
      </c>
    </row>
    <row r="3811" spans="1:14" x14ac:dyDescent="0.15">
      <c r="A3811" s="3">
        <v>3810</v>
      </c>
      <c r="B3811" s="1" t="s">
        <v>926</v>
      </c>
      <c r="C3811" s="1" t="s">
        <v>492</v>
      </c>
      <c r="E3811" s="1" t="s">
        <v>601</v>
      </c>
      <c r="F3811" s="1" t="s">
        <v>1540</v>
      </c>
      <c r="G3811" s="3">
        <v>0</v>
      </c>
      <c r="H3811" s="20" t="s">
        <v>6040</v>
      </c>
      <c r="I3811" s="20" t="s">
        <v>6041</v>
      </c>
      <c r="J3811" s="20" t="s">
        <v>3160</v>
      </c>
      <c r="K3811" s="20" t="s">
        <v>10013</v>
      </c>
      <c r="L3811" s="3">
        <v>22</v>
      </c>
      <c r="M3811" s="3" t="s">
        <v>10361</v>
      </c>
      <c r="N3811" s="3" t="str">
        <f>HYPERLINK("http://ictvonline.org/taxonomyHistory.asp?taxnode_id=20163950","ICTVonline=20163950")</f>
        <v>ICTVonline=20163950</v>
      </c>
    </row>
    <row r="3812" spans="1:14" x14ac:dyDescent="0.15">
      <c r="A3812" s="3">
        <v>3811</v>
      </c>
      <c r="B3812" s="1" t="s">
        <v>926</v>
      </c>
      <c r="C3812" s="1" t="s">
        <v>492</v>
      </c>
      <c r="E3812" s="1" t="s">
        <v>601</v>
      </c>
      <c r="F3812" s="1" t="s">
        <v>9719</v>
      </c>
      <c r="G3812" s="3">
        <v>0</v>
      </c>
      <c r="H3812" s="20" t="s">
        <v>9720</v>
      </c>
      <c r="I3812" s="20" t="s">
        <v>9721</v>
      </c>
      <c r="J3812" s="20" t="s">
        <v>3160</v>
      </c>
      <c r="K3812" s="20" t="s">
        <v>10013</v>
      </c>
      <c r="L3812" s="3">
        <v>31</v>
      </c>
      <c r="M3812" s="3" t="s">
        <v>9715</v>
      </c>
      <c r="N3812" s="3" t="str">
        <f>HYPERLINK("http://ictvonline.org/taxonomyHistory.asp?taxnode_id=20165421","ICTVonline=20165421")</f>
        <v>ICTVonline=20165421</v>
      </c>
    </row>
    <row r="3813" spans="1:14" x14ac:dyDescent="0.15">
      <c r="A3813" s="3">
        <v>3812</v>
      </c>
      <c r="B3813" s="1" t="s">
        <v>926</v>
      </c>
      <c r="C3813" s="1" t="s">
        <v>492</v>
      </c>
      <c r="E3813" s="1" t="s">
        <v>601</v>
      </c>
      <c r="F3813" s="1" t="s">
        <v>2812</v>
      </c>
      <c r="G3813" s="3">
        <v>0</v>
      </c>
      <c r="H3813" s="20" t="s">
        <v>3203</v>
      </c>
      <c r="I3813" s="20" t="s">
        <v>6042</v>
      </c>
      <c r="J3813" s="20" t="s">
        <v>3160</v>
      </c>
      <c r="K3813" s="20" t="s">
        <v>10013</v>
      </c>
      <c r="L3813" s="3">
        <v>29</v>
      </c>
      <c r="M3813" s="3" t="s">
        <v>10372</v>
      </c>
      <c r="N3813" s="3" t="str">
        <f>HYPERLINK("http://ictvonline.org/taxonomyHistory.asp?taxnode_id=20163951","ICTVonline=20163951")</f>
        <v>ICTVonline=20163951</v>
      </c>
    </row>
    <row r="3814" spans="1:14" x14ac:dyDescent="0.15">
      <c r="A3814" s="3">
        <v>3813</v>
      </c>
      <c r="B3814" s="1" t="s">
        <v>926</v>
      </c>
      <c r="C3814" s="1" t="s">
        <v>492</v>
      </c>
      <c r="E3814" s="1" t="s">
        <v>601</v>
      </c>
      <c r="F3814" s="1" t="s">
        <v>1648</v>
      </c>
      <c r="G3814" s="3">
        <v>0</v>
      </c>
      <c r="J3814" s="20" t="s">
        <v>3160</v>
      </c>
      <c r="K3814" s="20" t="s">
        <v>10016</v>
      </c>
      <c r="L3814" s="3">
        <v>13</v>
      </c>
      <c r="M3814" s="3" t="s">
        <v>10225</v>
      </c>
      <c r="N3814" s="3" t="str">
        <f>HYPERLINK("http://ictvonline.org/taxonomyHistory.asp?taxnode_id=20163952","ICTVonline=20163952")</f>
        <v>ICTVonline=20163952</v>
      </c>
    </row>
    <row r="3815" spans="1:14" x14ac:dyDescent="0.15">
      <c r="A3815" s="3">
        <v>3814</v>
      </c>
      <c r="B3815" s="1" t="s">
        <v>926</v>
      </c>
      <c r="C3815" s="1" t="s">
        <v>492</v>
      </c>
      <c r="E3815" s="1" t="s">
        <v>601</v>
      </c>
      <c r="F3815" s="1" t="s">
        <v>1649</v>
      </c>
      <c r="G3815" s="3">
        <v>0</v>
      </c>
      <c r="H3815" s="20" t="s">
        <v>6043</v>
      </c>
      <c r="I3815" s="20" t="s">
        <v>6044</v>
      </c>
      <c r="J3815" s="20" t="s">
        <v>3160</v>
      </c>
      <c r="K3815" s="20" t="s">
        <v>10016</v>
      </c>
      <c r="L3815" s="3">
        <v>13</v>
      </c>
      <c r="M3815" s="3" t="s">
        <v>10225</v>
      </c>
      <c r="N3815" s="3" t="str">
        <f>HYPERLINK("http://ictvonline.org/taxonomyHistory.asp?taxnode_id=20163953","ICTVonline=20163953")</f>
        <v>ICTVonline=20163953</v>
      </c>
    </row>
    <row r="3816" spans="1:14" x14ac:dyDescent="0.15">
      <c r="A3816" s="3">
        <v>3815</v>
      </c>
      <c r="B3816" s="1" t="s">
        <v>926</v>
      </c>
      <c r="C3816" s="1" t="s">
        <v>492</v>
      </c>
      <c r="E3816" s="1" t="s">
        <v>1602</v>
      </c>
      <c r="F3816" s="1" t="s">
        <v>1603</v>
      </c>
      <c r="G3816" s="3">
        <v>0</v>
      </c>
      <c r="H3816" s="20" t="s">
        <v>6045</v>
      </c>
      <c r="I3816" s="20" t="s">
        <v>6046</v>
      </c>
      <c r="J3816" s="20" t="s">
        <v>3160</v>
      </c>
      <c r="K3816" s="20" t="s">
        <v>10013</v>
      </c>
      <c r="L3816" s="3">
        <v>13</v>
      </c>
      <c r="M3816" s="3" t="s">
        <v>10225</v>
      </c>
      <c r="N3816" s="3" t="str">
        <f>HYPERLINK("http://ictvonline.org/taxonomyHistory.asp?taxnode_id=20163955","ICTVonline=20163955")</f>
        <v>ICTVonline=20163955</v>
      </c>
    </row>
    <row r="3817" spans="1:14" x14ac:dyDescent="0.15">
      <c r="A3817" s="3">
        <v>3816</v>
      </c>
      <c r="B3817" s="1" t="s">
        <v>926</v>
      </c>
      <c r="C3817" s="1" t="s">
        <v>492</v>
      </c>
      <c r="E3817" s="1" t="s">
        <v>1602</v>
      </c>
      <c r="F3817" s="1" t="s">
        <v>1604</v>
      </c>
      <c r="G3817" s="3">
        <v>0</v>
      </c>
      <c r="H3817" s="20" t="s">
        <v>6047</v>
      </c>
      <c r="I3817" s="20" t="s">
        <v>6048</v>
      </c>
      <c r="J3817" s="20" t="s">
        <v>3160</v>
      </c>
      <c r="K3817" s="20" t="s">
        <v>10013</v>
      </c>
      <c r="L3817" s="3">
        <v>13</v>
      </c>
      <c r="M3817" s="3" t="s">
        <v>10225</v>
      </c>
      <c r="N3817" s="3" t="str">
        <f>HYPERLINK("http://ictvonline.org/taxonomyHistory.asp?taxnode_id=20163956","ICTVonline=20163956")</f>
        <v>ICTVonline=20163956</v>
      </c>
    </row>
    <row r="3818" spans="1:14" x14ac:dyDescent="0.15">
      <c r="A3818" s="3">
        <v>3817</v>
      </c>
      <c r="B3818" s="1" t="s">
        <v>926</v>
      </c>
      <c r="C3818" s="1" t="s">
        <v>492</v>
      </c>
      <c r="E3818" s="1" t="s">
        <v>1602</v>
      </c>
      <c r="F3818" s="1" t="s">
        <v>1605</v>
      </c>
      <c r="G3818" s="3">
        <v>1</v>
      </c>
      <c r="H3818" s="20" t="s">
        <v>6049</v>
      </c>
      <c r="I3818" s="20" t="s">
        <v>4726</v>
      </c>
      <c r="J3818" s="20" t="s">
        <v>3160</v>
      </c>
      <c r="K3818" s="20" t="s">
        <v>10072</v>
      </c>
      <c r="L3818" s="3">
        <v>13</v>
      </c>
      <c r="M3818" s="3" t="s">
        <v>10225</v>
      </c>
      <c r="N3818" s="3" t="str">
        <f>HYPERLINK("http://ictvonline.org/taxonomyHistory.asp?taxnode_id=20163957","ICTVonline=20163957")</f>
        <v>ICTVonline=20163957</v>
      </c>
    </row>
    <row r="3819" spans="1:14" x14ac:dyDescent="0.15">
      <c r="A3819" s="3">
        <v>3818</v>
      </c>
      <c r="B3819" s="1" t="s">
        <v>926</v>
      </c>
      <c r="C3819" s="1" t="s">
        <v>492</v>
      </c>
      <c r="E3819" s="1" t="s">
        <v>1606</v>
      </c>
      <c r="F3819" s="1" t="s">
        <v>1607</v>
      </c>
      <c r="G3819" s="3">
        <v>0</v>
      </c>
      <c r="H3819" s="20" t="s">
        <v>6050</v>
      </c>
      <c r="I3819" s="20" t="s">
        <v>5916</v>
      </c>
      <c r="J3819" s="20" t="s">
        <v>3160</v>
      </c>
      <c r="K3819" s="20" t="s">
        <v>10013</v>
      </c>
      <c r="L3819" s="3">
        <v>17</v>
      </c>
      <c r="M3819" s="3" t="s">
        <v>10208</v>
      </c>
      <c r="N3819" s="3" t="str">
        <f>HYPERLINK("http://ictvonline.org/taxonomyHistory.asp?taxnode_id=20163959","ICTVonline=20163959")</f>
        <v>ICTVonline=20163959</v>
      </c>
    </row>
    <row r="3820" spans="1:14" x14ac:dyDescent="0.15">
      <c r="A3820" s="3">
        <v>3819</v>
      </c>
      <c r="B3820" s="1" t="s">
        <v>926</v>
      </c>
      <c r="C3820" s="1" t="s">
        <v>492</v>
      </c>
      <c r="E3820" s="1" t="s">
        <v>1606</v>
      </c>
      <c r="F3820" s="1" t="s">
        <v>1608</v>
      </c>
      <c r="G3820" s="3">
        <v>0</v>
      </c>
      <c r="H3820" s="20" t="s">
        <v>6051</v>
      </c>
      <c r="I3820" s="20" t="s">
        <v>6052</v>
      </c>
      <c r="J3820" s="20" t="s">
        <v>3160</v>
      </c>
      <c r="K3820" s="20" t="s">
        <v>10016</v>
      </c>
      <c r="L3820" s="3">
        <v>22</v>
      </c>
      <c r="M3820" s="3" t="s">
        <v>10361</v>
      </c>
      <c r="N3820" s="3" t="str">
        <f>HYPERLINK("http://ictvonline.org/taxonomyHistory.asp?taxnode_id=20163960","ICTVonline=20163960")</f>
        <v>ICTVonline=20163960</v>
      </c>
    </row>
    <row r="3821" spans="1:14" x14ac:dyDescent="0.15">
      <c r="A3821" s="3">
        <v>3820</v>
      </c>
      <c r="B3821" s="1" t="s">
        <v>926</v>
      </c>
      <c r="C3821" s="1" t="s">
        <v>492</v>
      </c>
      <c r="E3821" s="1" t="s">
        <v>1606</v>
      </c>
      <c r="F3821" s="1" t="s">
        <v>2813</v>
      </c>
      <c r="G3821" s="3">
        <v>0</v>
      </c>
      <c r="H3821" s="20" t="s">
        <v>3204</v>
      </c>
      <c r="I3821" s="20" t="s">
        <v>6053</v>
      </c>
      <c r="J3821" s="20" t="s">
        <v>3160</v>
      </c>
      <c r="K3821" s="20" t="s">
        <v>10013</v>
      </c>
      <c r="L3821" s="3">
        <v>29</v>
      </c>
      <c r="M3821" s="3" t="s">
        <v>10378</v>
      </c>
      <c r="N3821" s="3" t="str">
        <f>HYPERLINK("http://ictvonline.org/taxonomyHistory.asp?taxnode_id=20163961","ICTVonline=20163961")</f>
        <v>ICTVonline=20163961</v>
      </c>
    </row>
    <row r="3822" spans="1:14" x14ac:dyDescent="0.15">
      <c r="A3822" s="3">
        <v>3821</v>
      </c>
      <c r="B3822" s="1" t="s">
        <v>926</v>
      </c>
      <c r="C3822" s="1" t="s">
        <v>492</v>
      </c>
      <c r="E3822" s="1" t="s">
        <v>1606</v>
      </c>
      <c r="F3822" s="1" t="s">
        <v>2224</v>
      </c>
      <c r="G3822" s="3">
        <v>0</v>
      </c>
      <c r="H3822" s="20" t="s">
        <v>6054</v>
      </c>
      <c r="I3822" s="20" t="s">
        <v>6055</v>
      </c>
      <c r="J3822" s="20" t="s">
        <v>3160</v>
      </c>
      <c r="K3822" s="20" t="s">
        <v>10013</v>
      </c>
      <c r="L3822" s="3">
        <v>25</v>
      </c>
      <c r="M3822" s="3" t="s">
        <v>10371</v>
      </c>
      <c r="N3822" s="3" t="str">
        <f>HYPERLINK("http://ictvonline.org/taxonomyHistory.asp?taxnode_id=20163962","ICTVonline=20163962")</f>
        <v>ICTVonline=20163962</v>
      </c>
    </row>
    <row r="3823" spans="1:14" x14ac:dyDescent="0.15">
      <c r="A3823" s="3">
        <v>3822</v>
      </c>
      <c r="B3823" s="1" t="s">
        <v>926</v>
      </c>
      <c r="C3823" s="1" t="s">
        <v>492</v>
      </c>
      <c r="E3823" s="1" t="s">
        <v>1606</v>
      </c>
      <c r="F3823" s="1" t="s">
        <v>1609</v>
      </c>
      <c r="G3823" s="3">
        <v>1</v>
      </c>
      <c r="H3823" s="20" t="s">
        <v>6056</v>
      </c>
      <c r="I3823" s="20" t="s">
        <v>6057</v>
      </c>
      <c r="J3823" s="20" t="s">
        <v>3160</v>
      </c>
      <c r="K3823" s="20" t="s">
        <v>10076</v>
      </c>
      <c r="L3823" s="3">
        <v>17</v>
      </c>
      <c r="M3823" s="3" t="s">
        <v>10208</v>
      </c>
      <c r="N3823" s="3" t="str">
        <f>HYPERLINK("http://ictvonline.org/taxonomyHistory.asp?taxnode_id=20163963","ICTVonline=20163963")</f>
        <v>ICTVonline=20163963</v>
      </c>
    </row>
    <row r="3824" spans="1:14" x14ac:dyDescent="0.15">
      <c r="A3824" s="3">
        <v>3823</v>
      </c>
      <c r="B3824" s="1" t="s">
        <v>926</v>
      </c>
      <c r="C3824" s="1" t="s">
        <v>492</v>
      </c>
      <c r="E3824" s="1" t="s">
        <v>1606</v>
      </c>
      <c r="F3824" s="1" t="s">
        <v>2360</v>
      </c>
      <c r="G3824" s="3">
        <v>0</v>
      </c>
      <c r="H3824" s="20" t="s">
        <v>6058</v>
      </c>
      <c r="I3824" s="20" t="s">
        <v>6059</v>
      </c>
      <c r="J3824" s="20" t="s">
        <v>3160</v>
      </c>
      <c r="K3824" s="20" t="s">
        <v>10013</v>
      </c>
      <c r="L3824" s="3">
        <v>27</v>
      </c>
      <c r="M3824" s="3" t="s">
        <v>10379</v>
      </c>
      <c r="N3824" s="3" t="str">
        <f>HYPERLINK("http://ictvonline.org/taxonomyHistory.asp?taxnode_id=20163964","ICTVonline=20163964")</f>
        <v>ICTVonline=20163964</v>
      </c>
    </row>
    <row r="3825" spans="1:14" x14ac:dyDescent="0.15">
      <c r="A3825" s="3">
        <v>3824</v>
      </c>
      <c r="B3825" s="1" t="s">
        <v>926</v>
      </c>
      <c r="C3825" s="1" t="s">
        <v>492</v>
      </c>
      <c r="E3825" s="1" t="s">
        <v>926</v>
      </c>
      <c r="F3825" s="1" t="s">
        <v>2699</v>
      </c>
      <c r="G3825" s="3">
        <v>0</v>
      </c>
      <c r="H3825" s="20" t="s">
        <v>6060</v>
      </c>
      <c r="I3825" s="20" t="s">
        <v>6061</v>
      </c>
      <c r="J3825" s="20" t="s">
        <v>3160</v>
      </c>
      <c r="K3825" s="20" t="s">
        <v>10013</v>
      </c>
      <c r="L3825" s="3">
        <v>28</v>
      </c>
      <c r="M3825" s="3" t="s">
        <v>10380</v>
      </c>
      <c r="N3825" s="3" t="str">
        <f>HYPERLINK("http://ictvonline.org/taxonomyHistory.asp?taxnode_id=20163966","ICTVonline=20163966")</f>
        <v>ICTVonline=20163966</v>
      </c>
    </row>
    <row r="3826" spans="1:14" x14ac:dyDescent="0.15">
      <c r="A3826" s="3">
        <v>3825</v>
      </c>
      <c r="B3826" s="1" t="s">
        <v>926</v>
      </c>
      <c r="C3826" s="1" t="s">
        <v>492</v>
      </c>
      <c r="E3826" s="1" t="s">
        <v>926</v>
      </c>
      <c r="F3826" s="1" t="s">
        <v>505</v>
      </c>
      <c r="G3826" s="3">
        <v>0</v>
      </c>
      <c r="J3826" s="20" t="s">
        <v>3160</v>
      </c>
      <c r="K3826" s="20" t="s">
        <v>10013</v>
      </c>
      <c r="L3826" s="3">
        <v>22</v>
      </c>
      <c r="M3826" s="3" t="s">
        <v>10361</v>
      </c>
      <c r="N3826" s="3" t="str">
        <f>HYPERLINK("http://ictvonline.org/taxonomyHistory.asp?taxnode_id=20163967","ICTVonline=20163967")</f>
        <v>ICTVonline=20163967</v>
      </c>
    </row>
    <row r="3827" spans="1:14" x14ac:dyDescent="0.15">
      <c r="A3827" s="3">
        <v>3826</v>
      </c>
      <c r="B3827" s="1" t="s">
        <v>926</v>
      </c>
      <c r="C3827" s="1" t="s">
        <v>2159</v>
      </c>
      <c r="D3827" s="1" t="s">
        <v>2160</v>
      </c>
      <c r="E3827" s="1" t="s">
        <v>2161</v>
      </c>
      <c r="F3827" s="1" t="s">
        <v>510</v>
      </c>
      <c r="G3827" s="3">
        <v>0</v>
      </c>
      <c r="J3827" s="20" t="s">
        <v>2860</v>
      </c>
      <c r="K3827" s="20" t="s">
        <v>10021</v>
      </c>
      <c r="L3827" s="3">
        <v>12</v>
      </c>
      <c r="M3827" s="3" t="s">
        <v>10281</v>
      </c>
      <c r="N3827" s="3" t="str">
        <f>HYPERLINK("http://ictvonline.org/taxonomyHistory.asp?taxnode_id=20163971","ICTVonline=20163971")</f>
        <v>ICTVonline=20163971</v>
      </c>
    </row>
    <row r="3828" spans="1:14" x14ac:dyDescent="0.15">
      <c r="A3828" s="3">
        <v>3827</v>
      </c>
      <c r="B3828" s="1" t="s">
        <v>926</v>
      </c>
      <c r="C3828" s="1" t="s">
        <v>2159</v>
      </c>
      <c r="D3828" s="1" t="s">
        <v>2160</v>
      </c>
      <c r="E3828" s="1" t="s">
        <v>2161</v>
      </c>
      <c r="F3828" s="1" t="s">
        <v>511</v>
      </c>
      <c r="G3828" s="3">
        <v>1</v>
      </c>
      <c r="J3828" s="20" t="s">
        <v>2860</v>
      </c>
      <c r="K3828" s="20" t="s">
        <v>10016</v>
      </c>
      <c r="L3828" s="3">
        <v>5</v>
      </c>
      <c r="M3828" s="3" t="s">
        <v>10381</v>
      </c>
      <c r="N3828" s="3" t="str">
        <f>HYPERLINK("http://ictvonline.org/taxonomyHistory.asp?taxnode_id=20163972","ICTVonline=20163972")</f>
        <v>ICTVonline=20163972</v>
      </c>
    </row>
    <row r="3829" spans="1:14" x14ac:dyDescent="0.15">
      <c r="A3829" s="3">
        <v>3828</v>
      </c>
      <c r="B3829" s="1" t="s">
        <v>926</v>
      </c>
      <c r="C3829" s="1" t="s">
        <v>2159</v>
      </c>
      <c r="D3829" s="1" t="s">
        <v>2160</v>
      </c>
      <c r="E3829" s="1" t="s">
        <v>2161</v>
      </c>
      <c r="F3829" s="1" t="s">
        <v>512</v>
      </c>
      <c r="G3829" s="3">
        <v>0</v>
      </c>
      <c r="J3829" s="20" t="s">
        <v>2860</v>
      </c>
      <c r="K3829" s="20" t="s">
        <v>10021</v>
      </c>
      <c r="L3829" s="3">
        <v>12</v>
      </c>
      <c r="M3829" s="3" t="s">
        <v>10281</v>
      </c>
      <c r="N3829" s="3" t="str">
        <f>HYPERLINK("http://ictvonline.org/taxonomyHistory.asp?taxnode_id=20163973","ICTVonline=20163973")</f>
        <v>ICTVonline=20163973</v>
      </c>
    </row>
    <row r="3830" spans="1:14" x14ac:dyDescent="0.15">
      <c r="A3830" s="3">
        <v>3829</v>
      </c>
      <c r="B3830" s="1" t="s">
        <v>926</v>
      </c>
      <c r="C3830" s="1" t="s">
        <v>2159</v>
      </c>
      <c r="D3830" s="1" t="s">
        <v>2160</v>
      </c>
      <c r="E3830" s="1" t="s">
        <v>2161</v>
      </c>
      <c r="F3830" s="1" t="s">
        <v>513</v>
      </c>
      <c r="G3830" s="3">
        <v>0</v>
      </c>
      <c r="J3830" s="20" t="s">
        <v>2860</v>
      </c>
      <c r="K3830" s="20" t="s">
        <v>10013</v>
      </c>
      <c r="L3830" s="3">
        <v>14</v>
      </c>
      <c r="M3830" s="3" t="s">
        <v>10234</v>
      </c>
      <c r="N3830" s="3" t="str">
        <f>HYPERLINK("http://ictvonline.org/taxonomyHistory.asp?taxnode_id=20163974","ICTVonline=20163974")</f>
        <v>ICTVonline=20163974</v>
      </c>
    </row>
    <row r="3831" spans="1:14" x14ac:dyDescent="0.15">
      <c r="A3831" s="3">
        <v>3830</v>
      </c>
      <c r="B3831" s="1" t="s">
        <v>926</v>
      </c>
      <c r="C3831" s="1" t="s">
        <v>2159</v>
      </c>
      <c r="D3831" s="1" t="s">
        <v>2160</v>
      </c>
      <c r="E3831" s="1" t="s">
        <v>2161</v>
      </c>
      <c r="F3831" s="1" t="s">
        <v>514</v>
      </c>
      <c r="G3831" s="3">
        <v>0</v>
      </c>
      <c r="J3831" s="20" t="s">
        <v>2860</v>
      </c>
      <c r="K3831" s="20" t="s">
        <v>10021</v>
      </c>
      <c r="L3831" s="3">
        <v>12</v>
      </c>
      <c r="M3831" s="3" t="s">
        <v>10281</v>
      </c>
      <c r="N3831" s="3" t="str">
        <f>HYPERLINK("http://ictvonline.org/taxonomyHistory.asp?taxnode_id=20163975","ICTVonline=20163975")</f>
        <v>ICTVonline=20163975</v>
      </c>
    </row>
    <row r="3832" spans="1:14" x14ac:dyDescent="0.15">
      <c r="A3832" s="3">
        <v>3831</v>
      </c>
      <c r="B3832" s="1" t="s">
        <v>926</v>
      </c>
      <c r="C3832" s="1" t="s">
        <v>2159</v>
      </c>
      <c r="D3832" s="1" t="s">
        <v>2160</v>
      </c>
      <c r="E3832" s="1" t="s">
        <v>2161</v>
      </c>
      <c r="F3832" s="1" t="s">
        <v>515</v>
      </c>
      <c r="G3832" s="3">
        <v>0</v>
      </c>
      <c r="J3832" s="20" t="s">
        <v>2860</v>
      </c>
      <c r="K3832" s="20" t="s">
        <v>10013</v>
      </c>
      <c r="L3832" s="3">
        <v>12</v>
      </c>
      <c r="M3832" s="3" t="s">
        <v>10281</v>
      </c>
      <c r="N3832" s="3" t="str">
        <f>HYPERLINK("http://ictvonline.org/taxonomyHistory.asp?taxnode_id=20163976","ICTVonline=20163976")</f>
        <v>ICTVonline=20163976</v>
      </c>
    </row>
    <row r="3833" spans="1:14" x14ac:dyDescent="0.15">
      <c r="A3833" s="3">
        <v>3832</v>
      </c>
      <c r="B3833" s="1" t="s">
        <v>926</v>
      </c>
      <c r="C3833" s="1" t="s">
        <v>2159</v>
      </c>
      <c r="D3833" s="1" t="s">
        <v>2160</v>
      </c>
      <c r="E3833" s="1" t="s">
        <v>2161</v>
      </c>
      <c r="F3833" s="1" t="s">
        <v>516</v>
      </c>
      <c r="G3833" s="3">
        <v>0</v>
      </c>
      <c r="J3833" s="20" t="s">
        <v>2860</v>
      </c>
      <c r="K3833" s="20" t="s">
        <v>10021</v>
      </c>
      <c r="L3833" s="3">
        <v>12</v>
      </c>
      <c r="M3833" s="3" t="s">
        <v>10281</v>
      </c>
      <c r="N3833" s="3" t="str">
        <f>HYPERLINK("http://ictvonline.org/taxonomyHistory.asp?taxnode_id=20163977","ICTVonline=20163977")</f>
        <v>ICTVonline=20163977</v>
      </c>
    </row>
    <row r="3834" spans="1:14" x14ac:dyDescent="0.15">
      <c r="A3834" s="3">
        <v>3833</v>
      </c>
      <c r="B3834" s="1" t="s">
        <v>926</v>
      </c>
      <c r="C3834" s="1" t="s">
        <v>2159</v>
      </c>
      <c r="D3834" s="1" t="s">
        <v>2160</v>
      </c>
      <c r="E3834" s="1" t="s">
        <v>2161</v>
      </c>
      <c r="F3834" s="1" t="s">
        <v>517</v>
      </c>
      <c r="G3834" s="3">
        <v>0</v>
      </c>
      <c r="J3834" s="20" t="s">
        <v>2860</v>
      </c>
      <c r="K3834" s="20" t="s">
        <v>10021</v>
      </c>
      <c r="L3834" s="3">
        <v>12</v>
      </c>
      <c r="M3834" s="3" t="s">
        <v>10281</v>
      </c>
      <c r="N3834" s="3" t="str">
        <f>HYPERLINK("http://ictvonline.org/taxonomyHistory.asp?taxnode_id=20163978","ICTVonline=20163978")</f>
        <v>ICTVonline=20163978</v>
      </c>
    </row>
    <row r="3835" spans="1:14" x14ac:dyDescent="0.15">
      <c r="A3835" s="3">
        <v>3834</v>
      </c>
      <c r="B3835" s="1" t="s">
        <v>926</v>
      </c>
      <c r="C3835" s="1" t="s">
        <v>2159</v>
      </c>
      <c r="D3835" s="1" t="s">
        <v>2160</v>
      </c>
      <c r="E3835" s="1" t="s">
        <v>2161</v>
      </c>
      <c r="F3835" s="1" t="s">
        <v>518</v>
      </c>
      <c r="G3835" s="3">
        <v>0</v>
      </c>
      <c r="J3835" s="20" t="s">
        <v>2860</v>
      </c>
      <c r="K3835" s="20" t="s">
        <v>10021</v>
      </c>
      <c r="L3835" s="3">
        <v>12</v>
      </c>
      <c r="M3835" s="3" t="s">
        <v>10281</v>
      </c>
      <c r="N3835" s="3" t="str">
        <f>HYPERLINK("http://ictvonline.org/taxonomyHistory.asp?taxnode_id=20163979","ICTVonline=20163979")</f>
        <v>ICTVonline=20163979</v>
      </c>
    </row>
    <row r="3836" spans="1:14" x14ac:dyDescent="0.15">
      <c r="A3836" s="3">
        <v>3835</v>
      </c>
      <c r="B3836" s="1" t="s">
        <v>926</v>
      </c>
      <c r="C3836" s="1" t="s">
        <v>2159</v>
      </c>
      <c r="D3836" s="1" t="s">
        <v>2160</v>
      </c>
      <c r="E3836" s="1" t="s">
        <v>2161</v>
      </c>
      <c r="F3836" s="1" t="s">
        <v>519</v>
      </c>
      <c r="G3836" s="3">
        <v>0</v>
      </c>
      <c r="J3836" s="20" t="s">
        <v>2860</v>
      </c>
      <c r="K3836" s="20" t="s">
        <v>10021</v>
      </c>
      <c r="L3836" s="3">
        <v>12</v>
      </c>
      <c r="M3836" s="3" t="s">
        <v>10281</v>
      </c>
      <c r="N3836" s="3" t="str">
        <f>HYPERLINK("http://ictvonline.org/taxonomyHistory.asp?taxnode_id=20163980","ICTVonline=20163980")</f>
        <v>ICTVonline=20163980</v>
      </c>
    </row>
    <row r="3837" spans="1:14" x14ac:dyDescent="0.15">
      <c r="A3837" s="3">
        <v>3836</v>
      </c>
      <c r="B3837" s="1" t="s">
        <v>926</v>
      </c>
      <c r="C3837" s="1" t="s">
        <v>2159</v>
      </c>
      <c r="D3837" s="1" t="s">
        <v>2160</v>
      </c>
      <c r="E3837" s="1" t="s">
        <v>520</v>
      </c>
      <c r="F3837" s="1" t="s">
        <v>1617</v>
      </c>
      <c r="G3837" s="3">
        <v>0</v>
      </c>
      <c r="J3837" s="20" t="s">
        <v>2860</v>
      </c>
      <c r="K3837" s="20" t="s">
        <v>10021</v>
      </c>
      <c r="L3837" s="3">
        <v>12</v>
      </c>
      <c r="M3837" s="3" t="s">
        <v>10281</v>
      </c>
      <c r="N3837" s="3" t="str">
        <f>HYPERLINK("http://ictvonline.org/taxonomyHistory.asp?taxnode_id=20163982","ICTVonline=20163982")</f>
        <v>ICTVonline=20163982</v>
      </c>
    </row>
    <row r="3838" spans="1:14" x14ac:dyDescent="0.15">
      <c r="A3838" s="3">
        <v>3837</v>
      </c>
      <c r="B3838" s="1" t="s">
        <v>926</v>
      </c>
      <c r="C3838" s="1" t="s">
        <v>2159</v>
      </c>
      <c r="D3838" s="1" t="s">
        <v>2160</v>
      </c>
      <c r="E3838" s="1" t="s">
        <v>520</v>
      </c>
      <c r="F3838" s="1" t="s">
        <v>1618</v>
      </c>
      <c r="G3838" s="3">
        <v>0</v>
      </c>
      <c r="J3838" s="20" t="s">
        <v>2860</v>
      </c>
      <c r="K3838" s="20" t="s">
        <v>10016</v>
      </c>
      <c r="L3838" s="3">
        <v>5</v>
      </c>
      <c r="M3838" s="3" t="s">
        <v>10381</v>
      </c>
      <c r="N3838" s="3" t="str">
        <f>HYPERLINK("http://ictvonline.org/taxonomyHistory.asp?taxnode_id=20163983","ICTVonline=20163983")</f>
        <v>ICTVonline=20163983</v>
      </c>
    </row>
    <row r="3839" spans="1:14" x14ac:dyDescent="0.15">
      <c r="A3839" s="3">
        <v>3838</v>
      </c>
      <c r="B3839" s="1" t="s">
        <v>926</v>
      </c>
      <c r="C3839" s="1" t="s">
        <v>2159</v>
      </c>
      <c r="D3839" s="1" t="s">
        <v>2160</v>
      </c>
      <c r="E3839" s="1" t="s">
        <v>520</v>
      </c>
      <c r="F3839" s="1" t="s">
        <v>1619</v>
      </c>
      <c r="G3839" s="3">
        <v>1</v>
      </c>
      <c r="J3839" s="20" t="s">
        <v>2860</v>
      </c>
      <c r="K3839" s="20" t="s">
        <v>10021</v>
      </c>
      <c r="L3839" s="3">
        <v>12</v>
      </c>
      <c r="M3839" s="3" t="s">
        <v>10281</v>
      </c>
      <c r="N3839" s="3" t="str">
        <f>HYPERLINK("http://ictvonline.org/taxonomyHistory.asp?taxnode_id=20163984","ICTVonline=20163984")</f>
        <v>ICTVonline=20163984</v>
      </c>
    </row>
    <row r="3840" spans="1:14" x14ac:dyDescent="0.15">
      <c r="A3840" s="3">
        <v>3839</v>
      </c>
      <c r="B3840" s="1" t="s">
        <v>926</v>
      </c>
      <c r="C3840" s="1" t="s">
        <v>2159</v>
      </c>
      <c r="D3840" s="1" t="s">
        <v>2160</v>
      </c>
      <c r="E3840" s="1" t="s">
        <v>9722</v>
      </c>
      <c r="F3840" s="1" t="s">
        <v>9723</v>
      </c>
      <c r="G3840" s="3">
        <v>1</v>
      </c>
      <c r="H3840" s="20" t="s">
        <v>9724</v>
      </c>
      <c r="I3840" s="20" t="s">
        <v>9723</v>
      </c>
      <c r="J3840" s="20" t="s">
        <v>2860</v>
      </c>
      <c r="K3840" s="20" t="s">
        <v>10013</v>
      </c>
      <c r="L3840" s="3">
        <v>31</v>
      </c>
      <c r="M3840" s="3" t="s">
        <v>9725</v>
      </c>
      <c r="N3840" s="3" t="str">
        <f>HYPERLINK("http://ictvonline.org/taxonomyHistory.asp?taxnode_id=20165422","ICTVonline=20165422")</f>
        <v>ICTVonline=20165422</v>
      </c>
    </row>
    <row r="3841" spans="1:14" x14ac:dyDescent="0.15">
      <c r="A3841" s="3">
        <v>3840</v>
      </c>
      <c r="B3841" s="1" t="s">
        <v>926</v>
      </c>
      <c r="C3841" s="1" t="s">
        <v>2159</v>
      </c>
      <c r="D3841" s="1" t="s">
        <v>2160</v>
      </c>
      <c r="E3841" s="1" t="s">
        <v>1620</v>
      </c>
      <c r="F3841" s="1" t="s">
        <v>201</v>
      </c>
      <c r="G3841" s="3">
        <v>1</v>
      </c>
      <c r="J3841" s="20" t="s">
        <v>2860</v>
      </c>
      <c r="K3841" s="20" t="s">
        <v>10021</v>
      </c>
      <c r="L3841" s="3">
        <v>26</v>
      </c>
      <c r="M3841" s="3" t="s">
        <v>10382</v>
      </c>
      <c r="N3841" s="3" t="str">
        <f>HYPERLINK("http://ictvonline.org/taxonomyHistory.asp?taxnode_id=20163986","ICTVonline=20163986")</f>
        <v>ICTVonline=20163986</v>
      </c>
    </row>
    <row r="3842" spans="1:14" x14ac:dyDescent="0.15">
      <c r="A3842" s="3">
        <v>3841</v>
      </c>
      <c r="B3842" s="1" t="s">
        <v>926</v>
      </c>
      <c r="C3842" s="1" t="s">
        <v>2159</v>
      </c>
      <c r="D3842" s="1" t="s">
        <v>2160</v>
      </c>
      <c r="E3842" s="1" t="s">
        <v>202</v>
      </c>
      <c r="F3842" s="1" t="s">
        <v>203</v>
      </c>
      <c r="G3842" s="3">
        <v>1</v>
      </c>
      <c r="J3842" s="20" t="s">
        <v>2860</v>
      </c>
      <c r="K3842" s="20" t="s">
        <v>10072</v>
      </c>
      <c r="L3842" s="3">
        <v>26</v>
      </c>
      <c r="M3842" s="3" t="s">
        <v>10383</v>
      </c>
      <c r="N3842" s="3" t="str">
        <f>HYPERLINK("http://ictvonline.org/taxonomyHistory.asp?taxnode_id=20163988","ICTVonline=20163988")</f>
        <v>ICTVonline=20163988</v>
      </c>
    </row>
    <row r="3843" spans="1:14" x14ac:dyDescent="0.15">
      <c r="A3843" s="3">
        <v>3842</v>
      </c>
      <c r="B3843" s="1" t="s">
        <v>926</v>
      </c>
      <c r="C3843" s="1" t="s">
        <v>2159</v>
      </c>
      <c r="D3843" s="1" t="s">
        <v>2160</v>
      </c>
      <c r="E3843" s="1" t="s">
        <v>507</v>
      </c>
      <c r="F3843" s="1" t="s">
        <v>508</v>
      </c>
      <c r="G3843" s="3">
        <v>0</v>
      </c>
      <c r="J3843" s="20" t="s">
        <v>2860</v>
      </c>
      <c r="K3843" s="20" t="s">
        <v>10016</v>
      </c>
      <c r="L3843" s="3">
        <v>5</v>
      </c>
      <c r="M3843" s="3" t="s">
        <v>10381</v>
      </c>
      <c r="N3843" s="3" t="str">
        <f>HYPERLINK("http://ictvonline.org/taxonomyHistory.asp?taxnode_id=20163990","ICTVonline=20163990")</f>
        <v>ICTVonline=20163990</v>
      </c>
    </row>
    <row r="3844" spans="1:14" x14ac:dyDescent="0.15">
      <c r="A3844" s="3">
        <v>3843</v>
      </c>
      <c r="B3844" s="1" t="s">
        <v>926</v>
      </c>
      <c r="C3844" s="1" t="s">
        <v>2159</v>
      </c>
      <c r="D3844" s="1" t="s">
        <v>2160</v>
      </c>
      <c r="E3844" s="1" t="s">
        <v>507</v>
      </c>
      <c r="F3844" s="1" t="s">
        <v>509</v>
      </c>
      <c r="G3844" s="3">
        <v>1</v>
      </c>
      <c r="J3844" s="20" t="s">
        <v>2860</v>
      </c>
      <c r="K3844" s="20" t="s">
        <v>10016</v>
      </c>
      <c r="L3844" s="3">
        <v>5</v>
      </c>
      <c r="M3844" s="3" t="s">
        <v>10381</v>
      </c>
      <c r="N3844" s="3" t="str">
        <f>HYPERLINK("http://ictvonline.org/taxonomyHistory.asp?taxnode_id=20163991","ICTVonline=20163991")</f>
        <v>ICTVonline=20163991</v>
      </c>
    </row>
    <row r="3845" spans="1:14" x14ac:dyDescent="0.15">
      <c r="A3845" s="3">
        <v>3844</v>
      </c>
      <c r="B3845" s="1" t="s">
        <v>926</v>
      </c>
      <c r="C3845" s="1" t="s">
        <v>2159</v>
      </c>
      <c r="D3845" s="1" t="s">
        <v>2160</v>
      </c>
      <c r="E3845" s="1" t="s">
        <v>507</v>
      </c>
      <c r="F3845" s="1" t="s">
        <v>502</v>
      </c>
      <c r="G3845" s="3">
        <v>0</v>
      </c>
      <c r="J3845" s="20" t="s">
        <v>2860</v>
      </c>
      <c r="K3845" s="20" t="s">
        <v>10021</v>
      </c>
      <c r="L3845" s="3">
        <v>14</v>
      </c>
      <c r="M3845" s="3" t="s">
        <v>10234</v>
      </c>
      <c r="N3845" s="3" t="str">
        <f>HYPERLINK("http://ictvonline.org/taxonomyHistory.asp?taxnode_id=20163992","ICTVonline=20163992")</f>
        <v>ICTVonline=20163992</v>
      </c>
    </row>
    <row r="3846" spans="1:14" x14ac:dyDescent="0.15">
      <c r="A3846" s="3">
        <v>3845</v>
      </c>
      <c r="B3846" s="1" t="s">
        <v>926</v>
      </c>
      <c r="C3846" s="1" t="s">
        <v>2159</v>
      </c>
      <c r="D3846" s="1" t="s">
        <v>2160</v>
      </c>
      <c r="E3846" s="1" t="s">
        <v>507</v>
      </c>
      <c r="F3846" s="1" t="s">
        <v>503</v>
      </c>
      <c r="G3846" s="3">
        <v>0</v>
      </c>
      <c r="J3846" s="20" t="s">
        <v>2860</v>
      </c>
      <c r="K3846" s="20" t="s">
        <v>10016</v>
      </c>
      <c r="L3846" s="3">
        <v>5</v>
      </c>
      <c r="M3846" s="3" t="s">
        <v>10381</v>
      </c>
      <c r="N3846" s="3" t="str">
        <f>HYPERLINK("http://ictvonline.org/taxonomyHistory.asp?taxnode_id=20163993","ICTVonline=20163993")</f>
        <v>ICTVonline=20163993</v>
      </c>
    </row>
    <row r="3847" spans="1:14" x14ac:dyDescent="0.15">
      <c r="A3847" s="3">
        <v>3846</v>
      </c>
      <c r="B3847" s="1" t="s">
        <v>926</v>
      </c>
      <c r="C3847" s="1" t="s">
        <v>2159</v>
      </c>
      <c r="D3847" s="1" t="s">
        <v>2160</v>
      </c>
      <c r="E3847" s="1" t="s">
        <v>504</v>
      </c>
      <c r="F3847" s="1" t="s">
        <v>2002</v>
      </c>
      <c r="G3847" s="3">
        <v>1</v>
      </c>
      <c r="J3847" s="20" t="s">
        <v>2860</v>
      </c>
      <c r="K3847" s="20" t="s">
        <v>10076</v>
      </c>
      <c r="L3847" s="3">
        <v>11</v>
      </c>
      <c r="M3847" s="3" t="s">
        <v>10283</v>
      </c>
      <c r="N3847" s="3" t="str">
        <f>HYPERLINK("http://ictvonline.org/taxonomyHistory.asp?taxnode_id=20163995","ICTVonline=20163995")</f>
        <v>ICTVonline=20163995</v>
      </c>
    </row>
    <row r="3848" spans="1:14" x14ac:dyDescent="0.15">
      <c r="A3848" s="3">
        <v>3847</v>
      </c>
      <c r="B3848" s="1" t="s">
        <v>926</v>
      </c>
      <c r="C3848" s="1" t="s">
        <v>2159</v>
      </c>
      <c r="D3848" s="1" t="s">
        <v>2160</v>
      </c>
      <c r="E3848" s="1" t="s">
        <v>1252</v>
      </c>
      <c r="F3848" s="1" t="s">
        <v>1253</v>
      </c>
      <c r="G3848" s="3">
        <v>0</v>
      </c>
      <c r="J3848" s="20" t="s">
        <v>2860</v>
      </c>
      <c r="K3848" s="20" t="s">
        <v>10021</v>
      </c>
      <c r="L3848" s="3">
        <v>6</v>
      </c>
      <c r="M3848" s="3" t="s">
        <v>10384</v>
      </c>
      <c r="N3848" s="3" t="str">
        <f>HYPERLINK("http://ictvonline.org/taxonomyHistory.asp?taxnode_id=20163997","ICTVonline=20163997")</f>
        <v>ICTVonline=20163997</v>
      </c>
    </row>
    <row r="3849" spans="1:14" x14ac:dyDescent="0.15">
      <c r="A3849" s="3">
        <v>3848</v>
      </c>
      <c r="B3849" s="1" t="s">
        <v>926</v>
      </c>
      <c r="C3849" s="1" t="s">
        <v>2159</v>
      </c>
      <c r="D3849" s="1" t="s">
        <v>2160</v>
      </c>
      <c r="E3849" s="1" t="s">
        <v>1252</v>
      </c>
      <c r="F3849" s="1" t="s">
        <v>1254</v>
      </c>
      <c r="G3849" s="3">
        <v>0</v>
      </c>
      <c r="J3849" s="20" t="s">
        <v>2860</v>
      </c>
      <c r="K3849" s="20" t="s">
        <v>10016</v>
      </c>
      <c r="L3849" s="3">
        <v>5</v>
      </c>
      <c r="M3849" s="3" t="s">
        <v>10381</v>
      </c>
      <c r="N3849" s="3" t="str">
        <f>HYPERLINK("http://ictvonline.org/taxonomyHistory.asp?taxnode_id=20163998","ICTVonline=20163998")</f>
        <v>ICTVonline=20163998</v>
      </c>
    </row>
    <row r="3850" spans="1:14" x14ac:dyDescent="0.15">
      <c r="A3850" s="3">
        <v>3849</v>
      </c>
      <c r="B3850" s="1" t="s">
        <v>926</v>
      </c>
      <c r="C3850" s="1" t="s">
        <v>2159</v>
      </c>
      <c r="D3850" s="1" t="s">
        <v>2160</v>
      </c>
      <c r="E3850" s="1" t="s">
        <v>1252</v>
      </c>
      <c r="F3850" s="1" t="s">
        <v>1255</v>
      </c>
      <c r="G3850" s="3">
        <v>0</v>
      </c>
      <c r="J3850" s="20" t="s">
        <v>2860</v>
      </c>
      <c r="K3850" s="20" t="s">
        <v>10016</v>
      </c>
      <c r="L3850" s="3">
        <v>5</v>
      </c>
      <c r="M3850" s="3" t="s">
        <v>10381</v>
      </c>
      <c r="N3850" s="3" t="str">
        <f>HYPERLINK("http://ictvonline.org/taxonomyHistory.asp?taxnode_id=20163999","ICTVonline=20163999")</f>
        <v>ICTVonline=20163999</v>
      </c>
    </row>
    <row r="3851" spans="1:14" x14ac:dyDescent="0.15">
      <c r="A3851" s="3">
        <v>3850</v>
      </c>
      <c r="B3851" s="1" t="s">
        <v>926</v>
      </c>
      <c r="C3851" s="1" t="s">
        <v>2159</v>
      </c>
      <c r="D3851" s="1" t="s">
        <v>2160</v>
      </c>
      <c r="E3851" s="1" t="s">
        <v>1252</v>
      </c>
      <c r="F3851" s="1" t="s">
        <v>1256</v>
      </c>
      <c r="G3851" s="3">
        <v>0</v>
      </c>
      <c r="J3851" s="20" t="s">
        <v>2860</v>
      </c>
      <c r="K3851" s="20" t="s">
        <v>10016</v>
      </c>
      <c r="L3851" s="3">
        <v>5</v>
      </c>
      <c r="M3851" s="3" t="s">
        <v>10381</v>
      </c>
      <c r="N3851" s="3" t="str">
        <f>HYPERLINK("http://ictvonline.org/taxonomyHistory.asp?taxnode_id=20164000","ICTVonline=20164000")</f>
        <v>ICTVonline=20164000</v>
      </c>
    </row>
    <row r="3852" spans="1:14" x14ac:dyDescent="0.15">
      <c r="A3852" s="3">
        <v>3851</v>
      </c>
      <c r="B3852" s="1" t="s">
        <v>926</v>
      </c>
      <c r="C3852" s="1" t="s">
        <v>2159</v>
      </c>
      <c r="D3852" s="1" t="s">
        <v>2160</v>
      </c>
      <c r="E3852" s="1" t="s">
        <v>1252</v>
      </c>
      <c r="F3852" s="1" t="s">
        <v>1257</v>
      </c>
      <c r="G3852" s="3">
        <v>0</v>
      </c>
      <c r="J3852" s="20" t="s">
        <v>2860</v>
      </c>
      <c r="K3852" s="20" t="s">
        <v>10016</v>
      </c>
      <c r="L3852" s="3">
        <v>12</v>
      </c>
      <c r="M3852" s="3" t="s">
        <v>10281</v>
      </c>
      <c r="N3852" s="3" t="str">
        <f>HYPERLINK("http://ictvonline.org/taxonomyHistory.asp?taxnode_id=20164001","ICTVonline=20164001")</f>
        <v>ICTVonline=20164001</v>
      </c>
    </row>
    <row r="3853" spans="1:14" x14ac:dyDescent="0.15">
      <c r="A3853" s="3">
        <v>3852</v>
      </c>
      <c r="B3853" s="1" t="s">
        <v>926</v>
      </c>
      <c r="C3853" s="1" t="s">
        <v>2159</v>
      </c>
      <c r="D3853" s="1" t="s">
        <v>2160</v>
      </c>
      <c r="E3853" s="1" t="s">
        <v>1252</v>
      </c>
      <c r="F3853" s="1" t="s">
        <v>204</v>
      </c>
      <c r="G3853" s="3">
        <v>0</v>
      </c>
      <c r="J3853" s="20" t="s">
        <v>2860</v>
      </c>
      <c r="K3853" s="20" t="s">
        <v>10013</v>
      </c>
      <c r="L3853" s="3">
        <v>26</v>
      </c>
      <c r="M3853" s="3" t="s">
        <v>10383</v>
      </c>
      <c r="N3853" s="3" t="str">
        <f>HYPERLINK("http://ictvonline.org/taxonomyHistory.asp?taxnode_id=20164002","ICTVonline=20164002")</f>
        <v>ICTVonline=20164002</v>
      </c>
    </row>
    <row r="3854" spans="1:14" x14ac:dyDescent="0.15">
      <c r="A3854" s="3">
        <v>3853</v>
      </c>
      <c r="B3854" s="1" t="s">
        <v>926</v>
      </c>
      <c r="C3854" s="1" t="s">
        <v>2159</v>
      </c>
      <c r="D3854" s="1" t="s">
        <v>2160</v>
      </c>
      <c r="E3854" s="1" t="s">
        <v>1252</v>
      </c>
      <c r="F3854" s="1" t="s">
        <v>1258</v>
      </c>
      <c r="G3854" s="3">
        <v>0</v>
      </c>
      <c r="J3854" s="20" t="s">
        <v>2860</v>
      </c>
      <c r="K3854" s="20" t="s">
        <v>10013</v>
      </c>
      <c r="L3854" s="3">
        <v>12</v>
      </c>
      <c r="M3854" s="3" t="s">
        <v>10281</v>
      </c>
      <c r="N3854" s="3" t="str">
        <f>HYPERLINK("http://ictvonline.org/taxonomyHistory.asp?taxnode_id=20164003","ICTVonline=20164003")</f>
        <v>ICTVonline=20164003</v>
      </c>
    </row>
    <row r="3855" spans="1:14" x14ac:dyDescent="0.15">
      <c r="A3855" s="3">
        <v>3854</v>
      </c>
      <c r="B3855" s="1" t="s">
        <v>926</v>
      </c>
      <c r="C3855" s="1" t="s">
        <v>2159</v>
      </c>
      <c r="D3855" s="1" t="s">
        <v>2160</v>
      </c>
      <c r="E3855" s="1" t="s">
        <v>1252</v>
      </c>
      <c r="F3855" s="1" t="s">
        <v>1259</v>
      </c>
      <c r="G3855" s="3">
        <v>1</v>
      </c>
      <c r="J3855" s="20" t="s">
        <v>2860</v>
      </c>
      <c r="K3855" s="20" t="s">
        <v>10300</v>
      </c>
      <c r="L3855" s="3">
        <v>12</v>
      </c>
      <c r="M3855" s="3" t="s">
        <v>10281</v>
      </c>
      <c r="N3855" s="3" t="str">
        <f>HYPERLINK("http://ictvonline.org/taxonomyHistory.asp?taxnode_id=20164004","ICTVonline=20164004")</f>
        <v>ICTVonline=20164004</v>
      </c>
    </row>
    <row r="3856" spans="1:14" x14ac:dyDescent="0.15">
      <c r="A3856" s="3">
        <v>3855</v>
      </c>
      <c r="B3856" s="1" t="s">
        <v>926</v>
      </c>
      <c r="C3856" s="1" t="s">
        <v>2159</v>
      </c>
      <c r="D3856" s="1" t="s">
        <v>2160</v>
      </c>
      <c r="E3856" s="1" t="s">
        <v>1252</v>
      </c>
      <c r="F3856" s="1" t="s">
        <v>1260</v>
      </c>
      <c r="G3856" s="3">
        <v>0</v>
      </c>
      <c r="J3856" s="20" t="s">
        <v>2860</v>
      </c>
      <c r="K3856" s="20" t="s">
        <v>10016</v>
      </c>
      <c r="L3856" s="3">
        <v>5</v>
      </c>
      <c r="M3856" s="3" t="s">
        <v>10381</v>
      </c>
      <c r="N3856" s="3" t="str">
        <f>HYPERLINK("http://ictvonline.org/taxonomyHistory.asp?taxnode_id=20164005","ICTVonline=20164005")</f>
        <v>ICTVonline=20164005</v>
      </c>
    </row>
    <row r="3857" spans="1:14" x14ac:dyDescent="0.15">
      <c r="A3857" s="3">
        <v>3856</v>
      </c>
      <c r="B3857" s="1" t="s">
        <v>926</v>
      </c>
      <c r="C3857" s="1" t="s">
        <v>2159</v>
      </c>
      <c r="D3857" s="1" t="s">
        <v>2160</v>
      </c>
      <c r="E3857" s="1" t="s">
        <v>1252</v>
      </c>
      <c r="F3857" s="1" t="s">
        <v>1261</v>
      </c>
      <c r="G3857" s="3">
        <v>0</v>
      </c>
      <c r="J3857" s="20" t="s">
        <v>2860</v>
      </c>
      <c r="K3857" s="20" t="s">
        <v>10013</v>
      </c>
      <c r="L3857" s="3">
        <v>14</v>
      </c>
      <c r="M3857" s="3" t="s">
        <v>10234</v>
      </c>
      <c r="N3857" s="3" t="str">
        <f>HYPERLINK("http://ictvonline.org/taxonomyHistory.asp?taxnode_id=20164006","ICTVonline=20164006")</f>
        <v>ICTVonline=20164006</v>
      </c>
    </row>
    <row r="3858" spans="1:14" x14ac:dyDescent="0.15">
      <c r="A3858" s="3">
        <v>3857</v>
      </c>
      <c r="B3858" s="1" t="s">
        <v>926</v>
      </c>
      <c r="C3858" s="1" t="s">
        <v>2159</v>
      </c>
      <c r="D3858" s="1" t="s">
        <v>2160</v>
      </c>
      <c r="E3858" s="1" t="s">
        <v>1262</v>
      </c>
      <c r="F3858" s="1" t="s">
        <v>1263</v>
      </c>
      <c r="G3858" s="3">
        <v>0</v>
      </c>
      <c r="J3858" s="20" t="s">
        <v>2860</v>
      </c>
      <c r="K3858" s="20" t="s">
        <v>10021</v>
      </c>
      <c r="L3858" s="3">
        <v>14</v>
      </c>
      <c r="M3858" s="3" t="s">
        <v>10234</v>
      </c>
      <c r="N3858" s="3" t="str">
        <f>HYPERLINK("http://ictvonline.org/taxonomyHistory.asp?taxnode_id=20164008","ICTVonline=20164008")</f>
        <v>ICTVonline=20164008</v>
      </c>
    </row>
    <row r="3859" spans="1:14" x14ac:dyDescent="0.15">
      <c r="A3859" s="3">
        <v>3858</v>
      </c>
      <c r="B3859" s="1" t="s">
        <v>926</v>
      </c>
      <c r="C3859" s="1" t="s">
        <v>2159</v>
      </c>
      <c r="D3859" s="1" t="s">
        <v>2160</v>
      </c>
      <c r="E3859" s="1" t="s">
        <v>1262</v>
      </c>
      <c r="F3859" s="1" t="s">
        <v>1264</v>
      </c>
      <c r="G3859" s="3">
        <v>1</v>
      </c>
      <c r="J3859" s="20" t="s">
        <v>2860</v>
      </c>
      <c r="K3859" s="20" t="s">
        <v>10016</v>
      </c>
      <c r="L3859" s="3">
        <v>5</v>
      </c>
      <c r="M3859" s="3" t="s">
        <v>10381</v>
      </c>
      <c r="N3859" s="3" t="str">
        <f>HYPERLINK("http://ictvonline.org/taxonomyHistory.asp?taxnode_id=20164009","ICTVonline=20164009")</f>
        <v>ICTVonline=20164009</v>
      </c>
    </row>
    <row r="3860" spans="1:14" x14ac:dyDescent="0.15">
      <c r="A3860" s="3">
        <v>3859</v>
      </c>
      <c r="B3860" s="1" t="s">
        <v>926</v>
      </c>
      <c r="C3860" s="1" t="s">
        <v>2159</v>
      </c>
      <c r="D3860" s="1" t="s">
        <v>2160</v>
      </c>
      <c r="E3860" s="1" t="s">
        <v>1262</v>
      </c>
      <c r="F3860" s="1" t="s">
        <v>1265</v>
      </c>
      <c r="G3860" s="3">
        <v>0</v>
      </c>
      <c r="J3860" s="20" t="s">
        <v>2860</v>
      </c>
      <c r="K3860" s="20" t="s">
        <v>10013</v>
      </c>
      <c r="L3860" s="3">
        <v>14</v>
      </c>
      <c r="M3860" s="3" t="s">
        <v>10234</v>
      </c>
      <c r="N3860" s="3" t="str">
        <f>HYPERLINK("http://ictvonline.org/taxonomyHistory.asp?taxnode_id=20164010","ICTVonline=20164010")</f>
        <v>ICTVonline=20164010</v>
      </c>
    </row>
    <row r="3861" spans="1:14" x14ac:dyDescent="0.15">
      <c r="A3861" s="3">
        <v>3860</v>
      </c>
      <c r="B3861" s="1" t="s">
        <v>926</v>
      </c>
      <c r="C3861" s="1" t="s">
        <v>2159</v>
      </c>
      <c r="D3861" s="1" t="s">
        <v>2160</v>
      </c>
      <c r="E3861" s="1" t="s">
        <v>1262</v>
      </c>
      <c r="F3861" s="1" t="s">
        <v>1266</v>
      </c>
      <c r="G3861" s="3">
        <v>0</v>
      </c>
      <c r="J3861" s="20" t="s">
        <v>2860</v>
      </c>
      <c r="K3861" s="20" t="s">
        <v>10021</v>
      </c>
      <c r="L3861" s="3">
        <v>12</v>
      </c>
      <c r="M3861" s="3" t="s">
        <v>10281</v>
      </c>
      <c r="N3861" s="3" t="str">
        <f>HYPERLINK("http://ictvonline.org/taxonomyHistory.asp?taxnode_id=20164011","ICTVonline=20164011")</f>
        <v>ICTVonline=20164011</v>
      </c>
    </row>
    <row r="3862" spans="1:14" x14ac:dyDescent="0.15">
      <c r="A3862" s="3">
        <v>3861</v>
      </c>
      <c r="B3862" s="1" t="s">
        <v>926</v>
      </c>
      <c r="C3862" s="1" t="s">
        <v>2159</v>
      </c>
      <c r="D3862" s="1" t="s">
        <v>2160</v>
      </c>
      <c r="E3862" s="1" t="s">
        <v>1267</v>
      </c>
      <c r="F3862" s="1" t="s">
        <v>1268</v>
      </c>
      <c r="G3862" s="3">
        <v>1</v>
      </c>
      <c r="J3862" s="20" t="s">
        <v>2860</v>
      </c>
      <c r="K3862" s="20" t="s">
        <v>10076</v>
      </c>
      <c r="L3862" s="3">
        <v>5</v>
      </c>
      <c r="M3862" s="3" t="s">
        <v>10381</v>
      </c>
      <c r="N3862" s="3" t="str">
        <f>HYPERLINK("http://ictvonline.org/taxonomyHistory.asp?taxnode_id=20164013","ICTVonline=20164013")</f>
        <v>ICTVonline=20164013</v>
      </c>
    </row>
    <row r="3863" spans="1:14" x14ac:dyDescent="0.15">
      <c r="A3863" s="3">
        <v>3862</v>
      </c>
      <c r="B3863" s="1" t="s">
        <v>926</v>
      </c>
      <c r="C3863" s="1" t="s">
        <v>2159</v>
      </c>
      <c r="D3863" s="1" t="s">
        <v>2160</v>
      </c>
      <c r="E3863" s="1" t="s">
        <v>926</v>
      </c>
      <c r="F3863" s="1" t="s">
        <v>9726</v>
      </c>
      <c r="G3863" s="3">
        <v>0</v>
      </c>
      <c r="H3863" s="20" t="s">
        <v>9727</v>
      </c>
      <c r="I3863" s="20" t="s">
        <v>9728</v>
      </c>
      <c r="J3863" s="20" t="s">
        <v>2860</v>
      </c>
      <c r="K3863" s="20" t="s">
        <v>10013</v>
      </c>
      <c r="L3863" s="3">
        <v>31</v>
      </c>
      <c r="M3863" s="3" t="s">
        <v>9729</v>
      </c>
      <c r="N3863" s="3" t="str">
        <f>HYPERLINK("http://ictvonline.org/taxonomyHistory.asp?taxnode_id=20165423","ICTVonline=20165423")</f>
        <v>ICTVonline=20165423</v>
      </c>
    </row>
    <row r="3864" spans="1:14" x14ac:dyDescent="0.15">
      <c r="A3864" s="3">
        <v>3863</v>
      </c>
      <c r="B3864" s="1" t="s">
        <v>926</v>
      </c>
      <c r="C3864" s="1" t="s">
        <v>2159</v>
      </c>
      <c r="D3864" s="1" t="s">
        <v>2160</v>
      </c>
      <c r="E3864" s="1" t="s">
        <v>926</v>
      </c>
      <c r="F3864" s="1" t="s">
        <v>205</v>
      </c>
      <c r="G3864" s="3">
        <v>0</v>
      </c>
      <c r="J3864" s="20" t="s">
        <v>2860</v>
      </c>
      <c r="K3864" s="20" t="s">
        <v>10021</v>
      </c>
      <c r="L3864" s="3">
        <v>26</v>
      </c>
      <c r="M3864" s="3" t="s">
        <v>10382</v>
      </c>
      <c r="N3864" s="3" t="str">
        <f>HYPERLINK("http://ictvonline.org/taxonomyHistory.asp?taxnode_id=20164015","ICTVonline=20164015")</f>
        <v>ICTVonline=20164015</v>
      </c>
    </row>
    <row r="3865" spans="1:14" x14ac:dyDescent="0.15">
      <c r="A3865" s="3">
        <v>3864</v>
      </c>
      <c r="B3865" s="1" t="s">
        <v>926</v>
      </c>
      <c r="C3865" s="1" t="s">
        <v>2159</v>
      </c>
      <c r="D3865" s="1" t="s">
        <v>2160</v>
      </c>
      <c r="E3865" s="1" t="s">
        <v>784</v>
      </c>
      <c r="F3865" s="1" t="s">
        <v>785</v>
      </c>
      <c r="G3865" s="3">
        <v>0</v>
      </c>
      <c r="J3865" s="20" t="s">
        <v>2860</v>
      </c>
      <c r="K3865" s="20" t="s">
        <v>10016</v>
      </c>
      <c r="L3865" s="3">
        <v>12</v>
      </c>
      <c r="M3865" s="3" t="s">
        <v>10281</v>
      </c>
      <c r="N3865" s="3" t="str">
        <f>HYPERLINK("http://ictvonline.org/taxonomyHistory.asp?taxnode_id=20164017","ICTVonline=20164017")</f>
        <v>ICTVonline=20164017</v>
      </c>
    </row>
    <row r="3866" spans="1:14" x14ac:dyDescent="0.15">
      <c r="A3866" s="3">
        <v>3865</v>
      </c>
      <c r="B3866" s="1" t="s">
        <v>926</v>
      </c>
      <c r="C3866" s="1" t="s">
        <v>2159</v>
      </c>
      <c r="D3866" s="1" t="s">
        <v>2160</v>
      </c>
      <c r="E3866" s="1" t="s">
        <v>784</v>
      </c>
      <c r="F3866" s="1" t="s">
        <v>783</v>
      </c>
      <c r="G3866" s="3">
        <v>1</v>
      </c>
      <c r="J3866" s="20" t="s">
        <v>2860</v>
      </c>
      <c r="K3866" s="20" t="s">
        <v>10021</v>
      </c>
      <c r="L3866" s="3">
        <v>14</v>
      </c>
      <c r="M3866" s="3" t="s">
        <v>10234</v>
      </c>
      <c r="N3866" s="3" t="str">
        <f>HYPERLINK("http://ictvonline.org/taxonomyHistory.asp?taxnode_id=20164018","ICTVonline=20164018")</f>
        <v>ICTVonline=20164018</v>
      </c>
    </row>
    <row r="3867" spans="1:14" x14ac:dyDescent="0.15">
      <c r="A3867" s="3">
        <v>3866</v>
      </c>
      <c r="B3867" s="1" t="s">
        <v>926</v>
      </c>
      <c r="C3867" s="1" t="s">
        <v>2159</v>
      </c>
      <c r="D3867" s="1" t="s">
        <v>786</v>
      </c>
      <c r="E3867" s="1" t="s">
        <v>1873</v>
      </c>
      <c r="F3867" s="1" t="s">
        <v>676</v>
      </c>
      <c r="G3867" s="3">
        <v>0</v>
      </c>
      <c r="J3867" s="20" t="s">
        <v>2860</v>
      </c>
      <c r="K3867" s="20" t="s">
        <v>10016</v>
      </c>
      <c r="L3867" s="3">
        <v>22</v>
      </c>
      <c r="M3867" s="3" t="s">
        <v>10385</v>
      </c>
      <c r="N3867" s="3" t="str">
        <f>HYPERLINK("http://ictvonline.org/taxonomyHistory.asp?taxnode_id=20164021","ICTVonline=20164021")</f>
        <v>ICTVonline=20164021</v>
      </c>
    </row>
    <row r="3868" spans="1:14" x14ac:dyDescent="0.15">
      <c r="A3868" s="3">
        <v>3867</v>
      </c>
      <c r="B3868" s="1" t="s">
        <v>926</v>
      </c>
      <c r="C3868" s="1" t="s">
        <v>2159</v>
      </c>
      <c r="D3868" s="1" t="s">
        <v>786</v>
      </c>
      <c r="E3868" s="1" t="s">
        <v>1873</v>
      </c>
      <c r="F3868" s="1" t="s">
        <v>677</v>
      </c>
      <c r="G3868" s="3">
        <v>0</v>
      </c>
      <c r="J3868" s="20" t="s">
        <v>2860</v>
      </c>
      <c r="K3868" s="20" t="s">
        <v>10016</v>
      </c>
      <c r="L3868" s="3">
        <v>22</v>
      </c>
      <c r="M3868" s="3" t="s">
        <v>10385</v>
      </c>
      <c r="N3868" s="3" t="str">
        <f>HYPERLINK("http://ictvonline.org/taxonomyHistory.asp?taxnode_id=20164022","ICTVonline=20164022")</f>
        <v>ICTVonline=20164022</v>
      </c>
    </row>
    <row r="3869" spans="1:14" x14ac:dyDescent="0.15">
      <c r="A3869" s="3">
        <v>3868</v>
      </c>
      <c r="B3869" s="1" t="s">
        <v>926</v>
      </c>
      <c r="C3869" s="1" t="s">
        <v>2159</v>
      </c>
      <c r="D3869" s="1" t="s">
        <v>786</v>
      </c>
      <c r="E3869" s="1" t="s">
        <v>1873</v>
      </c>
      <c r="F3869" s="1" t="s">
        <v>2814</v>
      </c>
      <c r="G3869" s="3">
        <v>0</v>
      </c>
      <c r="J3869" s="20" t="s">
        <v>2860</v>
      </c>
      <c r="K3869" s="20" t="s">
        <v>10021</v>
      </c>
      <c r="L3869" s="3">
        <v>29</v>
      </c>
      <c r="M3869" s="3" t="s">
        <v>10386</v>
      </c>
      <c r="N3869" s="3" t="str">
        <f>HYPERLINK("http://ictvonline.org/taxonomyHistory.asp?taxnode_id=20164023","ICTVonline=20164023")</f>
        <v>ICTVonline=20164023</v>
      </c>
    </row>
    <row r="3870" spans="1:14" x14ac:dyDescent="0.15">
      <c r="A3870" s="3">
        <v>3869</v>
      </c>
      <c r="B3870" s="1" t="s">
        <v>926</v>
      </c>
      <c r="C3870" s="1" t="s">
        <v>2159</v>
      </c>
      <c r="D3870" s="1" t="s">
        <v>786</v>
      </c>
      <c r="E3870" s="1" t="s">
        <v>1873</v>
      </c>
      <c r="F3870" s="1" t="s">
        <v>1876</v>
      </c>
      <c r="G3870" s="3">
        <v>0</v>
      </c>
      <c r="J3870" s="20" t="s">
        <v>2860</v>
      </c>
      <c r="K3870" s="20" t="s">
        <v>10016</v>
      </c>
      <c r="L3870" s="3">
        <v>22</v>
      </c>
      <c r="M3870" s="3" t="s">
        <v>10385</v>
      </c>
      <c r="N3870" s="3" t="str">
        <f>HYPERLINK("http://ictvonline.org/taxonomyHistory.asp?taxnode_id=20164024","ICTVonline=20164024")</f>
        <v>ICTVonline=20164024</v>
      </c>
    </row>
    <row r="3871" spans="1:14" x14ac:dyDescent="0.15">
      <c r="A3871" s="3">
        <v>3870</v>
      </c>
      <c r="B3871" s="1" t="s">
        <v>926</v>
      </c>
      <c r="C3871" s="1" t="s">
        <v>2159</v>
      </c>
      <c r="D3871" s="1" t="s">
        <v>786</v>
      </c>
      <c r="E3871" s="1" t="s">
        <v>1873</v>
      </c>
      <c r="F3871" s="1" t="s">
        <v>2815</v>
      </c>
      <c r="G3871" s="3">
        <v>0</v>
      </c>
      <c r="J3871" s="20" t="s">
        <v>2860</v>
      </c>
      <c r="K3871" s="20" t="s">
        <v>10021</v>
      </c>
      <c r="L3871" s="3">
        <v>29</v>
      </c>
      <c r="M3871" s="3" t="s">
        <v>10386</v>
      </c>
      <c r="N3871" s="3" t="str">
        <f>HYPERLINK("http://ictvonline.org/taxonomyHistory.asp?taxnode_id=20164025","ICTVonline=20164025")</f>
        <v>ICTVonline=20164025</v>
      </c>
    </row>
    <row r="3872" spans="1:14" x14ac:dyDescent="0.15">
      <c r="A3872" s="3">
        <v>3871</v>
      </c>
      <c r="B3872" s="1" t="s">
        <v>926</v>
      </c>
      <c r="C3872" s="1" t="s">
        <v>2159</v>
      </c>
      <c r="D3872" s="1" t="s">
        <v>786</v>
      </c>
      <c r="E3872" s="1" t="s">
        <v>1873</v>
      </c>
      <c r="F3872" s="1" t="s">
        <v>1877</v>
      </c>
      <c r="G3872" s="3">
        <v>0</v>
      </c>
      <c r="J3872" s="20" t="s">
        <v>2860</v>
      </c>
      <c r="K3872" s="20" t="s">
        <v>10016</v>
      </c>
      <c r="L3872" s="3">
        <v>22</v>
      </c>
      <c r="M3872" s="3" t="s">
        <v>10385</v>
      </c>
      <c r="N3872" s="3" t="str">
        <f>HYPERLINK("http://ictvonline.org/taxonomyHistory.asp?taxnode_id=20164026","ICTVonline=20164026")</f>
        <v>ICTVonline=20164026</v>
      </c>
    </row>
    <row r="3873" spans="1:14" x14ac:dyDescent="0.15">
      <c r="A3873" s="3">
        <v>3872</v>
      </c>
      <c r="B3873" s="1" t="s">
        <v>926</v>
      </c>
      <c r="C3873" s="1" t="s">
        <v>2159</v>
      </c>
      <c r="D3873" s="1" t="s">
        <v>786</v>
      </c>
      <c r="E3873" s="1" t="s">
        <v>1873</v>
      </c>
      <c r="F3873" s="1" t="s">
        <v>683</v>
      </c>
      <c r="G3873" s="3">
        <v>1</v>
      </c>
      <c r="J3873" s="20" t="s">
        <v>2860</v>
      </c>
      <c r="K3873" s="20" t="s">
        <v>10016</v>
      </c>
      <c r="L3873" s="3">
        <v>22</v>
      </c>
      <c r="M3873" s="3" t="s">
        <v>10385</v>
      </c>
      <c r="N3873" s="3" t="str">
        <f>HYPERLINK("http://ictvonline.org/taxonomyHistory.asp?taxnode_id=20164027","ICTVonline=20164027")</f>
        <v>ICTVonline=20164027</v>
      </c>
    </row>
    <row r="3874" spans="1:14" x14ac:dyDescent="0.15">
      <c r="A3874" s="3">
        <v>3873</v>
      </c>
      <c r="B3874" s="1" t="s">
        <v>926</v>
      </c>
      <c r="C3874" s="1" t="s">
        <v>2159</v>
      </c>
      <c r="D3874" s="1" t="s">
        <v>786</v>
      </c>
      <c r="E3874" s="1" t="s">
        <v>684</v>
      </c>
      <c r="F3874" s="1" t="s">
        <v>2816</v>
      </c>
      <c r="G3874" s="3">
        <v>0</v>
      </c>
      <c r="J3874" s="20" t="s">
        <v>2860</v>
      </c>
      <c r="K3874" s="20" t="s">
        <v>10021</v>
      </c>
      <c r="L3874" s="3">
        <v>29</v>
      </c>
      <c r="M3874" s="3" t="s">
        <v>10386</v>
      </c>
      <c r="N3874" s="3" t="str">
        <f>HYPERLINK("http://ictvonline.org/taxonomyHistory.asp?taxnode_id=20164029","ICTVonline=20164029")</f>
        <v>ICTVonline=20164029</v>
      </c>
    </row>
    <row r="3875" spans="1:14" x14ac:dyDescent="0.15">
      <c r="A3875" s="3">
        <v>3874</v>
      </c>
      <c r="B3875" s="1" t="s">
        <v>926</v>
      </c>
      <c r="C3875" s="1" t="s">
        <v>2159</v>
      </c>
      <c r="D3875" s="1" t="s">
        <v>786</v>
      </c>
      <c r="E3875" s="1" t="s">
        <v>684</v>
      </c>
      <c r="F3875" s="1" t="s">
        <v>2817</v>
      </c>
      <c r="G3875" s="3">
        <v>0</v>
      </c>
      <c r="H3875" s="20" t="s">
        <v>3205</v>
      </c>
      <c r="J3875" s="20" t="s">
        <v>2860</v>
      </c>
      <c r="K3875" s="20" t="s">
        <v>10013</v>
      </c>
      <c r="L3875" s="3">
        <v>29</v>
      </c>
      <c r="M3875" s="3" t="s">
        <v>10387</v>
      </c>
      <c r="N3875" s="3" t="str">
        <f>HYPERLINK("http://ictvonline.org/taxonomyHistory.asp?taxnode_id=20164030","ICTVonline=20164030")</f>
        <v>ICTVonline=20164030</v>
      </c>
    </row>
    <row r="3876" spans="1:14" x14ac:dyDescent="0.15">
      <c r="A3876" s="3">
        <v>3875</v>
      </c>
      <c r="B3876" s="1" t="s">
        <v>926</v>
      </c>
      <c r="C3876" s="1" t="s">
        <v>2159</v>
      </c>
      <c r="D3876" s="1" t="s">
        <v>786</v>
      </c>
      <c r="E3876" s="1" t="s">
        <v>684</v>
      </c>
      <c r="F3876" s="1" t="s">
        <v>2818</v>
      </c>
      <c r="G3876" s="3">
        <v>1</v>
      </c>
      <c r="J3876" s="20" t="s">
        <v>2860</v>
      </c>
      <c r="K3876" s="20" t="s">
        <v>10021</v>
      </c>
      <c r="L3876" s="3">
        <v>29</v>
      </c>
      <c r="M3876" s="3" t="s">
        <v>10386</v>
      </c>
      <c r="N3876" s="3" t="str">
        <f>HYPERLINK("http://ictvonline.org/taxonomyHistory.asp?taxnode_id=20164031","ICTVonline=20164031")</f>
        <v>ICTVonline=20164031</v>
      </c>
    </row>
    <row r="3877" spans="1:14" x14ac:dyDescent="0.15">
      <c r="A3877" s="3">
        <v>3876</v>
      </c>
      <c r="B3877" s="1" t="s">
        <v>926</v>
      </c>
      <c r="C3877" s="1" t="s">
        <v>2159</v>
      </c>
      <c r="D3877" s="1" t="s">
        <v>786</v>
      </c>
      <c r="E3877" s="1" t="s">
        <v>684</v>
      </c>
      <c r="F3877" s="1" t="s">
        <v>2819</v>
      </c>
      <c r="G3877" s="3">
        <v>0</v>
      </c>
      <c r="J3877" s="20" t="s">
        <v>2860</v>
      </c>
      <c r="K3877" s="20" t="s">
        <v>10021</v>
      </c>
      <c r="L3877" s="3">
        <v>29</v>
      </c>
      <c r="M3877" s="3" t="s">
        <v>10386</v>
      </c>
      <c r="N3877" s="3" t="str">
        <f>HYPERLINK("http://ictvonline.org/taxonomyHistory.asp?taxnode_id=20164032","ICTVonline=20164032")</f>
        <v>ICTVonline=20164032</v>
      </c>
    </row>
    <row r="3878" spans="1:14" x14ac:dyDescent="0.15">
      <c r="A3878" s="3">
        <v>3877</v>
      </c>
      <c r="B3878" s="1" t="s">
        <v>926</v>
      </c>
      <c r="C3878" s="1" t="s">
        <v>2159</v>
      </c>
      <c r="D3878" s="1" t="s">
        <v>786</v>
      </c>
      <c r="E3878" s="1" t="s">
        <v>684</v>
      </c>
      <c r="F3878" s="1" t="s">
        <v>2820</v>
      </c>
      <c r="G3878" s="3">
        <v>0</v>
      </c>
      <c r="J3878" s="20" t="s">
        <v>2860</v>
      </c>
      <c r="K3878" s="20" t="s">
        <v>10021</v>
      </c>
      <c r="L3878" s="3">
        <v>29</v>
      </c>
      <c r="M3878" s="3" t="s">
        <v>10386</v>
      </c>
      <c r="N3878" s="3" t="str">
        <f>HYPERLINK("http://ictvonline.org/taxonomyHistory.asp?taxnode_id=20164033","ICTVonline=20164033")</f>
        <v>ICTVonline=20164033</v>
      </c>
    </row>
    <row r="3879" spans="1:14" x14ac:dyDescent="0.15">
      <c r="A3879" s="3">
        <v>3878</v>
      </c>
      <c r="B3879" s="1" t="s">
        <v>926</v>
      </c>
      <c r="C3879" s="1" t="s">
        <v>2159</v>
      </c>
      <c r="D3879" s="1" t="s">
        <v>786</v>
      </c>
      <c r="E3879" s="1" t="s">
        <v>684</v>
      </c>
      <c r="F3879" s="1" t="s">
        <v>2821</v>
      </c>
      <c r="G3879" s="3">
        <v>0</v>
      </c>
      <c r="J3879" s="20" t="s">
        <v>2860</v>
      </c>
      <c r="K3879" s="20" t="s">
        <v>10021</v>
      </c>
      <c r="L3879" s="3">
        <v>29</v>
      </c>
      <c r="M3879" s="3" t="s">
        <v>10386</v>
      </c>
      <c r="N3879" s="3" t="str">
        <f>HYPERLINK("http://ictvonline.org/taxonomyHistory.asp?taxnode_id=20164034","ICTVonline=20164034")</f>
        <v>ICTVonline=20164034</v>
      </c>
    </row>
    <row r="3880" spans="1:14" x14ac:dyDescent="0.15">
      <c r="A3880" s="3">
        <v>3879</v>
      </c>
      <c r="B3880" s="1" t="s">
        <v>926</v>
      </c>
      <c r="C3880" s="1" t="s">
        <v>2159</v>
      </c>
      <c r="D3880" s="1" t="s">
        <v>786</v>
      </c>
      <c r="E3880" s="1" t="s">
        <v>684</v>
      </c>
      <c r="F3880" s="1" t="s">
        <v>2822</v>
      </c>
      <c r="G3880" s="3">
        <v>0</v>
      </c>
      <c r="J3880" s="20" t="s">
        <v>2860</v>
      </c>
      <c r="K3880" s="20" t="s">
        <v>10021</v>
      </c>
      <c r="L3880" s="3">
        <v>29</v>
      </c>
      <c r="M3880" s="3" t="s">
        <v>10386</v>
      </c>
      <c r="N3880" s="3" t="str">
        <f>HYPERLINK("http://ictvonline.org/taxonomyHistory.asp?taxnode_id=20164035","ICTVonline=20164035")</f>
        <v>ICTVonline=20164035</v>
      </c>
    </row>
    <row r="3881" spans="1:14" x14ac:dyDescent="0.15">
      <c r="A3881" s="3">
        <v>3880</v>
      </c>
      <c r="B3881" s="1" t="s">
        <v>926</v>
      </c>
      <c r="C3881" s="1" t="s">
        <v>2159</v>
      </c>
      <c r="D3881" s="1" t="s">
        <v>786</v>
      </c>
      <c r="E3881" s="1" t="s">
        <v>684</v>
      </c>
      <c r="F3881" s="1" t="s">
        <v>2823</v>
      </c>
      <c r="G3881" s="3">
        <v>0</v>
      </c>
      <c r="J3881" s="20" t="s">
        <v>2860</v>
      </c>
      <c r="K3881" s="20" t="s">
        <v>10021</v>
      </c>
      <c r="L3881" s="3">
        <v>29</v>
      </c>
      <c r="M3881" s="3" t="s">
        <v>10386</v>
      </c>
      <c r="N3881" s="3" t="str">
        <f>HYPERLINK("http://ictvonline.org/taxonomyHistory.asp?taxnode_id=20164036","ICTVonline=20164036")</f>
        <v>ICTVonline=20164036</v>
      </c>
    </row>
    <row r="3882" spans="1:14" x14ac:dyDescent="0.15">
      <c r="A3882" s="3">
        <v>3881</v>
      </c>
      <c r="B3882" s="1" t="s">
        <v>926</v>
      </c>
      <c r="C3882" s="1" t="s">
        <v>2159</v>
      </c>
      <c r="D3882" s="1" t="s">
        <v>786</v>
      </c>
      <c r="E3882" s="1" t="s">
        <v>684</v>
      </c>
      <c r="F3882" s="1" t="s">
        <v>2824</v>
      </c>
      <c r="G3882" s="3">
        <v>0</v>
      </c>
      <c r="H3882" s="20" t="s">
        <v>3206</v>
      </c>
      <c r="J3882" s="20" t="s">
        <v>2860</v>
      </c>
      <c r="K3882" s="20" t="s">
        <v>10013</v>
      </c>
      <c r="L3882" s="3">
        <v>29</v>
      </c>
      <c r="M3882" s="3" t="s">
        <v>10387</v>
      </c>
      <c r="N3882" s="3" t="str">
        <f>HYPERLINK("http://ictvonline.org/taxonomyHistory.asp?taxnode_id=20164037","ICTVonline=20164037")</f>
        <v>ICTVonline=20164037</v>
      </c>
    </row>
    <row r="3883" spans="1:14" x14ac:dyDescent="0.15">
      <c r="A3883" s="3">
        <v>3882</v>
      </c>
      <c r="B3883" s="1" t="s">
        <v>926</v>
      </c>
      <c r="C3883" s="1" t="s">
        <v>2159</v>
      </c>
      <c r="D3883" s="1" t="s">
        <v>786</v>
      </c>
      <c r="E3883" s="1" t="s">
        <v>684</v>
      </c>
      <c r="F3883" s="1" t="s">
        <v>2825</v>
      </c>
      <c r="G3883" s="3">
        <v>0</v>
      </c>
      <c r="J3883" s="20" t="s">
        <v>2860</v>
      </c>
      <c r="K3883" s="20" t="s">
        <v>10021</v>
      </c>
      <c r="L3883" s="3">
        <v>29</v>
      </c>
      <c r="M3883" s="3" t="s">
        <v>10386</v>
      </c>
      <c r="N3883" s="3" t="str">
        <f>HYPERLINK("http://ictvonline.org/taxonomyHistory.asp?taxnode_id=20164038","ICTVonline=20164038")</f>
        <v>ICTVonline=20164038</v>
      </c>
    </row>
    <row r="3884" spans="1:14" x14ac:dyDescent="0.15">
      <c r="A3884" s="3">
        <v>3883</v>
      </c>
      <c r="B3884" s="1" t="s">
        <v>926</v>
      </c>
      <c r="C3884" s="1" t="s">
        <v>2159</v>
      </c>
      <c r="D3884" s="1" t="s">
        <v>786</v>
      </c>
      <c r="E3884" s="1" t="s">
        <v>684</v>
      </c>
      <c r="F3884" s="1" t="s">
        <v>2826</v>
      </c>
      <c r="G3884" s="3">
        <v>0</v>
      </c>
      <c r="J3884" s="20" t="s">
        <v>2860</v>
      </c>
      <c r="K3884" s="20" t="s">
        <v>10021</v>
      </c>
      <c r="L3884" s="3">
        <v>29</v>
      </c>
      <c r="M3884" s="3" t="s">
        <v>10386</v>
      </c>
      <c r="N3884" s="3" t="str">
        <f>HYPERLINK("http://ictvonline.org/taxonomyHistory.asp?taxnode_id=20164039","ICTVonline=20164039")</f>
        <v>ICTVonline=20164039</v>
      </c>
    </row>
    <row r="3885" spans="1:14" x14ac:dyDescent="0.15">
      <c r="A3885" s="3">
        <v>3884</v>
      </c>
      <c r="B3885" s="1" t="s">
        <v>926</v>
      </c>
      <c r="C3885" s="1" t="s">
        <v>2159</v>
      </c>
      <c r="D3885" s="1" t="s">
        <v>786</v>
      </c>
      <c r="E3885" s="1" t="s">
        <v>684</v>
      </c>
      <c r="F3885" s="1" t="s">
        <v>2827</v>
      </c>
      <c r="G3885" s="3">
        <v>0</v>
      </c>
      <c r="J3885" s="20" t="s">
        <v>2860</v>
      </c>
      <c r="K3885" s="20" t="s">
        <v>10021</v>
      </c>
      <c r="L3885" s="3">
        <v>29</v>
      </c>
      <c r="M3885" s="3" t="s">
        <v>10386</v>
      </c>
      <c r="N3885" s="3" t="str">
        <f>HYPERLINK("http://ictvonline.org/taxonomyHistory.asp?taxnode_id=20164040","ICTVonline=20164040")</f>
        <v>ICTVonline=20164040</v>
      </c>
    </row>
    <row r="3886" spans="1:14" x14ac:dyDescent="0.15">
      <c r="A3886" s="3">
        <v>3885</v>
      </c>
      <c r="B3886" s="1" t="s">
        <v>926</v>
      </c>
      <c r="C3886" s="1" t="s">
        <v>2159</v>
      </c>
      <c r="D3886" s="1" t="s">
        <v>786</v>
      </c>
      <c r="E3886" s="1" t="s">
        <v>684</v>
      </c>
      <c r="F3886" s="1" t="s">
        <v>2828</v>
      </c>
      <c r="G3886" s="3">
        <v>0</v>
      </c>
      <c r="H3886" s="20" t="s">
        <v>3207</v>
      </c>
      <c r="J3886" s="20" t="s">
        <v>2860</v>
      </c>
      <c r="K3886" s="20" t="s">
        <v>10013</v>
      </c>
      <c r="L3886" s="3">
        <v>29</v>
      </c>
      <c r="M3886" s="3" t="s">
        <v>10387</v>
      </c>
      <c r="N3886" s="3" t="str">
        <f>HYPERLINK("http://ictvonline.org/taxonomyHistory.asp?taxnode_id=20164041","ICTVonline=20164041")</f>
        <v>ICTVonline=20164041</v>
      </c>
    </row>
    <row r="3887" spans="1:14" x14ac:dyDescent="0.15">
      <c r="A3887" s="3">
        <v>3886</v>
      </c>
      <c r="B3887" s="1" t="s">
        <v>926</v>
      </c>
      <c r="C3887" s="1" t="s">
        <v>2159</v>
      </c>
      <c r="D3887" s="1" t="s">
        <v>786</v>
      </c>
      <c r="E3887" s="1" t="s">
        <v>684</v>
      </c>
      <c r="F3887" s="1" t="s">
        <v>2829</v>
      </c>
      <c r="G3887" s="3">
        <v>0</v>
      </c>
      <c r="J3887" s="20" t="s">
        <v>2860</v>
      </c>
      <c r="K3887" s="20" t="s">
        <v>10021</v>
      </c>
      <c r="L3887" s="3">
        <v>29</v>
      </c>
      <c r="M3887" s="3" t="s">
        <v>10386</v>
      </c>
      <c r="N3887" s="3" t="str">
        <f>HYPERLINK("http://ictvonline.org/taxonomyHistory.asp?taxnode_id=20164042","ICTVonline=20164042")</f>
        <v>ICTVonline=20164042</v>
      </c>
    </row>
    <row r="3888" spans="1:14" x14ac:dyDescent="0.15">
      <c r="A3888" s="3">
        <v>3887</v>
      </c>
      <c r="B3888" s="1" t="s">
        <v>926</v>
      </c>
      <c r="C3888" s="1" t="s">
        <v>2159</v>
      </c>
      <c r="D3888" s="1" t="s">
        <v>786</v>
      </c>
      <c r="E3888" s="1" t="s">
        <v>684</v>
      </c>
      <c r="F3888" s="1" t="s">
        <v>2830</v>
      </c>
      <c r="G3888" s="3">
        <v>0</v>
      </c>
      <c r="J3888" s="20" t="s">
        <v>2860</v>
      </c>
      <c r="K3888" s="20" t="s">
        <v>10021</v>
      </c>
      <c r="L3888" s="3">
        <v>29</v>
      </c>
      <c r="M3888" s="3" t="s">
        <v>10386</v>
      </c>
      <c r="N3888" s="3" t="str">
        <f>HYPERLINK("http://ictvonline.org/taxonomyHistory.asp?taxnode_id=20164043","ICTVonline=20164043")</f>
        <v>ICTVonline=20164043</v>
      </c>
    </row>
    <row r="3889" spans="1:14" x14ac:dyDescent="0.15">
      <c r="A3889" s="3">
        <v>3888</v>
      </c>
      <c r="B3889" s="1" t="s">
        <v>926</v>
      </c>
      <c r="C3889" s="1" t="s">
        <v>2159</v>
      </c>
      <c r="D3889" s="1" t="s">
        <v>786</v>
      </c>
      <c r="E3889" s="1" t="s">
        <v>684</v>
      </c>
      <c r="F3889" s="1" t="s">
        <v>2831</v>
      </c>
      <c r="G3889" s="3">
        <v>0</v>
      </c>
      <c r="J3889" s="20" t="s">
        <v>2860</v>
      </c>
      <c r="K3889" s="20" t="s">
        <v>10021</v>
      </c>
      <c r="L3889" s="3">
        <v>29</v>
      </c>
      <c r="M3889" s="3" t="s">
        <v>10386</v>
      </c>
      <c r="N3889" s="3" t="str">
        <f>HYPERLINK("http://ictvonline.org/taxonomyHistory.asp?taxnode_id=20164044","ICTVonline=20164044")</f>
        <v>ICTVonline=20164044</v>
      </c>
    </row>
    <row r="3890" spans="1:14" x14ac:dyDescent="0.15">
      <c r="A3890" s="3">
        <v>3889</v>
      </c>
      <c r="B3890" s="1" t="s">
        <v>926</v>
      </c>
      <c r="C3890" s="1" t="s">
        <v>2159</v>
      </c>
      <c r="D3890" s="1" t="s">
        <v>786</v>
      </c>
      <c r="E3890" s="1" t="s">
        <v>1599</v>
      </c>
      <c r="F3890" s="1" t="s">
        <v>1600</v>
      </c>
      <c r="G3890" s="3">
        <v>0</v>
      </c>
      <c r="J3890" s="20" t="s">
        <v>2860</v>
      </c>
      <c r="K3890" s="20" t="s">
        <v>10016</v>
      </c>
      <c r="L3890" s="3">
        <v>22</v>
      </c>
      <c r="M3890" s="3" t="s">
        <v>10385</v>
      </c>
      <c r="N3890" s="3" t="str">
        <f>HYPERLINK("http://ictvonline.org/taxonomyHistory.asp?taxnode_id=20164046","ICTVonline=20164046")</f>
        <v>ICTVonline=20164046</v>
      </c>
    </row>
    <row r="3891" spans="1:14" x14ac:dyDescent="0.15">
      <c r="A3891" s="3">
        <v>3890</v>
      </c>
      <c r="B3891" s="1" t="s">
        <v>926</v>
      </c>
      <c r="C3891" s="1" t="s">
        <v>2159</v>
      </c>
      <c r="D3891" s="1" t="s">
        <v>786</v>
      </c>
      <c r="E3891" s="1" t="s">
        <v>1599</v>
      </c>
      <c r="F3891" s="1" t="s">
        <v>1892</v>
      </c>
      <c r="G3891" s="3">
        <v>0</v>
      </c>
      <c r="J3891" s="20" t="s">
        <v>2860</v>
      </c>
      <c r="K3891" s="20" t="s">
        <v>10016</v>
      </c>
      <c r="L3891" s="3">
        <v>22</v>
      </c>
      <c r="M3891" s="3" t="s">
        <v>10385</v>
      </c>
      <c r="N3891" s="3" t="str">
        <f>HYPERLINK("http://ictvonline.org/taxonomyHistory.asp?taxnode_id=20164047","ICTVonline=20164047")</f>
        <v>ICTVonline=20164047</v>
      </c>
    </row>
    <row r="3892" spans="1:14" x14ac:dyDescent="0.15">
      <c r="A3892" s="3">
        <v>3891</v>
      </c>
      <c r="B3892" s="1" t="s">
        <v>926</v>
      </c>
      <c r="C3892" s="1" t="s">
        <v>2159</v>
      </c>
      <c r="D3892" s="1" t="s">
        <v>786</v>
      </c>
      <c r="E3892" s="1" t="s">
        <v>1599</v>
      </c>
      <c r="F3892" s="1" t="s">
        <v>2097</v>
      </c>
      <c r="G3892" s="3">
        <v>0</v>
      </c>
      <c r="J3892" s="20" t="s">
        <v>2860</v>
      </c>
      <c r="K3892" s="20" t="s">
        <v>10016</v>
      </c>
      <c r="L3892" s="3">
        <v>22</v>
      </c>
      <c r="M3892" s="3" t="s">
        <v>10385</v>
      </c>
      <c r="N3892" s="3" t="str">
        <f>HYPERLINK("http://ictvonline.org/taxonomyHistory.asp?taxnode_id=20164048","ICTVonline=20164048")</f>
        <v>ICTVonline=20164048</v>
      </c>
    </row>
    <row r="3893" spans="1:14" x14ac:dyDescent="0.15">
      <c r="A3893" s="3">
        <v>3892</v>
      </c>
      <c r="B3893" s="1" t="s">
        <v>926</v>
      </c>
      <c r="C3893" s="1" t="s">
        <v>2159</v>
      </c>
      <c r="D3893" s="1" t="s">
        <v>786</v>
      </c>
      <c r="E3893" s="1" t="s">
        <v>1599</v>
      </c>
      <c r="F3893" s="1" t="s">
        <v>2211</v>
      </c>
      <c r="G3893" s="3">
        <v>1</v>
      </c>
      <c r="J3893" s="20" t="s">
        <v>2860</v>
      </c>
      <c r="K3893" s="20" t="s">
        <v>10016</v>
      </c>
      <c r="L3893" s="3">
        <v>22</v>
      </c>
      <c r="M3893" s="3" t="s">
        <v>10385</v>
      </c>
      <c r="N3893" s="3" t="str">
        <f>HYPERLINK("http://ictvonline.org/taxonomyHistory.asp?taxnode_id=20164049","ICTVonline=20164049")</f>
        <v>ICTVonline=20164049</v>
      </c>
    </row>
    <row r="3894" spans="1:14" x14ac:dyDescent="0.15">
      <c r="A3894" s="3">
        <v>3893</v>
      </c>
      <c r="B3894" s="1" t="s">
        <v>926</v>
      </c>
      <c r="C3894" s="1" t="s">
        <v>2159</v>
      </c>
      <c r="D3894" s="1" t="s">
        <v>786</v>
      </c>
      <c r="E3894" s="1" t="s">
        <v>1599</v>
      </c>
      <c r="F3894" s="1" t="s">
        <v>1573</v>
      </c>
      <c r="G3894" s="3">
        <v>0</v>
      </c>
      <c r="J3894" s="20" t="s">
        <v>2860</v>
      </c>
      <c r="K3894" s="20" t="s">
        <v>10016</v>
      </c>
      <c r="L3894" s="3">
        <v>22</v>
      </c>
      <c r="M3894" s="3" t="s">
        <v>10385</v>
      </c>
      <c r="N3894" s="3" t="str">
        <f>HYPERLINK("http://ictvonline.org/taxonomyHistory.asp?taxnode_id=20164050","ICTVonline=20164050")</f>
        <v>ICTVonline=20164050</v>
      </c>
    </row>
    <row r="3895" spans="1:14" x14ac:dyDescent="0.15">
      <c r="A3895" s="3">
        <v>3894</v>
      </c>
      <c r="B3895" s="1" t="s">
        <v>926</v>
      </c>
      <c r="C3895" s="1" t="s">
        <v>2159</v>
      </c>
      <c r="D3895" s="1" t="s">
        <v>786</v>
      </c>
      <c r="E3895" s="1" t="s">
        <v>1599</v>
      </c>
      <c r="F3895" s="1" t="s">
        <v>2832</v>
      </c>
      <c r="G3895" s="3">
        <v>0</v>
      </c>
      <c r="J3895" s="20" t="s">
        <v>2860</v>
      </c>
      <c r="K3895" s="20" t="s">
        <v>10021</v>
      </c>
      <c r="L3895" s="3">
        <v>29</v>
      </c>
      <c r="M3895" s="3" t="s">
        <v>10386</v>
      </c>
      <c r="N3895" s="3" t="str">
        <f>HYPERLINK("http://ictvonline.org/taxonomyHistory.asp?taxnode_id=20164051","ICTVonline=20164051")</f>
        <v>ICTVonline=20164051</v>
      </c>
    </row>
    <row r="3896" spans="1:14" x14ac:dyDescent="0.15">
      <c r="A3896" s="3">
        <v>3895</v>
      </c>
      <c r="B3896" s="1" t="s">
        <v>926</v>
      </c>
      <c r="C3896" s="1" t="s">
        <v>2159</v>
      </c>
      <c r="D3896" s="1" t="s">
        <v>786</v>
      </c>
      <c r="E3896" s="1" t="s">
        <v>926</v>
      </c>
      <c r="F3896" s="1" t="s">
        <v>2213</v>
      </c>
      <c r="G3896" s="3">
        <v>0</v>
      </c>
      <c r="J3896" s="20" t="s">
        <v>2860</v>
      </c>
      <c r="K3896" s="20" t="s">
        <v>10013</v>
      </c>
      <c r="L3896" s="3">
        <v>23</v>
      </c>
      <c r="M3896" s="3" t="s">
        <v>10229</v>
      </c>
      <c r="N3896" s="3" t="str">
        <f>HYPERLINK("http://ictvonline.org/taxonomyHistory.asp?taxnode_id=20164053","ICTVonline=20164053")</f>
        <v>ICTVonline=20164053</v>
      </c>
    </row>
    <row r="3897" spans="1:14" x14ac:dyDescent="0.15">
      <c r="A3897" s="3">
        <v>3896</v>
      </c>
      <c r="B3897" s="1" t="s">
        <v>926</v>
      </c>
      <c r="C3897" s="1" t="s">
        <v>2159</v>
      </c>
      <c r="D3897" s="1" t="s">
        <v>786</v>
      </c>
      <c r="E3897" s="1" t="s">
        <v>926</v>
      </c>
      <c r="F3897" s="1" t="s">
        <v>3233</v>
      </c>
      <c r="G3897" s="3">
        <v>0</v>
      </c>
      <c r="J3897" s="20" t="s">
        <v>2860</v>
      </c>
      <c r="K3897" s="20" t="s">
        <v>10016</v>
      </c>
      <c r="L3897" s="3">
        <v>22</v>
      </c>
      <c r="M3897" s="3" t="s">
        <v>10388</v>
      </c>
      <c r="N3897" s="3" t="str">
        <f>HYPERLINK("http://ictvonline.org/taxonomyHistory.asp?taxnode_id=20164054","ICTVonline=20164054")</f>
        <v>ICTVonline=20164054</v>
      </c>
    </row>
    <row r="3898" spans="1:14" x14ac:dyDescent="0.15">
      <c r="A3898" s="3">
        <v>3897</v>
      </c>
      <c r="B3898" s="1" t="s">
        <v>926</v>
      </c>
      <c r="C3898" s="1" t="s">
        <v>2214</v>
      </c>
      <c r="E3898" s="1" t="s">
        <v>2215</v>
      </c>
      <c r="F3898" s="1" t="s">
        <v>1574</v>
      </c>
      <c r="G3898" s="3">
        <v>0</v>
      </c>
      <c r="J3898" s="20" t="s">
        <v>3178</v>
      </c>
      <c r="K3898" s="20" t="s">
        <v>10013</v>
      </c>
      <c r="L3898" s="3">
        <v>22</v>
      </c>
      <c r="M3898" s="3" t="s">
        <v>10389</v>
      </c>
      <c r="N3898" s="3" t="str">
        <f>HYPERLINK("http://ictvonline.org/taxonomyHistory.asp?taxnode_id=20164058","ICTVonline=20164058")</f>
        <v>ICTVonline=20164058</v>
      </c>
    </row>
    <row r="3899" spans="1:14" x14ac:dyDescent="0.15">
      <c r="A3899" s="3">
        <v>3898</v>
      </c>
      <c r="B3899" s="1" t="s">
        <v>926</v>
      </c>
      <c r="C3899" s="1" t="s">
        <v>2214</v>
      </c>
      <c r="E3899" s="1" t="s">
        <v>2215</v>
      </c>
      <c r="F3899" s="1" t="s">
        <v>1575</v>
      </c>
      <c r="G3899" s="3">
        <v>0</v>
      </c>
      <c r="H3899" s="20" t="s">
        <v>6062</v>
      </c>
      <c r="I3899" s="20" t="s">
        <v>6063</v>
      </c>
      <c r="J3899" s="20" t="s">
        <v>3178</v>
      </c>
      <c r="K3899" s="20" t="s">
        <v>10013</v>
      </c>
      <c r="L3899" s="3">
        <v>22</v>
      </c>
      <c r="M3899" s="3" t="s">
        <v>10389</v>
      </c>
      <c r="N3899" s="3" t="str">
        <f>HYPERLINK("http://ictvonline.org/taxonomyHistory.asp?taxnode_id=20164059","ICTVonline=20164059")</f>
        <v>ICTVonline=20164059</v>
      </c>
    </row>
    <row r="3900" spans="1:14" x14ac:dyDescent="0.15">
      <c r="A3900" s="3">
        <v>3899</v>
      </c>
      <c r="B3900" s="1" t="s">
        <v>926</v>
      </c>
      <c r="C3900" s="1" t="s">
        <v>2214</v>
      </c>
      <c r="E3900" s="1" t="s">
        <v>2215</v>
      </c>
      <c r="F3900" s="1" t="s">
        <v>1610</v>
      </c>
      <c r="G3900" s="3">
        <v>0</v>
      </c>
      <c r="H3900" s="20" t="s">
        <v>6064</v>
      </c>
      <c r="I3900" s="20" t="s">
        <v>6065</v>
      </c>
      <c r="J3900" s="20" t="s">
        <v>3178</v>
      </c>
      <c r="K3900" s="20" t="s">
        <v>10013</v>
      </c>
      <c r="L3900" s="3">
        <v>22</v>
      </c>
      <c r="M3900" s="3" t="s">
        <v>10389</v>
      </c>
      <c r="N3900" s="3" t="str">
        <f>HYPERLINK("http://ictvonline.org/taxonomyHistory.asp?taxnode_id=20164060","ICTVonline=20164060")</f>
        <v>ICTVonline=20164060</v>
      </c>
    </row>
    <row r="3901" spans="1:14" x14ac:dyDescent="0.15">
      <c r="A3901" s="3">
        <v>3900</v>
      </c>
      <c r="B3901" s="1" t="s">
        <v>926</v>
      </c>
      <c r="C3901" s="1" t="s">
        <v>2214</v>
      </c>
      <c r="E3901" s="1" t="s">
        <v>2215</v>
      </c>
      <c r="F3901" s="1" t="s">
        <v>1611</v>
      </c>
      <c r="G3901" s="3">
        <v>0</v>
      </c>
      <c r="J3901" s="20" t="s">
        <v>3178</v>
      </c>
      <c r="K3901" s="20" t="s">
        <v>10013</v>
      </c>
      <c r="L3901" s="3">
        <v>18</v>
      </c>
      <c r="M3901" s="3" t="s">
        <v>10101</v>
      </c>
      <c r="N3901" s="3" t="str">
        <f>HYPERLINK("http://ictvonline.org/taxonomyHistory.asp?taxnode_id=20164061","ICTVonline=20164061")</f>
        <v>ICTVonline=20164061</v>
      </c>
    </row>
    <row r="3902" spans="1:14" x14ac:dyDescent="0.15">
      <c r="A3902" s="3">
        <v>3901</v>
      </c>
      <c r="B3902" s="1" t="s">
        <v>926</v>
      </c>
      <c r="C3902" s="1" t="s">
        <v>2214</v>
      </c>
      <c r="E3902" s="1" t="s">
        <v>2215</v>
      </c>
      <c r="F3902" s="1" t="s">
        <v>1944</v>
      </c>
      <c r="G3902" s="3">
        <v>1</v>
      </c>
      <c r="J3902" s="20" t="s">
        <v>3178</v>
      </c>
      <c r="K3902" s="20" t="s">
        <v>10072</v>
      </c>
      <c r="L3902" s="3">
        <v>17</v>
      </c>
      <c r="M3902" s="3" t="s">
        <v>10208</v>
      </c>
      <c r="N3902" s="3" t="str">
        <f>HYPERLINK("http://ictvonline.org/taxonomyHistory.asp?taxnode_id=20164062","ICTVonline=20164062")</f>
        <v>ICTVonline=20164062</v>
      </c>
    </row>
    <row r="3903" spans="1:14" x14ac:dyDescent="0.15">
      <c r="A3903" s="3">
        <v>3902</v>
      </c>
      <c r="B3903" s="1" t="s">
        <v>926</v>
      </c>
      <c r="C3903" s="1" t="s">
        <v>2214</v>
      </c>
      <c r="E3903" s="1" t="s">
        <v>2215</v>
      </c>
      <c r="F3903" s="1" t="s">
        <v>1945</v>
      </c>
      <c r="G3903" s="3">
        <v>0</v>
      </c>
      <c r="H3903" s="20" t="s">
        <v>6066</v>
      </c>
      <c r="I3903" s="20" t="s">
        <v>6067</v>
      </c>
      <c r="J3903" s="20" t="s">
        <v>3178</v>
      </c>
      <c r="K3903" s="20" t="s">
        <v>10013</v>
      </c>
      <c r="L3903" s="3">
        <v>18</v>
      </c>
      <c r="M3903" s="3" t="s">
        <v>10101</v>
      </c>
      <c r="N3903" s="3" t="str">
        <f>HYPERLINK("http://ictvonline.org/taxonomyHistory.asp?taxnode_id=20164063","ICTVonline=20164063")</f>
        <v>ICTVonline=20164063</v>
      </c>
    </row>
    <row r="3904" spans="1:14" x14ac:dyDescent="0.15">
      <c r="A3904" s="3">
        <v>3903</v>
      </c>
      <c r="B3904" s="1" t="s">
        <v>926</v>
      </c>
      <c r="C3904" s="1" t="s">
        <v>2214</v>
      </c>
      <c r="E3904" s="1" t="s">
        <v>2215</v>
      </c>
      <c r="F3904" s="1" t="s">
        <v>2156</v>
      </c>
      <c r="G3904" s="3">
        <v>0</v>
      </c>
      <c r="H3904" s="20" t="s">
        <v>6068</v>
      </c>
      <c r="I3904" s="20" t="s">
        <v>6069</v>
      </c>
      <c r="J3904" s="20" t="s">
        <v>3178</v>
      </c>
      <c r="K3904" s="20" t="s">
        <v>10013</v>
      </c>
      <c r="L3904" s="3">
        <v>22</v>
      </c>
      <c r="M3904" s="3" t="s">
        <v>10389</v>
      </c>
      <c r="N3904" s="3" t="str">
        <f>HYPERLINK("http://ictvonline.org/taxonomyHistory.asp?taxnode_id=20164064","ICTVonline=20164064")</f>
        <v>ICTVonline=20164064</v>
      </c>
    </row>
    <row r="3905" spans="1:14" x14ac:dyDescent="0.15">
      <c r="A3905" s="3">
        <v>3904</v>
      </c>
      <c r="B3905" s="1" t="s">
        <v>926</v>
      </c>
      <c r="C3905" s="1" t="s">
        <v>2214</v>
      </c>
      <c r="E3905" s="1" t="s">
        <v>2215</v>
      </c>
      <c r="F3905" s="1" t="s">
        <v>1962</v>
      </c>
      <c r="G3905" s="3">
        <v>0</v>
      </c>
      <c r="H3905" s="20" t="s">
        <v>6070</v>
      </c>
      <c r="I3905" s="20" t="s">
        <v>6071</v>
      </c>
      <c r="J3905" s="20" t="s">
        <v>3178</v>
      </c>
      <c r="K3905" s="20" t="s">
        <v>10013</v>
      </c>
      <c r="L3905" s="3">
        <v>18</v>
      </c>
      <c r="M3905" s="3" t="s">
        <v>10101</v>
      </c>
      <c r="N3905" s="3" t="str">
        <f>HYPERLINK("http://ictvonline.org/taxonomyHistory.asp?taxnode_id=20164065","ICTVonline=20164065")</f>
        <v>ICTVonline=20164065</v>
      </c>
    </row>
    <row r="3906" spans="1:14" x14ac:dyDescent="0.15">
      <c r="A3906" s="3">
        <v>3905</v>
      </c>
      <c r="B3906" s="1" t="s">
        <v>926</v>
      </c>
      <c r="C3906" s="1" t="s">
        <v>2214</v>
      </c>
      <c r="E3906" s="1" t="s">
        <v>1963</v>
      </c>
      <c r="F3906" s="1" t="s">
        <v>290</v>
      </c>
      <c r="G3906" s="3">
        <v>0</v>
      </c>
      <c r="H3906" s="20" t="s">
        <v>6072</v>
      </c>
      <c r="I3906" s="20" t="s">
        <v>6073</v>
      </c>
      <c r="J3906" s="20" t="s">
        <v>3178</v>
      </c>
      <c r="K3906" s="20" t="s">
        <v>10013</v>
      </c>
      <c r="L3906" s="3">
        <v>22</v>
      </c>
      <c r="M3906" s="3" t="s">
        <v>10389</v>
      </c>
      <c r="N3906" s="3" t="str">
        <f>HYPERLINK("http://ictvonline.org/taxonomyHistory.asp?taxnode_id=20164067","ICTVonline=20164067")</f>
        <v>ICTVonline=20164067</v>
      </c>
    </row>
    <row r="3907" spans="1:14" x14ac:dyDescent="0.15">
      <c r="A3907" s="3">
        <v>3906</v>
      </c>
      <c r="B3907" s="1" t="s">
        <v>926</v>
      </c>
      <c r="C3907" s="1" t="s">
        <v>2214</v>
      </c>
      <c r="E3907" s="1" t="s">
        <v>1963</v>
      </c>
      <c r="F3907" s="1" t="s">
        <v>291</v>
      </c>
      <c r="G3907" s="3">
        <v>0</v>
      </c>
      <c r="H3907" s="20" t="s">
        <v>6074</v>
      </c>
      <c r="I3907" s="20" t="s">
        <v>6075</v>
      </c>
      <c r="J3907" s="20" t="s">
        <v>3178</v>
      </c>
      <c r="K3907" s="20" t="s">
        <v>10013</v>
      </c>
      <c r="L3907" s="3">
        <v>22</v>
      </c>
      <c r="M3907" s="3" t="s">
        <v>10389</v>
      </c>
      <c r="N3907" s="3" t="str">
        <f>HYPERLINK("http://ictvonline.org/taxonomyHistory.asp?taxnode_id=20164068","ICTVonline=20164068")</f>
        <v>ICTVonline=20164068</v>
      </c>
    </row>
    <row r="3908" spans="1:14" x14ac:dyDescent="0.15">
      <c r="A3908" s="3">
        <v>3907</v>
      </c>
      <c r="B3908" s="1" t="s">
        <v>926</v>
      </c>
      <c r="C3908" s="1" t="s">
        <v>2214</v>
      </c>
      <c r="E3908" s="1" t="s">
        <v>1963</v>
      </c>
      <c r="F3908" s="1" t="s">
        <v>3241</v>
      </c>
      <c r="G3908" s="3">
        <v>0</v>
      </c>
      <c r="H3908" s="20" t="s">
        <v>6076</v>
      </c>
      <c r="I3908" s="20" t="s">
        <v>6077</v>
      </c>
      <c r="J3908" s="20" t="s">
        <v>3178</v>
      </c>
      <c r="K3908" s="20" t="s">
        <v>10013</v>
      </c>
      <c r="L3908" s="3">
        <v>22</v>
      </c>
      <c r="M3908" s="3" t="s">
        <v>10389</v>
      </c>
      <c r="N3908" s="3" t="str">
        <f>HYPERLINK("http://ictvonline.org/taxonomyHistory.asp?taxnode_id=20164069","ICTVonline=20164069")</f>
        <v>ICTVonline=20164069</v>
      </c>
    </row>
    <row r="3909" spans="1:14" x14ac:dyDescent="0.15">
      <c r="A3909" s="3">
        <v>3908</v>
      </c>
      <c r="B3909" s="1" t="s">
        <v>926</v>
      </c>
      <c r="C3909" s="1" t="s">
        <v>2214</v>
      </c>
      <c r="E3909" s="1" t="s">
        <v>1963</v>
      </c>
      <c r="F3909" s="1" t="s">
        <v>1317</v>
      </c>
      <c r="G3909" s="3">
        <v>0</v>
      </c>
      <c r="H3909" s="20" t="s">
        <v>6078</v>
      </c>
      <c r="I3909" s="20" t="s">
        <v>6079</v>
      </c>
      <c r="J3909" s="20" t="s">
        <v>3178</v>
      </c>
      <c r="K3909" s="20" t="s">
        <v>10013</v>
      </c>
      <c r="L3909" s="3">
        <v>18</v>
      </c>
      <c r="M3909" s="3" t="s">
        <v>10101</v>
      </c>
      <c r="N3909" s="3" t="str">
        <f>HYPERLINK("http://ictvonline.org/taxonomyHistory.asp?taxnode_id=20164070","ICTVonline=20164070")</f>
        <v>ICTVonline=20164070</v>
      </c>
    </row>
    <row r="3910" spans="1:14" x14ac:dyDescent="0.15">
      <c r="A3910" s="3">
        <v>3909</v>
      </c>
      <c r="B3910" s="1" t="s">
        <v>926</v>
      </c>
      <c r="C3910" s="1" t="s">
        <v>2214</v>
      </c>
      <c r="E3910" s="1" t="s">
        <v>1963</v>
      </c>
      <c r="F3910" s="1" t="s">
        <v>1318</v>
      </c>
      <c r="G3910" s="3">
        <v>0</v>
      </c>
      <c r="H3910" s="20" t="s">
        <v>6080</v>
      </c>
      <c r="I3910" s="20" t="s">
        <v>6081</v>
      </c>
      <c r="J3910" s="20" t="s">
        <v>3178</v>
      </c>
      <c r="K3910" s="20" t="s">
        <v>10013</v>
      </c>
      <c r="L3910" s="3">
        <v>22</v>
      </c>
      <c r="M3910" s="3" t="s">
        <v>10389</v>
      </c>
      <c r="N3910" s="3" t="str">
        <f>HYPERLINK("http://ictvonline.org/taxonomyHistory.asp?taxnode_id=20164071","ICTVonline=20164071")</f>
        <v>ICTVonline=20164071</v>
      </c>
    </row>
    <row r="3911" spans="1:14" x14ac:dyDescent="0.15">
      <c r="A3911" s="3">
        <v>3910</v>
      </c>
      <c r="B3911" s="1" t="s">
        <v>926</v>
      </c>
      <c r="C3911" s="1" t="s">
        <v>2214</v>
      </c>
      <c r="E3911" s="1" t="s">
        <v>1963</v>
      </c>
      <c r="F3911" s="1" t="s">
        <v>1319</v>
      </c>
      <c r="G3911" s="3">
        <v>0</v>
      </c>
      <c r="J3911" s="20" t="s">
        <v>3178</v>
      </c>
      <c r="K3911" s="20" t="s">
        <v>10013</v>
      </c>
      <c r="L3911" s="3">
        <v>22</v>
      </c>
      <c r="M3911" s="3" t="s">
        <v>10389</v>
      </c>
      <c r="N3911" s="3" t="str">
        <f>HYPERLINK("http://ictvonline.org/taxonomyHistory.asp?taxnode_id=20164072","ICTVonline=20164072")</f>
        <v>ICTVonline=20164072</v>
      </c>
    </row>
    <row r="3912" spans="1:14" x14ac:dyDescent="0.15">
      <c r="A3912" s="3">
        <v>3911</v>
      </c>
      <c r="B3912" s="1" t="s">
        <v>926</v>
      </c>
      <c r="C3912" s="1" t="s">
        <v>2214</v>
      </c>
      <c r="E3912" s="1" t="s">
        <v>1963</v>
      </c>
      <c r="F3912" s="1" t="s">
        <v>1320</v>
      </c>
      <c r="G3912" s="3">
        <v>0</v>
      </c>
      <c r="H3912" s="20" t="s">
        <v>6082</v>
      </c>
      <c r="I3912" s="20" t="s">
        <v>6083</v>
      </c>
      <c r="J3912" s="20" t="s">
        <v>3178</v>
      </c>
      <c r="K3912" s="20" t="s">
        <v>10013</v>
      </c>
      <c r="L3912" s="3">
        <v>22</v>
      </c>
      <c r="M3912" s="3" t="s">
        <v>10389</v>
      </c>
      <c r="N3912" s="3" t="str">
        <f>HYPERLINK("http://ictvonline.org/taxonomyHistory.asp?taxnode_id=20164073","ICTVonline=20164073")</f>
        <v>ICTVonline=20164073</v>
      </c>
    </row>
    <row r="3913" spans="1:14" x14ac:dyDescent="0.15">
      <c r="A3913" s="3">
        <v>3912</v>
      </c>
      <c r="B3913" s="1" t="s">
        <v>926</v>
      </c>
      <c r="C3913" s="1" t="s">
        <v>2214</v>
      </c>
      <c r="E3913" s="1" t="s">
        <v>1963</v>
      </c>
      <c r="F3913" s="1" t="s">
        <v>1321</v>
      </c>
      <c r="G3913" s="3">
        <v>0</v>
      </c>
      <c r="H3913" s="20" t="s">
        <v>6084</v>
      </c>
      <c r="I3913" s="20" t="s">
        <v>6085</v>
      </c>
      <c r="J3913" s="20" t="s">
        <v>3178</v>
      </c>
      <c r="K3913" s="20" t="s">
        <v>10013</v>
      </c>
      <c r="L3913" s="3">
        <v>18</v>
      </c>
      <c r="M3913" s="3" t="s">
        <v>10101</v>
      </c>
      <c r="N3913" s="3" t="str">
        <f>HYPERLINK("http://ictvonline.org/taxonomyHistory.asp?taxnode_id=20164074","ICTVonline=20164074")</f>
        <v>ICTVonline=20164074</v>
      </c>
    </row>
    <row r="3914" spans="1:14" x14ac:dyDescent="0.15">
      <c r="A3914" s="3">
        <v>3913</v>
      </c>
      <c r="B3914" s="1" t="s">
        <v>926</v>
      </c>
      <c r="C3914" s="1" t="s">
        <v>2214</v>
      </c>
      <c r="E3914" s="1" t="s">
        <v>1963</v>
      </c>
      <c r="F3914" s="1" t="s">
        <v>1322</v>
      </c>
      <c r="G3914" s="3">
        <v>0</v>
      </c>
      <c r="H3914" s="20" t="s">
        <v>6086</v>
      </c>
      <c r="I3914" s="20" t="s">
        <v>6087</v>
      </c>
      <c r="J3914" s="20" t="s">
        <v>3178</v>
      </c>
      <c r="K3914" s="20" t="s">
        <v>10013</v>
      </c>
      <c r="L3914" s="3">
        <v>18</v>
      </c>
      <c r="M3914" s="3" t="s">
        <v>10101</v>
      </c>
      <c r="N3914" s="3" t="str">
        <f>HYPERLINK("http://ictvonline.org/taxonomyHistory.asp?taxnode_id=20164075","ICTVonline=20164075")</f>
        <v>ICTVonline=20164075</v>
      </c>
    </row>
    <row r="3915" spans="1:14" x14ac:dyDescent="0.15">
      <c r="A3915" s="3">
        <v>3914</v>
      </c>
      <c r="B3915" s="1" t="s">
        <v>926</v>
      </c>
      <c r="C3915" s="1" t="s">
        <v>2214</v>
      </c>
      <c r="E3915" s="1" t="s">
        <v>1963</v>
      </c>
      <c r="F3915" s="1" t="s">
        <v>1323</v>
      </c>
      <c r="G3915" s="3">
        <v>0</v>
      </c>
      <c r="H3915" s="20" t="s">
        <v>6088</v>
      </c>
      <c r="I3915" s="20" t="s">
        <v>6089</v>
      </c>
      <c r="J3915" s="20" t="s">
        <v>3178</v>
      </c>
      <c r="K3915" s="20" t="s">
        <v>10013</v>
      </c>
      <c r="L3915" s="3">
        <v>18</v>
      </c>
      <c r="M3915" s="3" t="s">
        <v>10101</v>
      </c>
      <c r="N3915" s="3" t="str">
        <f>HYPERLINK("http://ictvonline.org/taxonomyHistory.asp?taxnode_id=20164076","ICTVonline=20164076")</f>
        <v>ICTVonline=20164076</v>
      </c>
    </row>
    <row r="3916" spans="1:14" x14ac:dyDescent="0.15">
      <c r="A3916" s="3">
        <v>3915</v>
      </c>
      <c r="B3916" s="1" t="s">
        <v>926</v>
      </c>
      <c r="C3916" s="1" t="s">
        <v>2214</v>
      </c>
      <c r="E3916" s="1" t="s">
        <v>1963</v>
      </c>
      <c r="F3916" s="1" t="s">
        <v>1745</v>
      </c>
      <c r="G3916" s="3">
        <v>0</v>
      </c>
      <c r="H3916" s="20" t="s">
        <v>6090</v>
      </c>
      <c r="I3916" s="20" t="s">
        <v>6091</v>
      </c>
      <c r="J3916" s="20" t="s">
        <v>3178</v>
      </c>
      <c r="K3916" s="20" t="s">
        <v>10013</v>
      </c>
      <c r="L3916" s="3">
        <v>22</v>
      </c>
      <c r="M3916" s="3" t="s">
        <v>10389</v>
      </c>
      <c r="N3916" s="3" t="str">
        <f>HYPERLINK("http://ictvonline.org/taxonomyHistory.asp?taxnode_id=20164077","ICTVonline=20164077")</f>
        <v>ICTVonline=20164077</v>
      </c>
    </row>
    <row r="3917" spans="1:14" x14ac:dyDescent="0.15">
      <c r="A3917" s="3">
        <v>3916</v>
      </c>
      <c r="B3917" s="1" t="s">
        <v>926</v>
      </c>
      <c r="C3917" s="1" t="s">
        <v>2214</v>
      </c>
      <c r="E3917" s="1" t="s">
        <v>1963</v>
      </c>
      <c r="F3917" s="1" t="s">
        <v>1746</v>
      </c>
      <c r="G3917" s="3">
        <v>0</v>
      </c>
      <c r="H3917" s="20" t="s">
        <v>6092</v>
      </c>
      <c r="I3917" s="20" t="s">
        <v>6093</v>
      </c>
      <c r="J3917" s="20" t="s">
        <v>3178</v>
      </c>
      <c r="K3917" s="20" t="s">
        <v>10013</v>
      </c>
      <c r="L3917" s="3">
        <v>22</v>
      </c>
      <c r="M3917" s="3" t="s">
        <v>10389</v>
      </c>
      <c r="N3917" s="3" t="str">
        <f>HYPERLINK("http://ictvonline.org/taxonomyHistory.asp?taxnode_id=20164078","ICTVonline=20164078")</f>
        <v>ICTVonline=20164078</v>
      </c>
    </row>
    <row r="3918" spans="1:14" x14ac:dyDescent="0.15">
      <c r="A3918" s="3">
        <v>3917</v>
      </c>
      <c r="B3918" s="1" t="s">
        <v>926</v>
      </c>
      <c r="C3918" s="1" t="s">
        <v>2214</v>
      </c>
      <c r="E3918" s="1" t="s">
        <v>1963</v>
      </c>
      <c r="F3918" s="1" t="s">
        <v>1747</v>
      </c>
      <c r="G3918" s="3">
        <v>0</v>
      </c>
      <c r="J3918" s="20" t="s">
        <v>3178</v>
      </c>
      <c r="K3918" s="20" t="s">
        <v>10013</v>
      </c>
      <c r="L3918" s="3">
        <v>18</v>
      </c>
      <c r="M3918" s="3" t="s">
        <v>10101</v>
      </c>
      <c r="N3918" s="3" t="str">
        <f>HYPERLINK("http://ictvonline.org/taxonomyHistory.asp?taxnode_id=20164079","ICTVonline=20164079")</f>
        <v>ICTVonline=20164079</v>
      </c>
    </row>
    <row r="3919" spans="1:14" x14ac:dyDescent="0.15">
      <c r="A3919" s="3">
        <v>3918</v>
      </c>
      <c r="B3919" s="1" t="s">
        <v>926</v>
      </c>
      <c r="C3919" s="1" t="s">
        <v>2214</v>
      </c>
      <c r="E3919" s="1" t="s">
        <v>1963</v>
      </c>
      <c r="F3919" s="1" t="s">
        <v>1748</v>
      </c>
      <c r="G3919" s="3">
        <v>1</v>
      </c>
      <c r="H3919" s="20" t="s">
        <v>6094</v>
      </c>
      <c r="I3919" s="20" t="s">
        <v>6095</v>
      </c>
      <c r="J3919" s="20" t="s">
        <v>3178</v>
      </c>
      <c r="K3919" s="20" t="s">
        <v>10072</v>
      </c>
      <c r="L3919" s="3">
        <v>17</v>
      </c>
      <c r="M3919" s="3" t="s">
        <v>10208</v>
      </c>
      <c r="N3919" s="3" t="str">
        <f>HYPERLINK("http://ictvonline.org/taxonomyHistory.asp?taxnode_id=20164080","ICTVonline=20164080")</f>
        <v>ICTVonline=20164080</v>
      </c>
    </row>
    <row r="3920" spans="1:14" x14ac:dyDescent="0.15">
      <c r="A3920" s="3">
        <v>3919</v>
      </c>
      <c r="B3920" s="1" t="s">
        <v>926</v>
      </c>
      <c r="C3920" s="1" t="s">
        <v>2214</v>
      </c>
      <c r="E3920" s="1" t="s">
        <v>1963</v>
      </c>
      <c r="F3920" s="1" t="s">
        <v>1749</v>
      </c>
      <c r="G3920" s="3">
        <v>0</v>
      </c>
      <c r="H3920" s="20" t="s">
        <v>6096</v>
      </c>
      <c r="I3920" s="20" t="s">
        <v>6097</v>
      </c>
      <c r="J3920" s="20" t="s">
        <v>3178</v>
      </c>
      <c r="K3920" s="20" t="s">
        <v>10013</v>
      </c>
      <c r="L3920" s="3">
        <v>18</v>
      </c>
      <c r="M3920" s="3" t="s">
        <v>10101</v>
      </c>
      <c r="N3920" s="3" t="str">
        <f>HYPERLINK("http://ictvonline.org/taxonomyHistory.asp?taxnode_id=20164081","ICTVonline=20164081")</f>
        <v>ICTVonline=20164081</v>
      </c>
    </row>
    <row r="3921" spans="1:14" x14ac:dyDescent="0.15">
      <c r="A3921" s="3">
        <v>3920</v>
      </c>
      <c r="B3921" s="1" t="s">
        <v>926</v>
      </c>
      <c r="C3921" s="1" t="s">
        <v>2214</v>
      </c>
      <c r="E3921" s="1" t="s">
        <v>1963</v>
      </c>
      <c r="F3921" s="1" t="s">
        <v>723</v>
      </c>
      <c r="G3921" s="3">
        <v>0</v>
      </c>
      <c r="H3921" s="20" t="s">
        <v>6098</v>
      </c>
      <c r="I3921" s="20" t="s">
        <v>6099</v>
      </c>
      <c r="J3921" s="20" t="s">
        <v>3178</v>
      </c>
      <c r="K3921" s="20" t="s">
        <v>10013</v>
      </c>
      <c r="L3921" s="3">
        <v>18</v>
      </c>
      <c r="M3921" s="3" t="s">
        <v>10101</v>
      </c>
      <c r="N3921" s="3" t="str">
        <f>HYPERLINK("http://ictvonline.org/taxonomyHistory.asp?taxnode_id=20164082","ICTVonline=20164082")</f>
        <v>ICTVonline=20164082</v>
      </c>
    </row>
    <row r="3922" spans="1:14" x14ac:dyDescent="0.15">
      <c r="A3922" s="3">
        <v>3921</v>
      </c>
      <c r="B3922" s="1" t="s">
        <v>926</v>
      </c>
      <c r="C3922" s="1" t="s">
        <v>2214</v>
      </c>
      <c r="E3922" s="1" t="s">
        <v>1963</v>
      </c>
      <c r="F3922" s="1" t="s">
        <v>1821</v>
      </c>
      <c r="G3922" s="3">
        <v>0</v>
      </c>
      <c r="H3922" s="20" t="s">
        <v>6100</v>
      </c>
      <c r="I3922" s="20" t="s">
        <v>6101</v>
      </c>
      <c r="J3922" s="20" t="s">
        <v>3178</v>
      </c>
      <c r="K3922" s="20" t="s">
        <v>10013</v>
      </c>
      <c r="L3922" s="3">
        <v>18</v>
      </c>
      <c r="M3922" s="3" t="s">
        <v>10101</v>
      </c>
      <c r="N3922" s="3" t="str">
        <f>HYPERLINK("http://ictvonline.org/taxonomyHistory.asp?taxnode_id=20164083","ICTVonline=20164083")</f>
        <v>ICTVonline=20164083</v>
      </c>
    </row>
    <row r="3923" spans="1:14" x14ac:dyDescent="0.15">
      <c r="A3923" s="3">
        <v>3922</v>
      </c>
      <c r="B3923" s="1" t="s">
        <v>926</v>
      </c>
      <c r="C3923" s="1" t="s">
        <v>2214</v>
      </c>
      <c r="E3923" s="1" t="s">
        <v>1963</v>
      </c>
      <c r="F3923" s="1" t="s">
        <v>1822</v>
      </c>
      <c r="G3923" s="3">
        <v>0</v>
      </c>
      <c r="J3923" s="20" t="s">
        <v>3178</v>
      </c>
      <c r="K3923" s="20" t="s">
        <v>10013</v>
      </c>
      <c r="L3923" s="3">
        <v>18</v>
      </c>
      <c r="M3923" s="3" t="s">
        <v>10101</v>
      </c>
      <c r="N3923" s="3" t="str">
        <f>HYPERLINK("http://ictvonline.org/taxonomyHistory.asp?taxnode_id=20164084","ICTVonline=20164084")</f>
        <v>ICTVonline=20164084</v>
      </c>
    </row>
    <row r="3924" spans="1:14" x14ac:dyDescent="0.15">
      <c r="A3924" s="3">
        <v>3923</v>
      </c>
      <c r="B3924" s="1" t="s">
        <v>926</v>
      </c>
      <c r="C3924" s="1" t="s">
        <v>2214</v>
      </c>
      <c r="E3924" s="1" t="s">
        <v>1963</v>
      </c>
      <c r="F3924" s="1" t="s">
        <v>1823</v>
      </c>
      <c r="G3924" s="3">
        <v>0</v>
      </c>
      <c r="H3924" s="20" t="s">
        <v>6102</v>
      </c>
      <c r="I3924" s="20" t="s">
        <v>6103</v>
      </c>
      <c r="J3924" s="20" t="s">
        <v>3178</v>
      </c>
      <c r="K3924" s="20" t="s">
        <v>10013</v>
      </c>
      <c r="L3924" s="3">
        <v>18</v>
      </c>
      <c r="M3924" s="3" t="s">
        <v>10101</v>
      </c>
      <c r="N3924" s="3" t="str">
        <f>HYPERLINK("http://ictvonline.org/taxonomyHistory.asp?taxnode_id=20164085","ICTVonline=20164085")</f>
        <v>ICTVonline=20164085</v>
      </c>
    </row>
    <row r="3925" spans="1:14" x14ac:dyDescent="0.15">
      <c r="A3925" s="3">
        <v>3924</v>
      </c>
      <c r="B3925" s="1" t="s">
        <v>926</v>
      </c>
      <c r="C3925" s="1" t="s">
        <v>2214</v>
      </c>
      <c r="E3925" s="1" t="s">
        <v>1963</v>
      </c>
      <c r="F3925" s="1" t="s">
        <v>1824</v>
      </c>
      <c r="G3925" s="3">
        <v>0</v>
      </c>
      <c r="H3925" s="20" t="s">
        <v>6104</v>
      </c>
      <c r="I3925" s="20" t="s">
        <v>6105</v>
      </c>
      <c r="J3925" s="20" t="s">
        <v>3178</v>
      </c>
      <c r="K3925" s="20" t="s">
        <v>10013</v>
      </c>
      <c r="L3925" s="3">
        <v>22</v>
      </c>
      <c r="M3925" s="3" t="s">
        <v>10389</v>
      </c>
      <c r="N3925" s="3" t="str">
        <f>HYPERLINK("http://ictvonline.org/taxonomyHistory.asp?taxnode_id=20164086","ICTVonline=20164086")</f>
        <v>ICTVonline=20164086</v>
      </c>
    </row>
    <row r="3926" spans="1:14" x14ac:dyDescent="0.15">
      <c r="A3926" s="3">
        <v>3925</v>
      </c>
      <c r="B3926" s="1" t="s">
        <v>926</v>
      </c>
      <c r="C3926" s="1" t="s">
        <v>2214</v>
      </c>
      <c r="E3926" s="1" t="s">
        <v>726</v>
      </c>
      <c r="F3926" s="1" t="s">
        <v>727</v>
      </c>
      <c r="G3926" s="3">
        <v>0</v>
      </c>
      <c r="H3926" s="20" t="s">
        <v>6106</v>
      </c>
      <c r="I3926" s="20" t="s">
        <v>6107</v>
      </c>
      <c r="J3926" s="20" t="s">
        <v>3178</v>
      </c>
      <c r="K3926" s="20" t="s">
        <v>10013</v>
      </c>
      <c r="L3926" s="3">
        <v>22</v>
      </c>
      <c r="M3926" s="3" t="s">
        <v>10389</v>
      </c>
      <c r="N3926" s="3" t="str">
        <f>HYPERLINK("http://ictvonline.org/taxonomyHistory.asp?taxnode_id=20164088","ICTVonline=20164088")</f>
        <v>ICTVonline=20164088</v>
      </c>
    </row>
    <row r="3927" spans="1:14" x14ac:dyDescent="0.15">
      <c r="A3927" s="3">
        <v>3926</v>
      </c>
      <c r="B3927" s="1" t="s">
        <v>926</v>
      </c>
      <c r="C3927" s="1" t="s">
        <v>2214</v>
      </c>
      <c r="E3927" s="1" t="s">
        <v>726</v>
      </c>
      <c r="F3927" s="1" t="s">
        <v>728</v>
      </c>
      <c r="G3927" s="3">
        <v>1</v>
      </c>
      <c r="J3927" s="20" t="s">
        <v>3178</v>
      </c>
      <c r="K3927" s="20" t="s">
        <v>10072</v>
      </c>
      <c r="L3927" s="3">
        <v>22</v>
      </c>
      <c r="M3927" s="3" t="s">
        <v>10389</v>
      </c>
      <c r="N3927" s="3" t="str">
        <f>HYPERLINK("http://ictvonline.org/taxonomyHistory.asp?taxnode_id=20164089","ICTVonline=20164089")</f>
        <v>ICTVonline=20164089</v>
      </c>
    </row>
    <row r="3928" spans="1:14" x14ac:dyDescent="0.15">
      <c r="A3928" s="3">
        <v>3927</v>
      </c>
      <c r="B3928" s="1" t="s">
        <v>926</v>
      </c>
      <c r="C3928" s="1" t="s">
        <v>2214</v>
      </c>
      <c r="E3928" s="1" t="s">
        <v>726</v>
      </c>
      <c r="F3928" s="1" t="s">
        <v>729</v>
      </c>
      <c r="G3928" s="3">
        <v>0</v>
      </c>
      <c r="H3928" s="20" t="s">
        <v>6108</v>
      </c>
      <c r="I3928" s="20" t="s">
        <v>6109</v>
      </c>
      <c r="J3928" s="20" t="s">
        <v>3178</v>
      </c>
      <c r="K3928" s="20" t="s">
        <v>10013</v>
      </c>
      <c r="L3928" s="3">
        <v>22</v>
      </c>
      <c r="M3928" s="3" t="s">
        <v>10389</v>
      </c>
      <c r="N3928" s="3" t="str">
        <f>HYPERLINK("http://ictvonline.org/taxonomyHistory.asp?taxnode_id=20164090","ICTVonline=20164090")</f>
        <v>ICTVonline=20164090</v>
      </c>
    </row>
    <row r="3929" spans="1:14" x14ac:dyDescent="0.15">
      <c r="A3929" s="3">
        <v>3928</v>
      </c>
      <c r="B3929" s="1" t="s">
        <v>926</v>
      </c>
      <c r="C3929" s="1" t="s">
        <v>2214</v>
      </c>
      <c r="E3929" s="1" t="s">
        <v>726</v>
      </c>
      <c r="F3929" s="1" t="s">
        <v>1829</v>
      </c>
      <c r="G3929" s="3">
        <v>0</v>
      </c>
      <c r="H3929" s="20" t="s">
        <v>6110</v>
      </c>
      <c r="I3929" s="20" t="s">
        <v>6111</v>
      </c>
      <c r="J3929" s="20" t="s">
        <v>3178</v>
      </c>
      <c r="K3929" s="20" t="s">
        <v>10013</v>
      </c>
      <c r="L3929" s="3">
        <v>22</v>
      </c>
      <c r="M3929" s="3" t="s">
        <v>10389</v>
      </c>
      <c r="N3929" s="3" t="str">
        <f>HYPERLINK("http://ictvonline.org/taxonomyHistory.asp?taxnode_id=20164091","ICTVonline=20164091")</f>
        <v>ICTVonline=20164091</v>
      </c>
    </row>
    <row r="3930" spans="1:14" x14ac:dyDescent="0.15">
      <c r="A3930" s="3">
        <v>3929</v>
      </c>
      <c r="B3930" s="1" t="s">
        <v>926</v>
      </c>
      <c r="C3930" s="1" t="s">
        <v>2214</v>
      </c>
      <c r="E3930" s="1" t="s">
        <v>726</v>
      </c>
      <c r="F3930" s="1" t="s">
        <v>1830</v>
      </c>
      <c r="G3930" s="3">
        <v>0</v>
      </c>
      <c r="H3930" s="20" t="s">
        <v>6112</v>
      </c>
      <c r="I3930" s="20" t="s">
        <v>6113</v>
      </c>
      <c r="J3930" s="20" t="s">
        <v>3178</v>
      </c>
      <c r="K3930" s="20" t="s">
        <v>10013</v>
      </c>
      <c r="L3930" s="3">
        <v>22</v>
      </c>
      <c r="M3930" s="3" t="s">
        <v>10389</v>
      </c>
      <c r="N3930" s="3" t="str">
        <f>HYPERLINK("http://ictvonline.org/taxonomyHistory.asp?taxnode_id=20164092","ICTVonline=20164092")</f>
        <v>ICTVonline=20164092</v>
      </c>
    </row>
    <row r="3931" spans="1:14" x14ac:dyDescent="0.15">
      <c r="A3931" s="3">
        <v>3930</v>
      </c>
      <c r="B3931" s="1" t="s">
        <v>926</v>
      </c>
      <c r="C3931" s="1" t="s">
        <v>2214</v>
      </c>
      <c r="E3931" s="1" t="s">
        <v>926</v>
      </c>
      <c r="F3931" s="1" t="s">
        <v>1831</v>
      </c>
      <c r="G3931" s="3">
        <v>0</v>
      </c>
      <c r="H3931" s="20" t="s">
        <v>6114</v>
      </c>
      <c r="I3931" s="20" t="s">
        <v>6115</v>
      </c>
      <c r="J3931" s="20" t="s">
        <v>3178</v>
      </c>
      <c r="K3931" s="20" t="s">
        <v>10013</v>
      </c>
      <c r="L3931" s="3">
        <v>22</v>
      </c>
      <c r="M3931" s="3" t="s">
        <v>10389</v>
      </c>
      <c r="N3931" s="3" t="str">
        <f>HYPERLINK("http://ictvonline.org/taxonomyHistory.asp?taxnode_id=20164094","ICTVonline=20164094")</f>
        <v>ICTVonline=20164094</v>
      </c>
    </row>
    <row r="3932" spans="1:14" x14ac:dyDescent="0.15">
      <c r="A3932" s="3">
        <v>3931</v>
      </c>
      <c r="B3932" s="1" t="s">
        <v>926</v>
      </c>
      <c r="C3932" s="1" t="s">
        <v>2361</v>
      </c>
      <c r="E3932" s="1" t="s">
        <v>2362</v>
      </c>
      <c r="F3932" s="1" t="s">
        <v>2363</v>
      </c>
      <c r="G3932" s="3">
        <v>1</v>
      </c>
      <c r="H3932" s="20" t="s">
        <v>7250</v>
      </c>
      <c r="I3932" s="20" t="s">
        <v>6116</v>
      </c>
      <c r="J3932" s="20" t="s">
        <v>3176</v>
      </c>
      <c r="K3932" s="20" t="s">
        <v>10072</v>
      </c>
      <c r="L3932" s="3">
        <v>27</v>
      </c>
      <c r="M3932" s="3" t="s">
        <v>10390</v>
      </c>
      <c r="N3932" s="3" t="str">
        <f>HYPERLINK("http://ictvonline.org/taxonomyHistory.asp?taxnode_id=20164098","ICTVonline=20164098")</f>
        <v>ICTVonline=20164098</v>
      </c>
    </row>
    <row r="3933" spans="1:14" x14ac:dyDescent="0.15">
      <c r="A3933" s="3">
        <v>3932</v>
      </c>
      <c r="B3933" s="1" t="s">
        <v>926</v>
      </c>
      <c r="C3933" s="1" t="s">
        <v>1832</v>
      </c>
      <c r="D3933" s="1" t="s">
        <v>1190</v>
      </c>
      <c r="E3933" s="1" t="s">
        <v>745</v>
      </c>
      <c r="F3933" s="1" t="s">
        <v>746</v>
      </c>
      <c r="G3933" s="3">
        <v>1</v>
      </c>
      <c r="J3933" s="20" t="s">
        <v>3176</v>
      </c>
      <c r="K3933" s="20" t="s">
        <v>10016</v>
      </c>
      <c r="L3933" s="3">
        <v>25</v>
      </c>
      <c r="M3933" s="3" t="s">
        <v>10391</v>
      </c>
      <c r="N3933" s="3" t="str">
        <f>HYPERLINK("http://ictvonline.org/taxonomyHistory.asp?taxnode_id=20164102","ICTVonline=20164102")</f>
        <v>ICTVonline=20164102</v>
      </c>
    </row>
    <row r="3934" spans="1:14" x14ac:dyDescent="0.15">
      <c r="A3934" s="3">
        <v>3933</v>
      </c>
      <c r="B3934" s="1" t="s">
        <v>926</v>
      </c>
      <c r="C3934" s="1" t="s">
        <v>1832</v>
      </c>
      <c r="D3934" s="1" t="s">
        <v>1190</v>
      </c>
      <c r="E3934" s="1" t="s">
        <v>1995</v>
      </c>
      <c r="F3934" s="1" t="s">
        <v>1996</v>
      </c>
      <c r="G3934" s="3">
        <v>1</v>
      </c>
      <c r="H3934" s="20" t="s">
        <v>7251</v>
      </c>
      <c r="I3934" s="20" t="s">
        <v>6117</v>
      </c>
      <c r="J3934" s="20" t="s">
        <v>3176</v>
      </c>
      <c r="K3934" s="20" t="s">
        <v>10016</v>
      </c>
      <c r="L3934" s="3">
        <v>25</v>
      </c>
      <c r="M3934" s="3" t="s">
        <v>10391</v>
      </c>
      <c r="N3934" s="3" t="str">
        <f>HYPERLINK("http://ictvonline.org/taxonomyHistory.asp?taxnode_id=20164104","ICTVonline=20164104")</f>
        <v>ICTVonline=20164104</v>
      </c>
    </row>
    <row r="3935" spans="1:14" x14ac:dyDescent="0.15">
      <c r="A3935" s="3">
        <v>3934</v>
      </c>
      <c r="B3935" s="1" t="s">
        <v>926</v>
      </c>
      <c r="C3935" s="1" t="s">
        <v>1832</v>
      </c>
      <c r="D3935" s="1" t="s">
        <v>1190</v>
      </c>
      <c r="E3935" s="1" t="s">
        <v>2001</v>
      </c>
      <c r="F3935" s="1" t="s">
        <v>1411</v>
      </c>
      <c r="G3935" s="3">
        <v>0</v>
      </c>
      <c r="J3935" s="20" t="s">
        <v>3176</v>
      </c>
      <c r="K3935" s="20" t="s">
        <v>10016</v>
      </c>
      <c r="L3935" s="3">
        <v>25</v>
      </c>
      <c r="M3935" s="3" t="s">
        <v>10391</v>
      </c>
      <c r="N3935" s="3" t="str">
        <f>HYPERLINK("http://ictvonline.org/taxonomyHistory.asp?taxnode_id=20164106","ICTVonline=20164106")</f>
        <v>ICTVonline=20164106</v>
      </c>
    </row>
    <row r="3936" spans="1:14" x14ac:dyDescent="0.15">
      <c r="A3936" s="3">
        <v>3935</v>
      </c>
      <c r="B3936" s="1" t="s">
        <v>926</v>
      </c>
      <c r="C3936" s="1" t="s">
        <v>1832</v>
      </c>
      <c r="D3936" s="1" t="s">
        <v>1190</v>
      </c>
      <c r="E3936" s="1" t="s">
        <v>2001</v>
      </c>
      <c r="F3936" s="1" t="s">
        <v>1412</v>
      </c>
      <c r="G3936" s="3">
        <v>1</v>
      </c>
      <c r="J3936" s="20" t="s">
        <v>3176</v>
      </c>
      <c r="K3936" s="20" t="s">
        <v>10016</v>
      </c>
      <c r="L3936" s="3">
        <v>25</v>
      </c>
      <c r="M3936" s="3" t="s">
        <v>10391</v>
      </c>
      <c r="N3936" s="3" t="str">
        <f>HYPERLINK("http://ictvonline.org/taxonomyHistory.asp?taxnode_id=20164107","ICTVonline=20164107")</f>
        <v>ICTVonline=20164107</v>
      </c>
    </row>
    <row r="3937" spans="1:14" x14ac:dyDescent="0.15">
      <c r="A3937" s="3">
        <v>3936</v>
      </c>
      <c r="B3937" s="1" t="s">
        <v>926</v>
      </c>
      <c r="C3937" s="1" t="s">
        <v>1832</v>
      </c>
      <c r="D3937" s="1" t="s">
        <v>1190</v>
      </c>
      <c r="E3937" s="1" t="s">
        <v>2001</v>
      </c>
      <c r="F3937" s="1" t="s">
        <v>1413</v>
      </c>
      <c r="G3937" s="3">
        <v>0</v>
      </c>
      <c r="J3937" s="20" t="s">
        <v>3176</v>
      </c>
      <c r="K3937" s="20" t="s">
        <v>10016</v>
      </c>
      <c r="L3937" s="3">
        <v>25</v>
      </c>
      <c r="M3937" s="3" t="s">
        <v>10391</v>
      </c>
      <c r="N3937" s="3" t="str">
        <f>HYPERLINK("http://ictvonline.org/taxonomyHistory.asp?taxnode_id=20164108","ICTVonline=20164108")</f>
        <v>ICTVonline=20164108</v>
      </c>
    </row>
    <row r="3938" spans="1:14" x14ac:dyDescent="0.15">
      <c r="A3938" s="3">
        <v>3937</v>
      </c>
      <c r="B3938" s="1" t="s">
        <v>926</v>
      </c>
      <c r="C3938" s="1" t="s">
        <v>1832</v>
      </c>
      <c r="D3938" s="1" t="s">
        <v>1190</v>
      </c>
      <c r="E3938" s="1" t="s">
        <v>2001</v>
      </c>
      <c r="F3938" s="1" t="s">
        <v>1414</v>
      </c>
      <c r="G3938" s="3">
        <v>0</v>
      </c>
      <c r="J3938" s="20" t="s">
        <v>3176</v>
      </c>
      <c r="K3938" s="20" t="s">
        <v>10016</v>
      </c>
      <c r="L3938" s="3">
        <v>25</v>
      </c>
      <c r="M3938" s="3" t="s">
        <v>10391</v>
      </c>
      <c r="N3938" s="3" t="str">
        <f>HYPERLINK("http://ictvonline.org/taxonomyHistory.asp?taxnode_id=20164109","ICTVonline=20164109")</f>
        <v>ICTVonline=20164109</v>
      </c>
    </row>
    <row r="3939" spans="1:14" x14ac:dyDescent="0.15">
      <c r="A3939" s="3">
        <v>3938</v>
      </c>
      <c r="B3939" s="1" t="s">
        <v>926</v>
      </c>
      <c r="C3939" s="1" t="s">
        <v>1832</v>
      </c>
      <c r="D3939" s="1" t="s">
        <v>1190</v>
      </c>
      <c r="E3939" s="1" t="s">
        <v>2001</v>
      </c>
      <c r="F3939" s="1" t="s">
        <v>1415</v>
      </c>
      <c r="G3939" s="3">
        <v>0</v>
      </c>
      <c r="J3939" s="20" t="s">
        <v>3176</v>
      </c>
      <c r="K3939" s="20" t="s">
        <v>10016</v>
      </c>
      <c r="L3939" s="3">
        <v>25</v>
      </c>
      <c r="M3939" s="3" t="s">
        <v>10391</v>
      </c>
      <c r="N3939" s="3" t="str">
        <f>HYPERLINK("http://ictvonline.org/taxonomyHistory.asp?taxnode_id=20164110","ICTVonline=20164110")</f>
        <v>ICTVonline=20164110</v>
      </c>
    </row>
    <row r="3940" spans="1:14" x14ac:dyDescent="0.15">
      <c r="A3940" s="3">
        <v>3939</v>
      </c>
      <c r="B3940" s="1" t="s">
        <v>926</v>
      </c>
      <c r="C3940" s="1" t="s">
        <v>1832</v>
      </c>
      <c r="D3940" s="1" t="s">
        <v>1190</v>
      </c>
      <c r="E3940" s="1" t="s">
        <v>2001</v>
      </c>
      <c r="F3940" s="1" t="s">
        <v>1416</v>
      </c>
      <c r="G3940" s="3">
        <v>0</v>
      </c>
      <c r="J3940" s="20" t="s">
        <v>3176</v>
      </c>
      <c r="K3940" s="20" t="s">
        <v>10016</v>
      </c>
      <c r="L3940" s="3">
        <v>25</v>
      </c>
      <c r="M3940" s="3" t="s">
        <v>10391</v>
      </c>
      <c r="N3940" s="3" t="str">
        <f>HYPERLINK("http://ictvonline.org/taxonomyHistory.asp?taxnode_id=20164111","ICTVonline=20164111")</f>
        <v>ICTVonline=20164111</v>
      </c>
    </row>
    <row r="3941" spans="1:14" x14ac:dyDescent="0.15">
      <c r="A3941" s="3">
        <v>3940</v>
      </c>
      <c r="B3941" s="1" t="s">
        <v>926</v>
      </c>
      <c r="C3941" s="1" t="s">
        <v>1832</v>
      </c>
      <c r="D3941" s="1" t="s">
        <v>1190</v>
      </c>
      <c r="E3941" s="1" t="s">
        <v>2001</v>
      </c>
      <c r="F3941" s="1" t="s">
        <v>1429</v>
      </c>
      <c r="G3941" s="3">
        <v>0</v>
      </c>
      <c r="J3941" s="20" t="s">
        <v>3176</v>
      </c>
      <c r="K3941" s="20" t="s">
        <v>10016</v>
      </c>
      <c r="L3941" s="3">
        <v>25</v>
      </c>
      <c r="M3941" s="3" t="s">
        <v>10391</v>
      </c>
      <c r="N3941" s="3" t="str">
        <f>HYPERLINK("http://ictvonline.org/taxonomyHistory.asp?taxnode_id=20164112","ICTVonline=20164112")</f>
        <v>ICTVonline=20164112</v>
      </c>
    </row>
    <row r="3942" spans="1:14" x14ac:dyDescent="0.15">
      <c r="A3942" s="3">
        <v>3941</v>
      </c>
      <c r="B3942" s="1" t="s">
        <v>926</v>
      </c>
      <c r="C3942" s="1" t="s">
        <v>1832</v>
      </c>
      <c r="D3942" s="1" t="s">
        <v>1190</v>
      </c>
      <c r="E3942" s="1" t="s">
        <v>2001</v>
      </c>
      <c r="F3942" s="1" t="s">
        <v>1430</v>
      </c>
      <c r="G3942" s="3">
        <v>0</v>
      </c>
      <c r="J3942" s="20" t="s">
        <v>3176</v>
      </c>
      <c r="K3942" s="20" t="s">
        <v>10016</v>
      </c>
      <c r="L3942" s="3">
        <v>25</v>
      </c>
      <c r="M3942" s="3" t="s">
        <v>10391</v>
      </c>
      <c r="N3942" s="3" t="str">
        <f>HYPERLINK("http://ictvonline.org/taxonomyHistory.asp?taxnode_id=20164113","ICTVonline=20164113")</f>
        <v>ICTVonline=20164113</v>
      </c>
    </row>
    <row r="3943" spans="1:14" x14ac:dyDescent="0.15">
      <c r="A3943" s="3">
        <v>3942</v>
      </c>
      <c r="B3943" s="1" t="s">
        <v>926</v>
      </c>
      <c r="C3943" s="1" t="s">
        <v>1832</v>
      </c>
      <c r="D3943" s="1" t="s">
        <v>1190</v>
      </c>
      <c r="E3943" s="1" t="s">
        <v>2001</v>
      </c>
      <c r="F3943" s="1" t="s">
        <v>1431</v>
      </c>
      <c r="G3943" s="3">
        <v>0</v>
      </c>
      <c r="J3943" s="20" t="s">
        <v>3176</v>
      </c>
      <c r="K3943" s="20" t="s">
        <v>10016</v>
      </c>
      <c r="L3943" s="3">
        <v>25</v>
      </c>
      <c r="M3943" s="3" t="s">
        <v>10391</v>
      </c>
      <c r="N3943" s="3" t="str">
        <f>HYPERLINK("http://ictvonline.org/taxonomyHistory.asp?taxnode_id=20164114","ICTVonline=20164114")</f>
        <v>ICTVonline=20164114</v>
      </c>
    </row>
    <row r="3944" spans="1:14" x14ac:dyDescent="0.15">
      <c r="A3944" s="3">
        <v>3943</v>
      </c>
      <c r="B3944" s="1" t="s">
        <v>926</v>
      </c>
      <c r="C3944" s="1" t="s">
        <v>1832</v>
      </c>
      <c r="D3944" s="1" t="s">
        <v>1190</v>
      </c>
      <c r="E3944" s="1" t="s">
        <v>2001</v>
      </c>
      <c r="F3944" s="1" t="s">
        <v>1432</v>
      </c>
      <c r="G3944" s="3">
        <v>0</v>
      </c>
      <c r="J3944" s="20" t="s">
        <v>3176</v>
      </c>
      <c r="K3944" s="20" t="s">
        <v>10016</v>
      </c>
      <c r="L3944" s="3">
        <v>25</v>
      </c>
      <c r="M3944" s="3" t="s">
        <v>10391</v>
      </c>
      <c r="N3944" s="3" t="str">
        <f>HYPERLINK("http://ictvonline.org/taxonomyHistory.asp?taxnode_id=20164115","ICTVonline=20164115")</f>
        <v>ICTVonline=20164115</v>
      </c>
    </row>
    <row r="3945" spans="1:14" x14ac:dyDescent="0.15">
      <c r="A3945" s="3">
        <v>3944</v>
      </c>
      <c r="B3945" s="1" t="s">
        <v>926</v>
      </c>
      <c r="C3945" s="1" t="s">
        <v>1832</v>
      </c>
      <c r="D3945" s="1" t="s">
        <v>1190</v>
      </c>
      <c r="E3945" s="1" t="s">
        <v>2001</v>
      </c>
      <c r="F3945" s="1" t="s">
        <v>1433</v>
      </c>
      <c r="G3945" s="3">
        <v>0</v>
      </c>
      <c r="J3945" s="20" t="s">
        <v>3176</v>
      </c>
      <c r="K3945" s="20" t="s">
        <v>10016</v>
      </c>
      <c r="L3945" s="3">
        <v>25</v>
      </c>
      <c r="M3945" s="3" t="s">
        <v>10391</v>
      </c>
      <c r="N3945" s="3" t="str">
        <f>HYPERLINK("http://ictvonline.org/taxonomyHistory.asp?taxnode_id=20164116","ICTVonline=20164116")</f>
        <v>ICTVonline=20164116</v>
      </c>
    </row>
    <row r="3946" spans="1:14" x14ac:dyDescent="0.15">
      <c r="A3946" s="3">
        <v>3945</v>
      </c>
      <c r="B3946" s="1" t="s">
        <v>926</v>
      </c>
      <c r="C3946" s="1" t="s">
        <v>1832</v>
      </c>
      <c r="D3946" s="1" t="s">
        <v>1190</v>
      </c>
      <c r="E3946" s="1" t="s">
        <v>2001</v>
      </c>
      <c r="F3946" s="1" t="s">
        <v>1434</v>
      </c>
      <c r="G3946" s="3">
        <v>0</v>
      </c>
      <c r="J3946" s="20" t="s">
        <v>3176</v>
      </c>
      <c r="K3946" s="20" t="s">
        <v>10016</v>
      </c>
      <c r="L3946" s="3">
        <v>25</v>
      </c>
      <c r="M3946" s="3" t="s">
        <v>10391</v>
      </c>
      <c r="N3946" s="3" t="str">
        <f>HYPERLINK("http://ictvonline.org/taxonomyHistory.asp?taxnode_id=20164117","ICTVonline=20164117")</f>
        <v>ICTVonline=20164117</v>
      </c>
    </row>
    <row r="3947" spans="1:14" x14ac:dyDescent="0.15">
      <c r="A3947" s="3">
        <v>3946</v>
      </c>
      <c r="B3947" s="1" t="s">
        <v>926</v>
      </c>
      <c r="C3947" s="1" t="s">
        <v>1832</v>
      </c>
      <c r="D3947" s="1" t="s">
        <v>1190</v>
      </c>
      <c r="E3947" s="1" t="s">
        <v>2001</v>
      </c>
      <c r="F3947" s="1" t="s">
        <v>1439</v>
      </c>
      <c r="G3947" s="3">
        <v>0</v>
      </c>
      <c r="J3947" s="20" t="s">
        <v>3176</v>
      </c>
      <c r="K3947" s="20" t="s">
        <v>10016</v>
      </c>
      <c r="L3947" s="3">
        <v>25</v>
      </c>
      <c r="M3947" s="3" t="s">
        <v>10391</v>
      </c>
      <c r="N3947" s="3" t="str">
        <f>HYPERLINK("http://ictvonline.org/taxonomyHistory.asp?taxnode_id=20164118","ICTVonline=20164118")</f>
        <v>ICTVonline=20164118</v>
      </c>
    </row>
    <row r="3948" spans="1:14" x14ac:dyDescent="0.15">
      <c r="A3948" s="3">
        <v>3947</v>
      </c>
      <c r="B3948" s="1" t="s">
        <v>926</v>
      </c>
      <c r="C3948" s="1" t="s">
        <v>1832</v>
      </c>
      <c r="D3948" s="1" t="s">
        <v>1190</v>
      </c>
      <c r="E3948" s="1" t="s">
        <v>2001</v>
      </c>
      <c r="F3948" s="1" t="s">
        <v>1440</v>
      </c>
      <c r="G3948" s="3">
        <v>0</v>
      </c>
      <c r="J3948" s="20" t="s">
        <v>3176</v>
      </c>
      <c r="K3948" s="20" t="s">
        <v>10016</v>
      </c>
      <c r="L3948" s="3">
        <v>25</v>
      </c>
      <c r="M3948" s="3" t="s">
        <v>10391</v>
      </c>
      <c r="N3948" s="3" t="str">
        <f>HYPERLINK("http://ictvonline.org/taxonomyHistory.asp?taxnode_id=20164119","ICTVonline=20164119")</f>
        <v>ICTVonline=20164119</v>
      </c>
    </row>
    <row r="3949" spans="1:14" x14ac:dyDescent="0.15">
      <c r="A3949" s="3">
        <v>3948</v>
      </c>
      <c r="B3949" s="1" t="s">
        <v>926</v>
      </c>
      <c r="C3949" s="1" t="s">
        <v>1832</v>
      </c>
      <c r="D3949" s="1" t="s">
        <v>1190</v>
      </c>
      <c r="E3949" s="1" t="s">
        <v>2001</v>
      </c>
      <c r="F3949" s="1" t="s">
        <v>1441</v>
      </c>
      <c r="G3949" s="3">
        <v>0</v>
      </c>
      <c r="J3949" s="20" t="s">
        <v>3176</v>
      </c>
      <c r="K3949" s="20" t="s">
        <v>10016</v>
      </c>
      <c r="L3949" s="3">
        <v>25</v>
      </c>
      <c r="M3949" s="3" t="s">
        <v>10391</v>
      </c>
      <c r="N3949" s="3" t="str">
        <f>HYPERLINK("http://ictvonline.org/taxonomyHistory.asp?taxnode_id=20164120","ICTVonline=20164120")</f>
        <v>ICTVonline=20164120</v>
      </c>
    </row>
    <row r="3950" spans="1:14" x14ac:dyDescent="0.15">
      <c r="A3950" s="3">
        <v>3949</v>
      </c>
      <c r="B3950" s="1" t="s">
        <v>926</v>
      </c>
      <c r="C3950" s="1" t="s">
        <v>1832</v>
      </c>
      <c r="D3950" s="1" t="s">
        <v>1190</v>
      </c>
      <c r="E3950" s="1" t="s">
        <v>2001</v>
      </c>
      <c r="F3950" s="1" t="s">
        <v>1336</v>
      </c>
      <c r="G3950" s="3">
        <v>0</v>
      </c>
      <c r="J3950" s="20" t="s">
        <v>3176</v>
      </c>
      <c r="K3950" s="20" t="s">
        <v>10016</v>
      </c>
      <c r="L3950" s="3">
        <v>25</v>
      </c>
      <c r="M3950" s="3" t="s">
        <v>10391</v>
      </c>
      <c r="N3950" s="3" t="str">
        <f>HYPERLINK("http://ictvonline.org/taxonomyHistory.asp?taxnode_id=20164121","ICTVonline=20164121")</f>
        <v>ICTVonline=20164121</v>
      </c>
    </row>
    <row r="3951" spans="1:14" x14ac:dyDescent="0.15">
      <c r="A3951" s="3">
        <v>3950</v>
      </c>
      <c r="B3951" s="1" t="s">
        <v>926</v>
      </c>
      <c r="C3951" s="1" t="s">
        <v>1832</v>
      </c>
      <c r="D3951" s="1" t="s">
        <v>1190</v>
      </c>
      <c r="E3951" s="1" t="s">
        <v>2001</v>
      </c>
      <c r="F3951" s="1" t="s">
        <v>1337</v>
      </c>
      <c r="G3951" s="3">
        <v>0</v>
      </c>
      <c r="J3951" s="20" t="s">
        <v>3176</v>
      </c>
      <c r="K3951" s="20" t="s">
        <v>10016</v>
      </c>
      <c r="L3951" s="3">
        <v>25</v>
      </c>
      <c r="M3951" s="3" t="s">
        <v>10391</v>
      </c>
      <c r="N3951" s="3" t="str">
        <f>HYPERLINK("http://ictvonline.org/taxonomyHistory.asp?taxnode_id=20164122","ICTVonline=20164122")</f>
        <v>ICTVonline=20164122</v>
      </c>
    </row>
    <row r="3952" spans="1:14" x14ac:dyDescent="0.15">
      <c r="A3952" s="3">
        <v>3951</v>
      </c>
      <c r="B3952" s="1" t="s">
        <v>926</v>
      </c>
      <c r="C3952" s="1" t="s">
        <v>1832</v>
      </c>
      <c r="D3952" s="1" t="s">
        <v>1190</v>
      </c>
      <c r="E3952" s="1" t="s">
        <v>2001</v>
      </c>
      <c r="F3952" s="1" t="s">
        <v>1338</v>
      </c>
      <c r="G3952" s="3">
        <v>0</v>
      </c>
      <c r="J3952" s="20" t="s">
        <v>3176</v>
      </c>
      <c r="K3952" s="20" t="s">
        <v>10016</v>
      </c>
      <c r="L3952" s="3">
        <v>25</v>
      </c>
      <c r="M3952" s="3" t="s">
        <v>10391</v>
      </c>
      <c r="N3952" s="3" t="str">
        <f>HYPERLINK("http://ictvonline.org/taxonomyHistory.asp?taxnode_id=20164123","ICTVonline=20164123")</f>
        <v>ICTVonline=20164123</v>
      </c>
    </row>
    <row r="3953" spans="1:14" x14ac:dyDescent="0.15">
      <c r="A3953" s="3">
        <v>3952</v>
      </c>
      <c r="B3953" s="1" t="s">
        <v>926</v>
      </c>
      <c r="C3953" s="1" t="s">
        <v>1832</v>
      </c>
      <c r="D3953" s="1" t="s">
        <v>1190</v>
      </c>
      <c r="E3953" s="1" t="s">
        <v>2001</v>
      </c>
      <c r="F3953" s="1" t="s">
        <v>1339</v>
      </c>
      <c r="G3953" s="3">
        <v>0</v>
      </c>
      <c r="J3953" s="20" t="s">
        <v>3176</v>
      </c>
      <c r="K3953" s="20" t="s">
        <v>10016</v>
      </c>
      <c r="L3953" s="3">
        <v>25</v>
      </c>
      <c r="M3953" s="3" t="s">
        <v>10391</v>
      </c>
      <c r="N3953" s="3" t="str">
        <f>HYPERLINK("http://ictvonline.org/taxonomyHistory.asp?taxnode_id=20164124","ICTVonline=20164124")</f>
        <v>ICTVonline=20164124</v>
      </c>
    </row>
    <row r="3954" spans="1:14" x14ac:dyDescent="0.15">
      <c r="A3954" s="3">
        <v>3953</v>
      </c>
      <c r="B3954" s="1" t="s">
        <v>926</v>
      </c>
      <c r="C3954" s="1" t="s">
        <v>1832</v>
      </c>
      <c r="D3954" s="1" t="s">
        <v>1190</v>
      </c>
      <c r="E3954" s="1" t="s">
        <v>2001</v>
      </c>
      <c r="F3954" s="1" t="s">
        <v>1340</v>
      </c>
      <c r="G3954" s="3">
        <v>0</v>
      </c>
      <c r="J3954" s="20" t="s">
        <v>3176</v>
      </c>
      <c r="K3954" s="20" t="s">
        <v>10016</v>
      </c>
      <c r="L3954" s="3">
        <v>25</v>
      </c>
      <c r="M3954" s="3" t="s">
        <v>10391</v>
      </c>
      <c r="N3954" s="3" t="str">
        <f>HYPERLINK("http://ictvonline.org/taxonomyHistory.asp?taxnode_id=20164125","ICTVonline=20164125")</f>
        <v>ICTVonline=20164125</v>
      </c>
    </row>
    <row r="3955" spans="1:14" x14ac:dyDescent="0.15">
      <c r="A3955" s="3">
        <v>3954</v>
      </c>
      <c r="B3955" s="1" t="s">
        <v>926</v>
      </c>
      <c r="C3955" s="1" t="s">
        <v>1832</v>
      </c>
      <c r="D3955" s="1" t="s">
        <v>1190</v>
      </c>
      <c r="E3955" s="1" t="s">
        <v>2001</v>
      </c>
      <c r="F3955" s="1" t="s">
        <v>1341</v>
      </c>
      <c r="G3955" s="3">
        <v>0</v>
      </c>
      <c r="J3955" s="20" t="s">
        <v>3176</v>
      </c>
      <c r="K3955" s="20" t="s">
        <v>10016</v>
      </c>
      <c r="L3955" s="3">
        <v>25</v>
      </c>
      <c r="M3955" s="3" t="s">
        <v>10391</v>
      </c>
      <c r="N3955" s="3" t="str">
        <f>HYPERLINK("http://ictvonline.org/taxonomyHistory.asp?taxnode_id=20164126","ICTVonline=20164126")</f>
        <v>ICTVonline=20164126</v>
      </c>
    </row>
    <row r="3956" spans="1:14" x14ac:dyDescent="0.15">
      <c r="A3956" s="3">
        <v>3955</v>
      </c>
      <c r="B3956" s="1" t="s">
        <v>926</v>
      </c>
      <c r="C3956" s="1" t="s">
        <v>1832</v>
      </c>
      <c r="D3956" s="1" t="s">
        <v>1190</v>
      </c>
      <c r="E3956" s="1" t="s">
        <v>2001</v>
      </c>
      <c r="F3956" s="1" t="s">
        <v>1342</v>
      </c>
      <c r="G3956" s="3">
        <v>0</v>
      </c>
      <c r="J3956" s="20" t="s">
        <v>3176</v>
      </c>
      <c r="K3956" s="20" t="s">
        <v>10016</v>
      </c>
      <c r="L3956" s="3">
        <v>25</v>
      </c>
      <c r="M3956" s="3" t="s">
        <v>10391</v>
      </c>
      <c r="N3956" s="3" t="str">
        <f>HYPERLINK("http://ictvonline.org/taxonomyHistory.asp?taxnode_id=20164127","ICTVonline=20164127")</f>
        <v>ICTVonline=20164127</v>
      </c>
    </row>
    <row r="3957" spans="1:14" x14ac:dyDescent="0.15">
      <c r="A3957" s="3">
        <v>3956</v>
      </c>
      <c r="B3957" s="1" t="s">
        <v>926</v>
      </c>
      <c r="C3957" s="1" t="s">
        <v>1832</v>
      </c>
      <c r="D3957" s="1" t="s">
        <v>1190</v>
      </c>
      <c r="E3957" s="1" t="s">
        <v>243</v>
      </c>
      <c r="F3957" s="1" t="s">
        <v>353</v>
      </c>
      <c r="G3957" s="3">
        <v>0</v>
      </c>
      <c r="H3957" s="20" t="s">
        <v>7252</v>
      </c>
      <c r="I3957" s="20" t="s">
        <v>4721</v>
      </c>
      <c r="J3957" s="20" t="s">
        <v>3176</v>
      </c>
      <c r="K3957" s="20" t="s">
        <v>10016</v>
      </c>
      <c r="L3957" s="3">
        <v>25</v>
      </c>
      <c r="M3957" s="3" t="s">
        <v>10391</v>
      </c>
      <c r="N3957" s="3" t="str">
        <f>HYPERLINK("http://ictvonline.org/taxonomyHistory.asp?taxnode_id=20164129","ICTVonline=20164129")</f>
        <v>ICTVonline=20164129</v>
      </c>
    </row>
    <row r="3958" spans="1:14" x14ac:dyDescent="0.15">
      <c r="A3958" s="3">
        <v>3957</v>
      </c>
      <c r="B3958" s="1" t="s">
        <v>926</v>
      </c>
      <c r="C3958" s="1" t="s">
        <v>1832</v>
      </c>
      <c r="D3958" s="1" t="s">
        <v>1190</v>
      </c>
      <c r="E3958" s="1" t="s">
        <v>243</v>
      </c>
      <c r="F3958" s="1" t="s">
        <v>354</v>
      </c>
      <c r="G3958" s="3">
        <v>0</v>
      </c>
      <c r="H3958" s="20" t="s">
        <v>7253</v>
      </c>
      <c r="I3958" s="20" t="s">
        <v>6118</v>
      </c>
      <c r="J3958" s="20" t="s">
        <v>3176</v>
      </c>
      <c r="K3958" s="20" t="s">
        <v>10016</v>
      </c>
      <c r="L3958" s="3">
        <v>25</v>
      </c>
      <c r="M3958" s="3" t="s">
        <v>10391</v>
      </c>
      <c r="N3958" s="3" t="str">
        <f>HYPERLINK("http://ictvonline.org/taxonomyHistory.asp?taxnode_id=20164130","ICTVonline=20164130")</f>
        <v>ICTVonline=20164130</v>
      </c>
    </row>
    <row r="3959" spans="1:14" x14ac:dyDescent="0.15">
      <c r="A3959" s="3">
        <v>3958</v>
      </c>
      <c r="B3959" s="1" t="s">
        <v>926</v>
      </c>
      <c r="C3959" s="1" t="s">
        <v>1832</v>
      </c>
      <c r="D3959" s="1" t="s">
        <v>1190</v>
      </c>
      <c r="E3959" s="1" t="s">
        <v>243</v>
      </c>
      <c r="F3959" s="1" t="s">
        <v>355</v>
      </c>
      <c r="G3959" s="3">
        <v>1</v>
      </c>
      <c r="H3959" s="20" t="s">
        <v>7254</v>
      </c>
      <c r="I3959" s="20" t="s">
        <v>6119</v>
      </c>
      <c r="J3959" s="20" t="s">
        <v>3176</v>
      </c>
      <c r="K3959" s="20" t="s">
        <v>10016</v>
      </c>
      <c r="L3959" s="3">
        <v>25</v>
      </c>
      <c r="M3959" s="3" t="s">
        <v>10391</v>
      </c>
      <c r="N3959" s="3" t="str">
        <f>HYPERLINK("http://ictvonline.org/taxonomyHistory.asp?taxnode_id=20164131","ICTVonline=20164131")</f>
        <v>ICTVonline=20164131</v>
      </c>
    </row>
    <row r="3960" spans="1:14" x14ac:dyDescent="0.15">
      <c r="A3960" s="3">
        <v>3959</v>
      </c>
      <c r="B3960" s="1" t="s">
        <v>926</v>
      </c>
      <c r="C3960" s="1" t="s">
        <v>1832</v>
      </c>
      <c r="D3960" s="1" t="s">
        <v>1190</v>
      </c>
      <c r="E3960" s="1" t="s">
        <v>231</v>
      </c>
      <c r="F3960" s="1" t="s">
        <v>357</v>
      </c>
      <c r="G3960" s="3">
        <v>1</v>
      </c>
      <c r="J3960" s="20" t="s">
        <v>3176</v>
      </c>
      <c r="K3960" s="20" t="s">
        <v>10016</v>
      </c>
      <c r="L3960" s="3">
        <v>25</v>
      </c>
      <c r="M3960" s="3" t="s">
        <v>10391</v>
      </c>
      <c r="N3960" s="3" t="str">
        <f>HYPERLINK("http://ictvonline.org/taxonomyHistory.asp?taxnode_id=20164133","ICTVonline=20164133")</f>
        <v>ICTVonline=20164133</v>
      </c>
    </row>
    <row r="3961" spans="1:14" x14ac:dyDescent="0.15">
      <c r="A3961" s="3">
        <v>3960</v>
      </c>
      <c r="B3961" s="1" t="s">
        <v>926</v>
      </c>
      <c r="C3961" s="1" t="s">
        <v>1832</v>
      </c>
      <c r="D3961" s="1" t="s">
        <v>1190</v>
      </c>
      <c r="E3961" s="1" t="s">
        <v>231</v>
      </c>
      <c r="F3961" s="1" t="s">
        <v>358</v>
      </c>
      <c r="G3961" s="3">
        <v>0</v>
      </c>
      <c r="J3961" s="20" t="s">
        <v>3176</v>
      </c>
      <c r="K3961" s="20" t="s">
        <v>10016</v>
      </c>
      <c r="L3961" s="3">
        <v>25</v>
      </c>
      <c r="M3961" s="3" t="s">
        <v>10391</v>
      </c>
      <c r="N3961" s="3" t="str">
        <f>HYPERLINK("http://ictvonline.org/taxonomyHistory.asp?taxnode_id=20164134","ICTVonline=20164134")</f>
        <v>ICTVonline=20164134</v>
      </c>
    </row>
    <row r="3962" spans="1:14" x14ac:dyDescent="0.15">
      <c r="A3962" s="3">
        <v>3961</v>
      </c>
      <c r="B3962" s="1" t="s">
        <v>926</v>
      </c>
      <c r="C3962" s="1" t="s">
        <v>1832</v>
      </c>
      <c r="D3962" s="1" t="s">
        <v>1190</v>
      </c>
      <c r="E3962" s="1" t="s">
        <v>231</v>
      </c>
      <c r="F3962" s="1" t="s">
        <v>359</v>
      </c>
      <c r="G3962" s="3">
        <v>0</v>
      </c>
      <c r="J3962" s="20" t="s">
        <v>3176</v>
      </c>
      <c r="K3962" s="20" t="s">
        <v>10016</v>
      </c>
      <c r="L3962" s="3">
        <v>25</v>
      </c>
      <c r="M3962" s="3" t="s">
        <v>10391</v>
      </c>
      <c r="N3962" s="3" t="str">
        <f>HYPERLINK("http://ictvonline.org/taxonomyHistory.asp?taxnode_id=20164135","ICTVonline=20164135")</f>
        <v>ICTVonline=20164135</v>
      </c>
    </row>
    <row r="3963" spans="1:14" x14ac:dyDescent="0.15">
      <c r="A3963" s="3">
        <v>3962</v>
      </c>
      <c r="B3963" s="1" t="s">
        <v>926</v>
      </c>
      <c r="C3963" s="1" t="s">
        <v>1832</v>
      </c>
      <c r="D3963" s="1" t="s">
        <v>1190</v>
      </c>
      <c r="E3963" s="1" t="s">
        <v>231</v>
      </c>
      <c r="F3963" s="1" t="s">
        <v>360</v>
      </c>
      <c r="G3963" s="3">
        <v>0</v>
      </c>
      <c r="J3963" s="20" t="s">
        <v>3176</v>
      </c>
      <c r="K3963" s="20" t="s">
        <v>10016</v>
      </c>
      <c r="L3963" s="3">
        <v>25</v>
      </c>
      <c r="M3963" s="3" t="s">
        <v>10391</v>
      </c>
      <c r="N3963" s="3" t="str">
        <f>HYPERLINK("http://ictvonline.org/taxonomyHistory.asp?taxnode_id=20164136","ICTVonline=20164136")</f>
        <v>ICTVonline=20164136</v>
      </c>
    </row>
    <row r="3964" spans="1:14" x14ac:dyDescent="0.15">
      <c r="A3964" s="3">
        <v>3963</v>
      </c>
      <c r="B3964" s="1" t="s">
        <v>926</v>
      </c>
      <c r="C3964" s="1" t="s">
        <v>1832</v>
      </c>
      <c r="D3964" s="1" t="s">
        <v>1190</v>
      </c>
      <c r="E3964" s="1" t="s">
        <v>231</v>
      </c>
      <c r="F3964" s="1" t="s">
        <v>361</v>
      </c>
      <c r="G3964" s="3">
        <v>0</v>
      </c>
      <c r="J3964" s="20" t="s">
        <v>3176</v>
      </c>
      <c r="K3964" s="20" t="s">
        <v>10016</v>
      </c>
      <c r="L3964" s="3">
        <v>25</v>
      </c>
      <c r="M3964" s="3" t="s">
        <v>10391</v>
      </c>
      <c r="N3964" s="3" t="str">
        <f>HYPERLINK("http://ictvonline.org/taxonomyHistory.asp?taxnode_id=20164137","ICTVonline=20164137")</f>
        <v>ICTVonline=20164137</v>
      </c>
    </row>
    <row r="3965" spans="1:14" x14ac:dyDescent="0.15">
      <c r="A3965" s="3">
        <v>3964</v>
      </c>
      <c r="B3965" s="1" t="s">
        <v>926</v>
      </c>
      <c r="C3965" s="1" t="s">
        <v>1832</v>
      </c>
      <c r="D3965" s="1" t="s">
        <v>1190</v>
      </c>
      <c r="E3965" s="1" t="s">
        <v>231</v>
      </c>
      <c r="F3965" s="1" t="s">
        <v>2833</v>
      </c>
      <c r="G3965" s="3">
        <v>0</v>
      </c>
      <c r="H3965" s="20" t="s">
        <v>3208</v>
      </c>
      <c r="I3965" s="20" t="s">
        <v>3209</v>
      </c>
      <c r="J3965" s="20" t="s">
        <v>3176</v>
      </c>
      <c r="K3965" s="20" t="s">
        <v>10013</v>
      </c>
      <c r="L3965" s="3">
        <v>29</v>
      </c>
      <c r="M3965" s="3" t="s">
        <v>10392</v>
      </c>
      <c r="N3965" s="3" t="str">
        <f>HYPERLINK("http://ictvonline.org/taxonomyHistory.asp?taxnode_id=20164138","ICTVonline=20164138")</f>
        <v>ICTVonline=20164138</v>
      </c>
    </row>
    <row r="3966" spans="1:14" x14ac:dyDescent="0.15">
      <c r="A3966" s="3">
        <v>3965</v>
      </c>
      <c r="B3966" s="1" t="s">
        <v>926</v>
      </c>
      <c r="C3966" s="1" t="s">
        <v>1832</v>
      </c>
      <c r="D3966" s="1" t="s">
        <v>1190</v>
      </c>
      <c r="E3966" s="1" t="s">
        <v>231</v>
      </c>
      <c r="F3966" s="1" t="s">
        <v>2834</v>
      </c>
      <c r="G3966" s="3">
        <v>0</v>
      </c>
      <c r="H3966" s="20" t="s">
        <v>3210</v>
      </c>
      <c r="I3966" s="20" t="s">
        <v>3211</v>
      </c>
      <c r="J3966" s="20" t="s">
        <v>3176</v>
      </c>
      <c r="K3966" s="20" t="s">
        <v>10013</v>
      </c>
      <c r="L3966" s="3">
        <v>29</v>
      </c>
      <c r="M3966" s="3" t="s">
        <v>10392</v>
      </c>
      <c r="N3966" s="3" t="str">
        <f>HYPERLINK("http://ictvonline.org/taxonomyHistory.asp?taxnode_id=20164139","ICTVonline=20164139")</f>
        <v>ICTVonline=20164139</v>
      </c>
    </row>
    <row r="3967" spans="1:14" x14ac:dyDescent="0.15">
      <c r="A3967" s="3">
        <v>3966</v>
      </c>
      <c r="B3967" s="1" t="s">
        <v>926</v>
      </c>
      <c r="C3967" s="1" t="s">
        <v>1832</v>
      </c>
      <c r="D3967" s="1" t="s">
        <v>1190</v>
      </c>
      <c r="E3967" s="1" t="s">
        <v>231</v>
      </c>
      <c r="F3967" s="1" t="s">
        <v>2835</v>
      </c>
      <c r="G3967" s="3">
        <v>0</v>
      </c>
      <c r="H3967" s="20" t="s">
        <v>3212</v>
      </c>
      <c r="I3967" s="20" t="s">
        <v>3213</v>
      </c>
      <c r="J3967" s="20" t="s">
        <v>3176</v>
      </c>
      <c r="K3967" s="20" t="s">
        <v>10013</v>
      </c>
      <c r="L3967" s="3">
        <v>29</v>
      </c>
      <c r="M3967" s="3" t="s">
        <v>10392</v>
      </c>
      <c r="N3967" s="3" t="str">
        <f>HYPERLINK("http://ictvonline.org/taxonomyHistory.asp?taxnode_id=20164140","ICTVonline=20164140")</f>
        <v>ICTVonline=20164140</v>
      </c>
    </row>
    <row r="3968" spans="1:14" x14ac:dyDescent="0.15">
      <c r="A3968" s="3">
        <v>3967</v>
      </c>
      <c r="B3968" s="1" t="s">
        <v>926</v>
      </c>
      <c r="C3968" s="1" t="s">
        <v>1832</v>
      </c>
      <c r="D3968" s="1" t="s">
        <v>1190</v>
      </c>
      <c r="E3968" s="1" t="s">
        <v>231</v>
      </c>
      <c r="F3968" s="1" t="s">
        <v>9730</v>
      </c>
      <c r="G3968" s="3">
        <v>0</v>
      </c>
      <c r="H3968" s="20" t="s">
        <v>9731</v>
      </c>
      <c r="I3968" s="20" t="s">
        <v>9732</v>
      </c>
      <c r="J3968" s="20" t="s">
        <v>3176</v>
      </c>
      <c r="K3968" s="20" t="s">
        <v>10013</v>
      </c>
      <c r="L3968" s="3">
        <v>31</v>
      </c>
      <c r="M3968" s="3" t="s">
        <v>9733</v>
      </c>
      <c r="N3968" s="3" t="str">
        <f>HYPERLINK("http://ictvonline.org/taxonomyHistory.asp?taxnode_id=20165424","ICTVonline=20165424")</f>
        <v>ICTVonline=20165424</v>
      </c>
    </row>
    <row r="3969" spans="1:14" x14ac:dyDescent="0.15">
      <c r="A3969" s="3">
        <v>3968</v>
      </c>
      <c r="B3969" s="1" t="s">
        <v>926</v>
      </c>
      <c r="C3969" s="1" t="s">
        <v>1832</v>
      </c>
      <c r="D3969" s="1" t="s">
        <v>1190</v>
      </c>
      <c r="E3969" s="1" t="s">
        <v>362</v>
      </c>
      <c r="F3969" s="1" t="s">
        <v>363</v>
      </c>
      <c r="G3969" s="3">
        <v>1</v>
      </c>
      <c r="J3969" s="20" t="s">
        <v>3176</v>
      </c>
      <c r="K3969" s="20" t="s">
        <v>10016</v>
      </c>
      <c r="L3969" s="3">
        <v>25</v>
      </c>
      <c r="M3969" s="3" t="s">
        <v>10391</v>
      </c>
      <c r="N3969" s="3" t="str">
        <f>HYPERLINK("http://ictvonline.org/taxonomyHistory.asp?taxnode_id=20164142","ICTVonline=20164142")</f>
        <v>ICTVonline=20164142</v>
      </c>
    </row>
    <row r="3970" spans="1:14" x14ac:dyDescent="0.15">
      <c r="A3970" s="3">
        <v>3969</v>
      </c>
      <c r="B3970" s="1" t="s">
        <v>926</v>
      </c>
      <c r="C3970" s="1" t="s">
        <v>1832</v>
      </c>
      <c r="D3970" s="1" t="s">
        <v>1190</v>
      </c>
      <c r="E3970" s="1" t="s">
        <v>362</v>
      </c>
      <c r="F3970" s="1" t="s">
        <v>364</v>
      </c>
      <c r="G3970" s="3">
        <v>0</v>
      </c>
      <c r="J3970" s="20" t="s">
        <v>3176</v>
      </c>
      <c r="K3970" s="20" t="s">
        <v>10016</v>
      </c>
      <c r="L3970" s="3">
        <v>25</v>
      </c>
      <c r="M3970" s="3" t="s">
        <v>10391</v>
      </c>
      <c r="N3970" s="3" t="str">
        <f>HYPERLINK("http://ictvonline.org/taxonomyHistory.asp?taxnode_id=20164143","ICTVonline=20164143")</f>
        <v>ICTVonline=20164143</v>
      </c>
    </row>
    <row r="3971" spans="1:14" x14ac:dyDescent="0.15">
      <c r="A3971" s="3">
        <v>3970</v>
      </c>
      <c r="B3971" s="1" t="s">
        <v>926</v>
      </c>
      <c r="C3971" s="1" t="s">
        <v>1832</v>
      </c>
      <c r="D3971" s="1" t="s">
        <v>1190</v>
      </c>
      <c r="E3971" s="1" t="s">
        <v>362</v>
      </c>
      <c r="F3971" s="1" t="s">
        <v>365</v>
      </c>
      <c r="G3971" s="3">
        <v>0</v>
      </c>
      <c r="J3971" s="20" t="s">
        <v>3176</v>
      </c>
      <c r="K3971" s="20" t="s">
        <v>10016</v>
      </c>
      <c r="L3971" s="3">
        <v>25</v>
      </c>
      <c r="M3971" s="3" t="s">
        <v>10391</v>
      </c>
      <c r="N3971" s="3" t="str">
        <f>HYPERLINK("http://ictvonline.org/taxonomyHistory.asp?taxnode_id=20164144","ICTVonline=20164144")</f>
        <v>ICTVonline=20164144</v>
      </c>
    </row>
    <row r="3972" spans="1:14" x14ac:dyDescent="0.15">
      <c r="A3972" s="3">
        <v>3971</v>
      </c>
      <c r="B3972" s="1" t="s">
        <v>926</v>
      </c>
      <c r="C3972" s="1" t="s">
        <v>1832</v>
      </c>
      <c r="D3972" s="1" t="s">
        <v>1189</v>
      </c>
      <c r="E3972" s="1" t="s">
        <v>737</v>
      </c>
      <c r="F3972" s="1" t="s">
        <v>738</v>
      </c>
      <c r="G3972" s="3">
        <v>1</v>
      </c>
      <c r="J3972" s="20" t="s">
        <v>3176</v>
      </c>
      <c r="K3972" s="20" t="s">
        <v>10016</v>
      </c>
      <c r="L3972" s="3">
        <v>25</v>
      </c>
      <c r="M3972" s="3" t="s">
        <v>10391</v>
      </c>
      <c r="N3972" s="3" t="str">
        <f>HYPERLINK("http://ictvonline.org/taxonomyHistory.asp?taxnode_id=20164147","ICTVonline=20164147")</f>
        <v>ICTVonline=20164147</v>
      </c>
    </row>
    <row r="3973" spans="1:14" x14ac:dyDescent="0.15">
      <c r="A3973" s="3">
        <v>3972</v>
      </c>
      <c r="B3973" s="1" t="s">
        <v>926</v>
      </c>
      <c r="C3973" s="1" t="s">
        <v>1832</v>
      </c>
      <c r="D3973" s="1" t="s">
        <v>1189</v>
      </c>
      <c r="E3973" s="1" t="s">
        <v>737</v>
      </c>
      <c r="F3973" s="1" t="s">
        <v>739</v>
      </c>
      <c r="G3973" s="3">
        <v>0</v>
      </c>
      <c r="J3973" s="20" t="s">
        <v>3176</v>
      </c>
      <c r="K3973" s="20" t="s">
        <v>10016</v>
      </c>
      <c r="L3973" s="3">
        <v>25</v>
      </c>
      <c r="M3973" s="3" t="s">
        <v>10391</v>
      </c>
      <c r="N3973" s="3" t="str">
        <f>HYPERLINK("http://ictvonline.org/taxonomyHistory.asp?taxnode_id=20164148","ICTVonline=20164148")</f>
        <v>ICTVonline=20164148</v>
      </c>
    </row>
    <row r="3974" spans="1:14" x14ac:dyDescent="0.15">
      <c r="A3974" s="3">
        <v>3973</v>
      </c>
      <c r="B3974" s="1" t="s">
        <v>926</v>
      </c>
      <c r="C3974" s="1" t="s">
        <v>1832</v>
      </c>
      <c r="D3974" s="1" t="s">
        <v>1189</v>
      </c>
      <c r="E3974" s="1" t="s">
        <v>737</v>
      </c>
      <c r="F3974" s="1" t="s">
        <v>740</v>
      </c>
      <c r="G3974" s="3">
        <v>0</v>
      </c>
      <c r="J3974" s="20" t="s">
        <v>3176</v>
      </c>
      <c r="K3974" s="20" t="s">
        <v>10016</v>
      </c>
      <c r="L3974" s="3">
        <v>25</v>
      </c>
      <c r="M3974" s="3" t="s">
        <v>10391</v>
      </c>
      <c r="N3974" s="3" t="str">
        <f>HYPERLINK("http://ictvonline.org/taxonomyHistory.asp?taxnode_id=20164149","ICTVonline=20164149")</f>
        <v>ICTVonline=20164149</v>
      </c>
    </row>
    <row r="3975" spans="1:14" x14ac:dyDescent="0.15">
      <c r="A3975" s="3">
        <v>3974</v>
      </c>
      <c r="B3975" s="1" t="s">
        <v>926</v>
      </c>
      <c r="C3975" s="1" t="s">
        <v>1832</v>
      </c>
      <c r="D3975" s="1" t="s">
        <v>1189</v>
      </c>
      <c r="E3975" s="1" t="s">
        <v>737</v>
      </c>
      <c r="F3975" s="1" t="s">
        <v>741</v>
      </c>
      <c r="G3975" s="3">
        <v>0</v>
      </c>
      <c r="J3975" s="20" t="s">
        <v>3176</v>
      </c>
      <c r="K3975" s="20" t="s">
        <v>10016</v>
      </c>
      <c r="L3975" s="3">
        <v>25</v>
      </c>
      <c r="M3975" s="3" t="s">
        <v>10391</v>
      </c>
      <c r="N3975" s="3" t="str">
        <f>HYPERLINK("http://ictvonline.org/taxonomyHistory.asp?taxnode_id=20164150","ICTVonline=20164150")</f>
        <v>ICTVonline=20164150</v>
      </c>
    </row>
    <row r="3976" spans="1:14" x14ac:dyDescent="0.15">
      <c r="A3976" s="3">
        <v>3975</v>
      </c>
      <c r="B3976" s="1" t="s">
        <v>926</v>
      </c>
      <c r="C3976" s="1" t="s">
        <v>1832</v>
      </c>
      <c r="D3976" s="1" t="s">
        <v>1189</v>
      </c>
      <c r="E3976" s="1" t="s">
        <v>737</v>
      </c>
      <c r="F3976" s="1" t="s">
        <v>742</v>
      </c>
      <c r="G3976" s="3">
        <v>0</v>
      </c>
      <c r="J3976" s="20" t="s">
        <v>3176</v>
      </c>
      <c r="K3976" s="20" t="s">
        <v>10016</v>
      </c>
      <c r="L3976" s="3">
        <v>25</v>
      </c>
      <c r="M3976" s="3" t="s">
        <v>10391</v>
      </c>
      <c r="N3976" s="3" t="str">
        <f>HYPERLINK("http://ictvonline.org/taxonomyHistory.asp?taxnode_id=20164151","ICTVonline=20164151")</f>
        <v>ICTVonline=20164151</v>
      </c>
    </row>
    <row r="3977" spans="1:14" x14ac:dyDescent="0.15">
      <c r="A3977" s="3">
        <v>3976</v>
      </c>
      <c r="B3977" s="1" t="s">
        <v>926</v>
      </c>
      <c r="C3977" s="1" t="s">
        <v>1832</v>
      </c>
      <c r="D3977" s="1" t="s">
        <v>1189</v>
      </c>
      <c r="E3977" s="1" t="s">
        <v>737</v>
      </c>
      <c r="F3977" s="1" t="s">
        <v>743</v>
      </c>
      <c r="G3977" s="3">
        <v>0</v>
      </c>
      <c r="J3977" s="20" t="s">
        <v>3176</v>
      </c>
      <c r="K3977" s="20" t="s">
        <v>10016</v>
      </c>
      <c r="L3977" s="3">
        <v>25</v>
      </c>
      <c r="M3977" s="3" t="s">
        <v>10391</v>
      </c>
      <c r="N3977" s="3" t="str">
        <f>HYPERLINK("http://ictvonline.org/taxonomyHistory.asp?taxnode_id=20164152","ICTVonline=20164152")</f>
        <v>ICTVonline=20164152</v>
      </c>
    </row>
    <row r="3978" spans="1:14" x14ac:dyDescent="0.15">
      <c r="A3978" s="3">
        <v>3977</v>
      </c>
      <c r="B3978" s="1" t="s">
        <v>926</v>
      </c>
      <c r="C3978" s="1" t="s">
        <v>1832</v>
      </c>
      <c r="D3978" s="1" t="s">
        <v>1189</v>
      </c>
      <c r="E3978" s="1" t="s">
        <v>737</v>
      </c>
      <c r="F3978" s="1" t="s">
        <v>744</v>
      </c>
      <c r="G3978" s="3">
        <v>0</v>
      </c>
      <c r="J3978" s="20" t="s">
        <v>3176</v>
      </c>
      <c r="K3978" s="20" t="s">
        <v>10016</v>
      </c>
      <c r="L3978" s="3">
        <v>25</v>
      </c>
      <c r="M3978" s="3" t="s">
        <v>10391</v>
      </c>
      <c r="N3978" s="3" t="str">
        <f>HYPERLINK("http://ictvonline.org/taxonomyHistory.asp?taxnode_id=20164153","ICTVonline=20164153")</f>
        <v>ICTVonline=20164153</v>
      </c>
    </row>
    <row r="3979" spans="1:14" x14ac:dyDescent="0.15">
      <c r="A3979" s="3">
        <v>3978</v>
      </c>
      <c r="B3979" s="1" t="s">
        <v>926</v>
      </c>
      <c r="C3979" s="1" t="s">
        <v>1832</v>
      </c>
      <c r="D3979" s="1" t="s">
        <v>1189</v>
      </c>
      <c r="E3979" s="1" t="s">
        <v>747</v>
      </c>
      <c r="F3979" s="1" t="s">
        <v>748</v>
      </c>
      <c r="G3979" s="3">
        <v>1</v>
      </c>
      <c r="J3979" s="20" t="s">
        <v>3176</v>
      </c>
      <c r="K3979" s="20" t="s">
        <v>10016</v>
      </c>
      <c r="L3979" s="3">
        <v>25</v>
      </c>
      <c r="M3979" s="3" t="s">
        <v>10391</v>
      </c>
      <c r="N3979" s="3" t="str">
        <f>HYPERLINK("http://ictvonline.org/taxonomyHistory.asp?taxnode_id=20164155","ICTVonline=20164155")</f>
        <v>ICTVonline=20164155</v>
      </c>
    </row>
    <row r="3980" spans="1:14" x14ac:dyDescent="0.15">
      <c r="A3980" s="3">
        <v>3979</v>
      </c>
      <c r="B3980" s="1" t="s">
        <v>926</v>
      </c>
      <c r="C3980" s="1" t="s">
        <v>1832</v>
      </c>
      <c r="D3980" s="1" t="s">
        <v>1189</v>
      </c>
      <c r="E3980" s="1" t="s">
        <v>747</v>
      </c>
      <c r="F3980" s="1" t="s">
        <v>749</v>
      </c>
      <c r="G3980" s="3">
        <v>0</v>
      </c>
      <c r="J3980" s="20" t="s">
        <v>3176</v>
      </c>
      <c r="K3980" s="20" t="s">
        <v>10016</v>
      </c>
      <c r="L3980" s="3">
        <v>25</v>
      </c>
      <c r="M3980" s="3" t="s">
        <v>10391</v>
      </c>
      <c r="N3980" s="3" t="str">
        <f>HYPERLINK("http://ictvonline.org/taxonomyHistory.asp?taxnode_id=20164156","ICTVonline=20164156")</f>
        <v>ICTVonline=20164156</v>
      </c>
    </row>
    <row r="3981" spans="1:14" x14ac:dyDescent="0.15">
      <c r="A3981" s="3">
        <v>3980</v>
      </c>
      <c r="B3981" s="1" t="s">
        <v>926</v>
      </c>
      <c r="C3981" s="1" t="s">
        <v>1832</v>
      </c>
      <c r="D3981" s="1" t="s">
        <v>1189</v>
      </c>
      <c r="E3981" s="1" t="s">
        <v>750</v>
      </c>
      <c r="F3981" s="1" t="s">
        <v>1650</v>
      </c>
      <c r="G3981" s="3">
        <v>1</v>
      </c>
      <c r="J3981" s="20" t="s">
        <v>3176</v>
      </c>
      <c r="K3981" s="20" t="s">
        <v>10016</v>
      </c>
      <c r="L3981" s="3">
        <v>25</v>
      </c>
      <c r="M3981" s="3" t="s">
        <v>10391</v>
      </c>
      <c r="N3981" s="3" t="str">
        <f>HYPERLINK("http://ictvonline.org/taxonomyHistory.asp?taxnode_id=20164158","ICTVonline=20164158")</f>
        <v>ICTVonline=20164158</v>
      </c>
    </row>
    <row r="3982" spans="1:14" x14ac:dyDescent="0.15">
      <c r="A3982" s="3">
        <v>3981</v>
      </c>
      <c r="B3982" s="1" t="s">
        <v>926</v>
      </c>
      <c r="C3982" s="1" t="s">
        <v>1832</v>
      </c>
      <c r="D3982" s="1" t="s">
        <v>1189</v>
      </c>
      <c r="E3982" s="1" t="s">
        <v>750</v>
      </c>
      <c r="F3982" s="1" t="s">
        <v>1647</v>
      </c>
      <c r="G3982" s="3">
        <v>0</v>
      </c>
      <c r="J3982" s="20" t="s">
        <v>3176</v>
      </c>
      <c r="K3982" s="20" t="s">
        <v>10016</v>
      </c>
      <c r="L3982" s="3">
        <v>25</v>
      </c>
      <c r="M3982" s="3" t="s">
        <v>10391</v>
      </c>
      <c r="N3982" s="3" t="str">
        <f>HYPERLINK("http://ictvonline.org/taxonomyHistory.asp?taxnode_id=20164159","ICTVonline=20164159")</f>
        <v>ICTVonline=20164159</v>
      </c>
    </row>
    <row r="3983" spans="1:14" x14ac:dyDescent="0.15">
      <c r="A3983" s="3">
        <v>3982</v>
      </c>
      <c r="B3983" s="1" t="s">
        <v>926</v>
      </c>
      <c r="C3983" s="1" t="s">
        <v>1832</v>
      </c>
      <c r="D3983" s="1" t="s">
        <v>1189</v>
      </c>
      <c r="E3983" s="1" t="s">
        <v>750</v>
      </c>
      <c r="F3983" s="1" t="s">
        <v>1977</v>
      </c>
      <c r="G3983" s="3">
        <v>0</v>
      </c>
      <c r="J3983" s="20" t="s">
        <v>3176</v>
      </c>
      <c r="K3983" s="20" t="s">
        <v>10016</v>
      </c>
      <c r="L3983" s="3">
        <v>25</v>
      </c>
      <c r="M3983" s="3" t="s">
        <v>10391</v>
      </c>
      <c r="N3983" s="3" t="str">
        <f>HYPERLINK("http://ictvonline.org/taxonomyHistory.asp?taxnode_id=20164160","ICTVonline=20164160")</f>
        <v>ICTVonline=20164160</v>
      </c>
    </row>
    <row r="3984" spans="1:14" x14ac:dyDescent="0.15">
      <c r="A3984" s="3">
        <v>3983</v>
      </c>
      <c r="B3984" s="1" t="s">
        <v>926</v>
      </c>
      <c r="C3984" s="1" t="s">
        <v>1832</v>
      </c>
      <c r="D3984" s="1" t="s">
        <v>1189</v>
      </c>
      <c r="E3984" s="1" t="s">
        <v>750</v>
      </c>
      <c r="F3984" s="1" t="s">
        <v>1978</v>
      </c>
      <c r="G3984" s="3">
        <v>0</v>
      </c>
      <c r="J3984" s="20" t="s">
        <v>3176</v>
      </c>
      <c r="K3984" s="20" t="s">
        <v>10016</v>
      </c>
      <c r="L3984" s="3">
        <v>25</v>
      </c>
      <c r="M3984" s="3" t="s">
        <v>10391</v>
      </c>
      <c r="N3984" s="3" t="str">
        <f>HYPERLINK("http://ictvonline.org/taxonomyHistory.asp?taxnode_id=20164161","ICTVonline=20164161")</f>
        <v>ICTVonline=20164161</v>
      </c>
    </row>
    <row r="3985" spans="1:14" x14ac:dyDescent="0.15">
      <c r="A3985" s="3">
        <v>3984</v>
      </c>
      <c r="B3985" s="1" t="s">
        <v>926</v>
      </c>
      <c r="C3985" s="1" t="s">
        <v>1832</v>
      </c>
      <c r="D3985" s="1" t="s">
        <v>1189</v>
      </c>
      <c r="E3985" s="1" t="s">
        <v>750</v>
      </c>
      <c r="F3985" s="1" t="s">
        <v>1979</v>
      </c>
      <c r="G3985" s="3">
        <v>0</v>
      </c>
      <c r="J3985" s="20" t="s">
        <v>3176</v>
      </c>
      <c r="K3985" s="20" t="s">
        <v>10016</v>
      </c>
      <c r="L3985" s="3">
        <v>25</v>
      </c>
      <c r="M3985" s="3" t="s">
        <v>10391</v>
      </c>
      <c r="N3985" s="3" t="str">
        <f>HYPERLINK("http://ictvonline.org/taxonomyHistory.asp?taxnode_id=20164162","ICTVonline=20164162")</f>
        <v>ICTVonline=20164162</v>
      </c>
    </row>
    <row r="3986" spans="1:14" x14ac:dyDescent="0.15">
      <c r="A3986" s="3">
        <v>3985</v>
      </c>
      <c r="B3986" s="1" t="s">
        <v>926</v>
      </c>
      <c r="C3986" s="1" t="s">
        <v>1832</v>
      </c>
      <c r="D3986" s="1" t="s">
        <v>1189</v>
      </c>
      <c r="E3986" s="1" t="s">
        <v>750</v>
      </c>
      <c r="F3986" s="1" t="s">
        <v>1980</v>
      </c>
      <c r="G3986" s="3">
        <v>0</v>
      </c>
      <c r="J3986" s="20" t="s">
        <v>3176</v>
      </c>
      <c r="K3986" s="20" t="s">
        <v>10016</v>
      </c>
      <c r="L3986" s="3">
        <v>25</v>
      </c>
      <c r="M3986" s="3" t="s">
        <v>10391</v>
      </c>
      <c r="N3986" s="3" t="str">
        <f>HYPERLINK("http://ictvonline.org/taxonomyHistory.asp?taxnode_id=20164163","ICTVonline=20164163")</f>
        <v>ICTVonline=20164163</v>
      </c>
    </row>
    <row r="3987" spans="1:14" x14ac:dyDescent="0.15">
      <c r="A3987" s="3">
        <v>3986</v>
      </c>
      <c r="B3987" s="1" t="s">
        <v>926</v>
      </c>
      <c r="C3987" s="1" t="s">
        <v>1832</v>
      </c>
      <c r="D3987" s="1" t="s">
        <v>1189</v>
      </c>
      <c r="E3987" s="1" t="s">
        <v>750</v>
      </c>
      <c r="F3987" s="1" t="s">
        <v>1981</v>
      </c>
      <c r="G3987" s="3">
        <v>0</v>
      </c>
      <c r="J3987" s="20" t="s">
        <v>3176</v>
      </c>
      <c r="K3987" s="20" t="s">
        <v>10016</v>
      </c>
      <c r="L3987" s="3">
        <v>25</v>
      </c>
      <c r="M3987" s="3" t="s">
        <v>10391</v>
      </c>
      <c r="N3987" s="3" t="str">
        <f>HYPERLINK("http://ictvonline.org/taxonomyHistory.asp?taxnode_id=20164164","ICTVonline=20164164")</f>
        <v>ICTVonline=20164164</v>
      </c>
    </row>
    <row r="3988" spans="1:14" x14ac:dyDescent="0.15">
      <c r="A3988" s="3">
        <v>3987</v>
      </c>
      <c r="B3988" s="1" t="s">
        <v>926</v>
      </c>
      <c r="C3988" s="1" t="s">
        <v>1832</v>
      </c>
      <c r="D3988" s="1" t="s">
        <v>1189</v>
      </c>
      <c r="E3988" s="1" t="s">
        <v>750</v>
      </c>
      <c r="F3988" s="1" t="s">
        <v>1651</v>
      </c>
      <c r="G3988" s="3">
        <v>0</v>
      </c>
      <c r="J3988" s="20" t="s">
        <v>3176</v>
      </c>
      <c r="K3988" s="20" t="s">
        <v>10016</v>
      </c>
      <c r="L3988" s="3">
        <v>25</v>
      </c>
      <c r="M3988" s="3" t="s">
        <v>10391</v>
      </c>
      <c r="N3988" s="3" t="str">
        <f>HYPERLINK("http://ictvonline.org/taxonomyHistory.asp?taxnode_id=20164165","ICTVonline=20164165")</f>
        <v>ICTVonline=20164165</v>
      </c>
    </row>
    <row r="3989" spans="1:14" x14ac:dyDescent="0.15">
      <c r="A3989" s="3">
        <v>3988</v>
      </c>
      <c r="B3989" s="1" t="s">
        <v>926</v>
      </c>
      <c r="C3989" s="1" t="s">
        <v>1832</v>
      </c>
      <c r="D3989" s="1" t="s">
        <v>1189</v>
      </c>
      <c r="E3989" s="1" t="s">
        <v>750</v>
      </c>
      <c r="F3989" s="1" t="s">
        <v>1652</v>
      </c>
      <c r="G3989" s="3">
        <v>0</v>
      </c>
      <c r="J3989" s="20" t="s">
        <v>3176</v>
      </c>
      <c r="K3989" s="20" t="s">
        <v>10016</v>
      </c>
      <c r="L3989" s="3">
        <v>25</v>
      </c>
      <c r="M3989" s="3" t="s">
        <v>10391</v>
      </c>
      <c r="N3989" s="3" t="str">
        <f>HYPERLINK("http://ictvonline.org/taxonomyHistory.asp?taxnode_id=20164166","ICTVonline=20164166")</f>
        <v>ICTVonline=20164166</v>
      </c>
    </row>
    <row r="3990" spans="1:14" x14ac:dyDescent="0.15">
      <c r="A3990" s="3">
        <v>3989</v>
      </c>
      <c r="B3990" s="1" t="s">
        <v>926</v>
      </c>
      <c r="C3990" s="1" t="s">
        <v>1832</v>
      </c>
      <c r="D3990" s="1" t="s">
        <v>1189</v>
      </c>
      <c r="E3990" s="1" t="s">
        <v>750</v>
      </c>
      <c r="F3990" s="1" t="s">
        <v>1893</v>
      </c>
      <c r="G3990" s="3">
        <v>0</v>
      </c>
      <c r="J3990" s="20" t="s">
        <v>3176</v>
      </c>
      <c r="K3990" s="20" t="s">
        <v>10016</v>
      </c>
      <c r="L3990" s="3">
        <v>25</v>
      </c>
      <c r="M3990" s="3" t="s">
        <v>10391</v>
      </c>
      <c r="N3990" s="3" t="str">
        <f>HYPERLINK("http://ictvonline.org/taxonomyHistory.asp?taxnode_id=20164167","ICTVonline=20164167")</f>
        <v>ICTVonline=20164167</v>
      </c>
    </row>
    <row r="3991" spans="1:14" x14ac:dyDescent="0.15">
      <c r="A3991" s="3">
        <v>3990</v>
      </c>
      <c r="B3991" s="1" t="s">
        <v>926</v>
      </c>
      <c r="C3991" s="1" t="s">
        <v>1832</v>
      </c>
      <c r="D3991" s="1" t="s">
        <v>1189</v>
      </c>
      <c r="E3991" s="1" t="s">
        <v>750</v>
      </c>
      <c r="F3991" s="1" t="s">
        <v>1894</v>
      </c>
      <c r="G3991" s="3">
        <v>0</v>
      </c>
      <c r="J3991" s="20" t="s">
        <v>3176</v>
      </c>
      <c r="K3991" s="20" t="s">
        <v>10016</v>
      </c>
      <c r="L3991" s="3">
        <v>25</v>
      </c>
      <c r="M3991" s="3" t="s">
        <v>10391</v>
      </c>
      <c r="N3991" s="3" t="str">
        <f>HYPERLINK("http://ictvonline.org/taxonomyHistory.asp?taxnode_id=20164168","ICTVonline=20164168")</f>
        <v>ICTVonline=20164168</v>
      </c>
    </row>
    <row r="3992" spans="1:14" x14ac:dyDescent="0.15">
      <c r="A3992" s="3">
        <v>3991</v>
      </c>
      <c r="B3992" s="1" t="s">
        <v>926</v>
      </c>
      <c r="C3992" s="1" t="s">
        <v>1832</v>
      </c>
      <c r="D3992" s="1" t="s">
        <v>1189</v>
      </c>
      <c r="E3992" s="1" t="s">
        <v>750</v>
      </c>
      <c r="F3992" s="1" t="s">
        <v>1895</v>
      </c>
      <c r="G3992" s="3">
        <v>0</v>
      </c>
      <c r="J3992" s="20" t="s">
        <v>3176</v>
      </c>
      <c r="K3992" s="20" t="s">
        <v>10016</v>
      </c>
      <c r="L3992" s="3">
        <v>25</v>
      </c>
      <c r="M3992" s="3" t="s">
        <v>10391</v>
      </c>
      <c r="N3992" s="3" t="str">
        <f>HYPERLINK("http://ictvonline.org/taxonomyHistory.asp?taxnode_id=20164169","ICTVonline=20164169")</f>
        <v>ICTVonline=20164169</v>
      </c>
    </row>
    <row r="3993" spans="1:14" x14ac:dyDescent="0.15">
      <c r="A3993" s="3">
        <v>3992</v>
      </c>
      <c r="B3993" s="1" t="s">
        <v>926</v>
      </c>
      <c r="C3993" s="1" t="s">
        <v>1832</v>
      </c>
      <c r="D3993" s="1" t="s">
        <v>1189</v>
      </c>
      <c r="E3993" s="1" t="s">
        <v>750</v>
      </c>
      <c r="F3993" s="1" t="s">
        <v>1643</v>
      </c>
      <c r="G3993" s="3">
        <v>0</v>
      </c>
      <c r="J3993" s="20" t="s">
        <v>3176</v>
      </c>
      <c r="K3993" s="20" t="s">
        <v>10016</v>
      </c>
      <c r="L3993" s="3">
        <v>25</v>
      </c>
      <c r="M3993" s="3" t="s">
        <v>10391</v>
      </c>
      <c r="N3993" s="3" t="str">
        <f>HYPERLINK("http://ictvonline.org/taxonomyHistory.asp?taxnode_id=20164170","ICTVonline=20164170")</f>
        <v>ICTVonline=20164170</v>
      </c>
    </row>
    <row r="3994" spans="1:14" x14ac:dyDescent="0.15">
      <c r="A3994" s="3">
        <v>3993</v>
      </c>
      <c r="B3994" s="1" t="s">
        <v>926</v>
      </c>
      <c r="C3994" s="1" t="s">
        <v>1832</v>
      </c>
      <c r="D3994" s="1" t="s">
        <v>1189</v>
      </c>
      <c r="E3994" s="1" t="s">
        <v>750</v>
      </c>
      <c r="F3994" s="1" t="s">
        <v>1644</v>
      </c>
      <c r="G3994" s="3">
        <v>0</v>
      </c>
      <c r="J3994" s="20" t="s">
        <v>3176</v>
      </c>
      <c r="K3994" s="20" t="s">
        <v>10016</v>
      </c>
      <c r="L3994" s="3">
        <v>25</v>
      </c>
      <c r="M3994" s="3" t="s">
        <v>10391</v>
      </c>
      <c r="N3994" s="3" t="str">
        <f>HYPERLINK("http://ictvonline.org/taxonomyHistory.asp?taxnode_id=20164171","ICTVonline=20164171")</f>
        <v>ICTVonline=20164171</v>
      </c>
    </row>
    <row r="3995" spans="1:14" x14ac:dyDescent="0.15">
      <c r="A3995" s="3">
        <v>3994</v>
      </c>
      <c r="B3995" s="1" t="s">
        <v>926</v>
      </c>
      <c r="C3995" s="1" t="s">
        <v>1832</v>
      </c>
      <c r="D3995" s="1" t="s">
        <v>1189</v>
      </c>
      <c r="E3995" s="1" t="s">
        <v>750</v>
      </c>
      <c r="F3995" s="1" t="s">
        <v>1645</v>
      </c>
      <c r="G3995" s="3">
        <v>0</v>
      </c>
      <c r="J3995" s="20" t="s">
        <v>3176</v>
      </c>
      <c r="K3995" s="20" t="s">
        <v>10016</v>
      </c>
      <c r="L3995" s="3">
        <v>25</v>
      </c>
      <c r="M3995" s="3" t="s">
        <v>10391</v>
      </c>
      <c r="N3995" s="3" t="str">
        <f>HYPERLINK("http://ictvonline.org/taxonomyHistory.asp?taxnode_id=20164172","ICTVonline=20164172")</f>
        <v>ICTVonline=20164172</v>
      </c>
    </row>
    <row r="3996" spans="1:14" x14ac:dyDescent="0.15">
      <c r="A3996" s="3">
        <v>3995</v>
      </c>
      <c r="B3996" s="1" t="s">
        <v>926</v>
      </c>
      <c r="C3996" s="1" t="s">
        <v>1832</v>
      </c>
      <c r="D3996" s="1" t="s">
        <v>1189</v>
      </c>
      <c r="E3996" s="1" t="s">
        <v>750</v>
      </c>
      <c r="F3996" s="1" t="s">
        <v>1646</v>
      </c>
      <c r="G3996" s="3">
        <v>0</v>
      </c>
      <c r="J3996" s="20" t="s">
        <v>3176</v>
      </c>
      <c r="K3996" s="20" t="s">
        <v>10016</v>
      </c>
      <c r="L3996" s="3">
        <v>25</v>
      </c>
      <c r="M3996" s="3" t="s">
        <v>10391</v>
      </c>
      <c r="N3996" s="3" t="str">
        <f>HYPERLINK("http://ictvonline.org/taxonomyHistory.asp?taxnode_id=20164173","ICTVonline=20164173")</f>
        <v>ICTVonline=20164173</v>
      </c>
    </row>
    <row r="3997" spans="1:14" x14ac:dyDescent="0.15">
      <c r="A3997" s="3">
        <v>3996</v>
      </c>
      <c r="B3997" s="1" t="s">
        <v>926</v>
      </c>
      <c r="C3997" s="1" t="s">
        <v>1832</v>
      </c>
      <c r="D3997" s="1" t="s">
        <v>1189</v>
      </c>
      <c r="E3997" s="1" t="s">
        <v>1653</v>
      </c>
      <c r="F3997" s="1" t="s">
        <v>1897</v>
      </c>
      <c r="G3997" s="3">
        <v>1</v>
      </c>
      <c r="J3997" s="20" t="s">
        <v>3176</v>
      </c>
      <c r="K3997" s="20" t="s">
        <v>10016</v>
      </c>
      <c r="L3997" s="3">
        <v>25</v>
      </c>
      <c r="M3997" s="3" t="s">
        <v>10391</v>
      </c>
      <c r="N3997" s="3" t="str">
        <f>HYPERLINK("http://ictvonline.org/taxonomyHistory.asp?taxnode_id=20164175","ICTVonline=20164175")</f>
        <v>ICTVonline=20164175</v>
      </c>
    </row>
    <row r="3998" spans="1:14" x14ac:dyDescent="0.15">
      <c r="A3998" s="3">
        <v>3997</v>
      </c>
      <c r="B3998" s="1" t="s">
        <v>926</v>
      </c>
      <c r="C3998" s="1" t="s">
        <v>1832</v>
      </c>
      <c r="D3998" s="1" t="s">
        <v>1189</v>
      </c>
      <c r="E3998" s="1" t="s">
        <v>1898</v>
      </c>
      <c r="F3998" s="1" t="s">
        <v>1899</v>
      </c>
      <c r="G3998" s="3">
        <v>1</v>
      </c>
      <c r="H3998" s="20" t="s">
        <v>7255</v>
      </c>
      <c r="I3998" s="20" t="s">
        <v>6120</v>
      </c>
      <c r="J3998" s="20" t="s">
        <v>3176</v>
      </c>
      <c r="K3998" s="20" t="s">
        <v>10016</v>
      </c>
      <c r="L3998" s="3">
        <v>25</v>
      </c>
      <c r="M3998" s="3" t="s">
        <v>10391</v>
      </c>
      <c r="N3998" s="3" t="str">
        <f>HYPERLINK("http://ictvonline.org/taxonomyHistory.asp?taxnode_id=20164177","ICTVonline=20164177")</f>
        <v>ICTVonline=20164177</v>
      </c>
    </row>
    <row r="3999" spans="1:14" x14ac:dyDescent="0.15">
      <c r="A3999" s="3">
        <v>3998</v>
      </c>
      <c r="B3999" s="1" t="s">
        <v>926</v>
      </c>
      <c r="C3999" s="1" t="s">
        <v>1832</v>
      </c>
      <c r="D3999" s="1" t="s">
        <v>1189</v>
      </c>
      <c r="E3999" s="1" t="s">
        <v>1898</v>
      </c>
      <c r="F3999" s="1" t="s">
        <v>1900</v>
      </c>
      <c r="G3999" s="3">
        <v>0</v>
      </c>
      <c r="J3999" s="20" t="s">
        <v>3176</v>
      </c>
      <c r="K3999" s="20" t="s">
        <v>10016</v>
      </c>
      <c r="L3999" s="3">
        <v>25</v>
      </c>
      <c r="M3999" s="3" t="s">
        <v>10391</v>
      </c>
      <c r="N3999" s="3" t="str">
        <f>HYPERLINK("http://ictvonline.org/taxonomyHistory.asp?taxnode_id=20164178","ICTVonline=20164178")</f>
        <v>ICTVonline=20164178</v>
      </c>
    </row>
    <row r="4000" spans="1:14" x14ac:dyDescent="0.15">
      <c r="A4000" s="3">
        <v>3999</v>
      </c>
      <c r="B4000" s="1" t="s">
        <v>926</v>
      </c>
      <c r="C4000" s="1" t="s">
        <v>1832</v>
      </c>
      <c r="D4000" s="1" t="s">
        <v>1189</v>
      </c>
      <c r="E4000" s="1" t="s">
        <v>1898</v>
      </c>
      <c r="F4000" s="1" t="s">
        <v>1658</v>
      </c>
      <c r="G4000" s="3">
        <v>0</v>
      </c>
      <c r="H4000" s="20" t="s">
        <v>7256</v>
      </c>
      <c r="I4000" s="20" t="s">
        <v>4600</v>
      </c>
      <c r="J4000" s="20" t="s">
        <v>3176</v>
      </c>
      <c r="K4000" s="20" t="s">
        <v>10016</v>
      </c>
      <c r="L4000" s="3">
        <v>25</v>
      </c>
      <c r="M4000" s="3" t="s">
        <v>10391</v>
      </c>
      <c r="N4000" s="3" t="str">
        <f>HYPERLINK("http://ictvonline.org/taxonomyHistory.asp?taxnode_id=20164179","ICTVonline=20164179")</f>
        <v>ICTVonline=20164179</v>
      </c>
    </row>
    <row r="4001" spans="1:14" x14ac:dyDescent="0.15">
      <c r="A4001" s="3">
        <v>4000</v>
      </c>
      <c r="B4001" s="1" t="s">
        <v>926</v>
      </c>
      <c r="C4001" s="1" t="s">
        <v>1832</v>
      </c>
      <c r="D4001" s="1" t="s">
        <v>1189</v>
      </c>
      <c r="E4001" s="1" t="s">
        <v>1898</v>
      </c>
      <c r="F4001" s="1" t="s">
        <v>1659</v>
      </c>
      <c r="G4001" s="3">
        <v>0</v>
      </c>
      <c r="H4001" s="20" t="s">
        <v>7257</v>
      </c>
      <c r="I4001" s="20" t="s">
        <v>6121</v>
      </c>
      <c r="J4001" s="20" t="s">
        <v>3176</v>
      </c>
      <c r="K4001" s="20" t="s">
        <v>10016</v>
      </c>
      <c r="L4001" s="3">
        <v>25</v>
      </c>
      <c r="M4001" s="3" t="s">
        <v>10391</v>
      </c>
      <c r="N4001" s="3" t="str">
        <f>HYPERLINK("http://ictvonline.org/taxonomyHistory.asp?taxnode_id=20164180","ICTVonline=20164180")</f>
        <v>ICTVonline=20164180</v>
      </c>
    </row>
    <row r="4002" spans="1:14" x14ac:dyDescent="0.15">
      <c r="A4002" s="3">
        <v>4001</v>
      </c>
      <c r="B4002" s="1" t="s">
        <v>926</v>
      </c>
      <c r="C4002" s="1" t="s">
        <v>1832</v>
      </c>
      <c r="D4002" s="1" t="s">
        <v>1189</v>
      </c>
      <c r="E4002" s="1" t="s">
        <v>1898</v>
      </c>
      <c r="F4002" s="1" t="s">
        <v>1660</v>
      </c>
      <c r="G4002" s="3">
        <v>0</v>
      </c>
      <c r="H4002" s="20" t="s">
        <v>7258</v>
      </c>
      <c r="I4002" s="20" t="s">
        <v>6122</v>
      </c>
      <c r="J4002" s="20" t="s">
        <v>3176</v>
      </c>
      <c r="K4002" s="20" t="s">
        <v>10016</v>
      </c>
      <c r="L4002" s="3">
        <v>25</v>
      </c>
      <c r="M4002" s="3" t="s">
        <v>10391</v>
      </c>
      <c r="N4002" s="3" t="str">
        <f>HYPERLINK("http://ictvonline.org/taxonomyHistory.asp?taxnode_id=20164181","ICTVonline=20164181")</f>
        <v>ICTVonline=20164181</v>
      </c>
    </row>
    <row r="4003" spans="1:14" x14ac:dyDescent="0.15">
      <c r="A4003" s="3">
        <v>4002</v>
      </c>
      <c r="B4003" s="1" t="s">
        <v>926</v>
      </c>
      <c r="C4003" s="1" t="s">
        <v>1832</v>
      </c>
      <c r="D4003" s="1" t="s">
        <v>1189</v>
      </c>
      <c r="E4003" s="1" t="s">
        <v>1898</v>
      </c>
      <c r="F4003" s="1" t="s">
        <v>1571</v>
      </c>
      <c r="G4003" s="3">
        <v>0</v>
      </c>
      <c r="H4003" s="20" t="s">
        <v>7259</v>
      </c>
      <c r="I4003" s="20" t="s">
        <v>6123</v>
      </c>
      <c r="J4003" s="20" t="s">
        <v>3176</v>
      </c>
      <c r="K4003" s="20" t="s">
        <v>10016</v>
      </c>
      <c r="L4003" s="3">
        <v>25</v>
      </c>
      <c r="M4003" s="3" t="s">
        <v>10391</v>
      </c>
      <c r="N4003" s="3" t="str">
        <f>HYPERLINK("http://ictvonline.org/taxonomyHistory.asp?taxnode_id=20164182","ICTVonline=20164182")</f>
        <v>ICTVonline=20164182</v>
      </c>
    </row>
    <row r="4004" spans="1:14" x14ac:dyDescent="0.15">
      <c r="A4004" s="3">
        <v>4003</v>
      </c>
      <c r="B4004" s="1" t="s">
        <v>926</v>
      </c>
      <c r="C4004" s="1" t="s">
        <v>1832</v>
      </c>
      <c r="D4004" s="1" t="s">
        <v>1189</v>
      </c>
      <c r="E4004" s="1" t="s">
        <v>1898</v>
      </c>
      <c r="F4004" s="1" t="s">
        <v>1572</v>
      </c>
      <c r="G4004" s="3">
        <v>0</v>
      </c>
      <c r="J4004" s="20" t="s">
        <v>3176</v>
      </c>
      <c r="K4004" s="20" t="s">
        <v>10016</v>
      </c>
      <c r="L4004" s="3">
        <v>25</v>
      </c>
      <c r="M4004" s="3" t="s">
        <v>10391</v>
      </c>
      <c r="N4004" s="3" t="str">
        <f>HYPERLINK("http://ictvonline.org/taxonomyHistory.asp?taxnode_id=20164183","ICTVonline=20164183")</f>
        <v>ICTVonline=20164183</v>
      </c>
    </row>
    <row r="4005" spans="1:14" x14ac:dyDescent="0.15">
      <c r="A4005" s="3">
        <v>4004</v>
      </c>
      <c r="B4005" s="1" t="s">
        <v>926</v>
      </c>
      <c r="C4005" s="1" t="s">
        <v>1832</v>
      </c>
      <c r="D4005" s="1" t="s">
        <v>1189</v>
      </c>
      <c r="E4005" s="1" t="s">
        <v>1898</v>
      </c>
      <c r="F4005" s="1" t="s">
        <v>1662</v>
      </c>
      <c r="G4005" s="3">
        <v>0</v>
      </c>
      <c r="H4005" s="20" t="s">
        <v>7260</v>
      </c>
      <c r="I4005" s="20" t="s">
        <v>6124</v>
      </c>
      <c r="J4005" s="20" t="s">
        <v>3176</v>
      </c>
      <c r="K4005" s="20" t="s">
        <v>10016</v>
      </c>
      <c r="L4005" s="3">
        <v>25</v>
      </c>
      <c r="M4005" s="3" t="s">
        <v>10391</v>
      </c>
      <c r="N4005" s="3" t="str">
        <f>HYPERLINK("http://ictvonline.org/taxonomyHistory.asp?taxnode_id=20164184","ICTVonline=20164184")</f>
        <v>ICTVonline=20164184</v>
      </c>
    </row>
    <row r="4006" spans="1:14" x14ac:dyDescent="0.15">
      <c r="A4006" s="3">
        <v>4005</v>
      </c>
      <c r="B4006" s="1" t="s">
        <v>926</v>
      </c>
      <c r="C4006" s="1" t="s">
        <v>1832</v>
      </c>
      <c r="D4006" s="1" t="s">
        <v>1189</v>
      </c>
      <c r="E4006" s="1" t="s">
        <v>1898</v>
      </c>
      <c r="F4006" s="1" t="s">
        <v>6125</v>
      </c>
      <c r="G4006" s="3">
        <v>0</v>
      </c>
      <c r="H4006" s="20" t="s">
        <v>7063</v>
      </c>
      <c r="I4006" s="20" t="s">
        <v>6126</v>
      </c>
      <c r="J4006" s="20" t="s">
        <v>3176</v>
      </c>
      <c r="K4006" s="20" t="s">
        <v>10013</v>
      </c>
      <c r="L4006" s="3">
        <v>30</v>
      </c>
      <c r="M4006" s="3" t="s">
        <v>10393</v>
      </c>
      <c r="N4006" s="3" t="str">
        <f>HYPERLINK("http://ictvonline.org/taxonomyHistory.asp?taxnode_id=20164185","ICTVonline=20164185")</f>
        <v>ICTVonline=20164185</v>
      </c>
    </row>
    <row r="4007" spans="1:14" x14ac:dyDescent="0.15">
      <c r="A4007" s="3">
        <v>4006</v>
      </c>
      <c r="B4007" s="1" t="s">
        <v>926</v>
      </c>
      <c r="C4007" s="1" t="s">
        <v>1832</v>
      </c>
      <c r="D4007" s="1" t="s">
        <v>1189</v>
      </c>
      <c r="E4007" s="1" t="s">
        <v>1663</v>
      </c>
      <c r="F4007" s="1" t="s">
        <v>1400</v>
      </c>
      <c r="G4007" s="3">
        <v>1</v>
      </c>
      <c r="J4007" s="20" t="s">
        <v>3176</v>
      </c>
      <c r="K4007" s="20" t="s">
        <v>10016</v>
      </c>
      <c r="L4007" s="3">
        <v>25</v>
      </c>
      <c r="M4007" s="3" t="s">
        <v>10391</v>
      </c>
      <c r="N4007" s="3" t="str">
        <f>HYPERLINK("http://ictvonline.org/taxonomyHistory.asp?taxnode_id=20164187","ICTVonline=20164187")</f>
        <v>ICTVonline=20164187</v>
      </c>
    </row>
    <row r="4008" spans="1:14" x14ac:dyDescent="0.15">
      <c r="A4008" s="3">
        <v>4007</v>
      </c>
      <c r="B4008" s="1" t="s">
        <v>926</v>
      </c>
      <c r="C4008" s="1" t="s">
        <v>1832</v>
      </c>
      <c r="D4008" s="1" t="s">
        <v>1189</v>
      </c>
      <c r="E4008" s="1" t="s">
        <v>1663</v>
      </c>
      <c r="F4008" s="1" t="s">
        <v>1401</v>
      </c>
      <c r="G4008" s="3">
        <v>0</v>
      </c>
      <c r="J4008" s="20" t="s">
        <v>3176</v>
      </c>
      <c r="K4008" s="20" t="s">
        <v>10016</v>
      </c>
      <c r="L4008" s="3">
        <v>25</v>
      </c>
      <c r="M4008" s="3" t="s">
        <v>10391</v>
      </c>
      <c r="N4008" s="3" t="str">
        <f>HYPERLINK("http://ictvonline.org/taxonomyHistory.asp?taxnode_id=20164188","ICTVonline=20164188")</f>
        <v>ICTVonline=20164188</v>
      </c>
    </row>
    <row r="4009" spans="1:14" x14ac:dyDescent="0.15">
      <c r="A4009" s="3">
        <v>4008</v>
      </c>
      <c r="B4009" s="1" t="s">
        <v>926</v>
      </c>
      <c r="C4009" s="1" t="s">
        <v>1832</v>
      </c>
      <c r="D4009" s="1" t="s">
        <v>1189</v>
      </c>
      <c r="E4009" s="1" t="s">
        <v>1663</v>
      </c>
      <c r="F4009" s="1" t="s">
        <v>1402</v>
      </c>
      <c r="G4009" s="3">
        <v>0</v>
      </c>
      <c r="J4009" s="20" t="s">
        <v>3176</v>
      </c>
      <c r="K4009" s="20" t="s">
        <v>10016</v>
      </c>
      <c r="L4009" s="3">
        <v>25</v>
      </c>
      <c r="M4009" s="3" t="s">
        <v>10391</v>
      </c>
      <c r="N4009" s="3" t="str">
        <f>HYPERLINK("http://ictvonline.org/taxonomyHistory.asp?taxnode_id=20164189","ICTVonline=20164189")</f>
        <v>ICTVonline=20164189</v>
      </c>
    </row>
    <row r="4010" spans="1:14" x14ac:dyDescent="0.15">
      <c r="A4010" s="3">
        <v>4009</v>
      </c>
      <c r="B4010" s="1" t="s">
        <v>926</v>
      </c>
      <c r="C4010" s="1" t="s">
        <v>1832</v>
      </c>
      <c r="D4010" s="1" t="s">
        <v>1189</v>
      </c>
      <c r="E4010" s="1" t="s">
        <v>1663</v>
      </c>
      <c r="F4010" s="1" t="s">
        <v>1403</v>
      </c>
      <c r="G4010" s="3">
        <v>0</v>
      </c>
      <c r="J4010" s="20" t="s">
        <v>3176</v>
      </c>
      <c r="K4010" s="20" t="s">
        <v>10016</v>
      </c>
      <c r="L4010" s="3">
        <v>25</v>
      </c>
      <c r="M4010" s="3" t="s">
        <v>10391</v>
      </c>
      <c r="N4010" s="3" t="str">
        <f>HYPERLINK("http://ictvonline.org/taxonomyHistory.asp?taxnode_id=20164190","ICTVonline=20164190")</f>
        <v>ICTVonline=20164190</v>
      </c>
    </row>
    <row r="4011" spans="1:14" x14ac:dyDescent="0.15">
      <c r="A4011" s="3">
        <v>4010</v>
      </c>
      <c r="B4011" s="1" t="s">
        <v>926</v>
      </c>
      <c r="C4011" s="1" t="s">
        <v>1832</v>
      </c>
      <c r="D4011" s="1" t="s">
        <v>1189</v>
      </c>
      <c r="E4011" s="1" t="s">
        <v>1663</v>
      </c>
      <c r="F4011" s="1" t="s">
        <v>1404</v>
      </c>
      <c r="G4011" s="3">
        <v>0</v>
      </c>
      <c r="J4011" s="20" t="s">
        <v>3176</v>
      </c>
      <c r="K4011" s="20" t="s">
        <v>10016</v>
      </c>
      <c r="L4011" s="3">
        <v>25</v>
      </c>
      <c r="M4011" s="3" t="s">
        <v>10391</v>
      </c>
      <c r="N4011" s="3" t="str">
        <f>HYPERLINK("http://ictvonline.org/taxonomyHistory.asp?taxnode_id=20164191","ICTVonline=20164191")</f>
        <v>ICTVonline=20164191</v>
      </c>
    </row>
    <row r="4012" spans="1:14" x14ac:dyDescent="0.15">
      <c r="A4012" s="3">
        <v>4011</v>
      </c>
      <c r="B4012" s="1" t="s">
        <v>926</v>
      </c>
      <c r="C4012" s="1" t="s">
        <v>1832</v>
      </c>
      <c r="D4012" s="1" t="s">
        <v>1189</v>
      </c>
      <c r="E4012" s="1" t="s">
        <v>1997</v>
      </c>
      <c r="F4012" s="1" t="s">
        <v>1998</v>
      </c>
      <c r="G4012" s="3">
        <v>1</v>
      </c>
      <c r="H4012" s="20" t="s">
        <v>7261</v>
      </c>
      <c r="I4012" s="20" t="s">
        <v>6127</v>
      </c>
      <c r="J4012" s="20" t="s">
        <v>3176</v>
      </c>
      <c r="K4012" s="20" t="s">
        <v>10016</v>
      </c>
      <c r="L4012" s="3">
        <v>25</v>
      </c>
      <c r="M4012" s="3" t="s">
        <v>10391</v>
      </c>
      <c r="N4012" s="3" t="str">
        <f>HYPERLINK("http://ictvonline.org/taxonomyHistory.asp?taxnode_id=20164193","ICTVonline=20164193")</f>
        <v>ICTVonline=20164193</v>
      </c>
    </row>
    <row r="4013" spans="1:14" x14ac:dyDescent="0.15">
      <c r="A4013" s="3">
        <v>4012</v>
      </c>
      <c r="B4013" s="1" t="s">
        <v>926</v>
      </c>
      <c r="C4013" s="1" t="s">
        <v>1832</v>
      </c>
      <c r="D4013" s="1" t="s">
        <v>1189</v>
      </c>
      <c r="E4013" s="1" t="s">
        <v>1997</v>
      </c>
      <c r="F4013" s="1" t="s">
        <v>1999</v>
      </c>
      <c r="G4013" s="3">
        <v>0</v>
      </c>
      <c r="J4013" s="20" t="s">
        <v>3176</v>
      </c>
      <c r="K4013" s="20" t="s">
        <v>10016</v>
      </c>
      <c r="L4013" s="3">
        <v>25</v>
      </c>
      <c r="M4013" s="3" t="s">
        <v>10391</v>
      </c>
      <c r="N4013" s="3" t="str">
        <f>HYPERLINK("http://ictvonline.org/taxonomyHistory.asp?taxnode_id=20164194","ICTVonline=20164194")</f>
        <v>ICTVonline=20164194</v>
      </c>
    </row>
    <row r="4014" spans="1:14" x14ac:dyDescent="0.15">
      <c r="A4014" s="3">
        <v>4013</v>
      </c>
      <c r="B4014" s="1" t="s">
        <v>926</v>
      </c>
      <c r="C4014" s="1" t="s">
        <v>1832</v>
      </c>
      <c r="D4014" s="1" t="s">
        <v>1189</v>
      </c>
      <c r="E4014" s="1" t="s">
        <v>1997</v>
      </c>
      <c r="F4014" s="1" t="s">
        <v>2000</v>
      </c>
      <c r="G4014" s="3">
        <v>0</v>
      </c>
      <c r="H4014" s="20" t="s">
        <v>7262</v>
      </c>
      <c r="I4014" s="20" t="s">
        <v>5600</v>
      </c>
      <c r="J4014" s="20" t="s">
        <v>3176</v>
      </c>
      <c r="K4014" s="20" t="s">
        <v>10016</v>
      </c>
      <c r="L4014" s="3">
        <v>25</v>
      </c>
      <c r="M4014" s="3" t="s">
        <v>10391</v>
      </c>
      <c r="N4014" s="3" t="str">
        <f>HYPERLINK("http://ictvonline.org/taxonomyHistory.asp?taxnode_id=20164195","ICTVonline=20164195")</f>
        <v>ICTVonline=20164195</v>
      </c>
    </row>
    <row r="4015" spans="1:14" x14ac:dyDescent="0.15">
      <c r="A4015" s="3">
        <v>4014</v>
      </c>
      <c r="B4015" s="1" t="s">
        <v>926</v>
      </c>
      <c r="C4015" s="1" t="s">
        <v>1832</v>
      </c>
      <c r="D4015" s="1" t="s">
        <v>1189</v>
      </c>
      <c r="E4015" s="1" t="s">
        <v>1343</v>
      </c>
      <c r="F4015" s="1" t="s">
        <v>1344</v>
      </c>
      <c r="G4015" s="3">
        <v>0</v>
      </c>
      <c r="J4015" s="20" t="s">
        <v>3176</v>
      </c>
      <c r="K4015" s="20" t="s">
        <v>10016</v>
      </c>
      <c r="L4015" s="3">
        <v>25</v>
      </c>
      <c r="M4015" s="3" t="s">
        <v>10391</v>
      </c>
      <c r="N4015" s="3" t="str">
        <f>HYPERLINK("http://ictvonline.org/taxonomyHistory.asp?taxnode_id=20164197","ICTVonline=20164197")</f>
        <v>ICTVonline=20164197</v>
      </c>
    </row>
    <row r="4016" spans="1:14" x14ac:dyDescent="0.15">
      <c r="A4016" s="3">
        <v>4015</v>
      </c>
      <c r="B4016" s="1" t="s">
        <v>926</v>
      </c>
      <c r="C4016" s="1" t="s">
        <v>1832</v>
      </c>
      <c r="D4016" s="1" t="s">
        <v>1189</v>
      </c>
      <c r="E4016" s="1" t="s">
        <v>1343</v>
      </c>
      <c r="F4016" s="1" t="s">
        <v>1345</v>
      </c>
      <c r="G4016" s="3">
        <v>0</v>
      </c>
      <c r="J4016" s="20" t="s">
        <v>3176</v>
      </c>
      <c r="K4016" s="20" t="s">
        <v>10016</v>
      </c>
      <c r="L4016" s="3">
        <v>25</v>
      </c>
      <c r="M4016" s="3" t="s">
        <v>10391</v>
      </c>
      <c r="N4016" s="3" t="str">
        <f>HYPERLINK("http://ictvonline.org/taxonomyHistory.asp?taxnode_id=20164198","ICTVonline=20164198")</f>
        <v>ICTVonline=20164198</v>
      </c>
    </row>
    <row r="4017" spans="1:14" x14ac:dyDescent="0.15">
      <c r="A4017" s="3">
        <v>4016</v>
      </c>
      <c r="B4017" s="1" t="s">
        <v>926</v>
      </c>
      <c r="C4017" s="1" t="s">
        <v>1832</v>
      </c>
      <c r="D4017" s="1" t="s">
        <v>1189</v>
      </c>
      <c r="E4017" s="1" t="s">
        <v>1343</v>
      </c>
      <c r="F4017" s="1" t="s">
        <v>1346</v>
      </c>
      <c r="G4017" s="3">
        <v>1</v>
      </c>
      <c r="J4017" s="20" t="s">
        <v>3176</v>
      </c>
      <c r="K4017" s="20" t="s">
        <v>10016</v>
      </c>
      <c r="L4017" s="3">
        <v>25</v>
      </c>
      <c r="M4017" s="3" t="s">
        <v>10391</v>
      </c>
      <c r="N4017" s="3" t="str">
        <f>HYPERLINK("http://ictvonline.org/taxonomyHistory.asp?taxnode_id=20164199","ICTVonline=20164199")</f>
        <v>ICTVonline=20164199</v>
      </c>
    </row>
    <row r="4018" spans="1:14" x14ac:dyDescent="0.15">
      <c r="A4018" s="3">
        <v>4017</v>
      </c>
      <c r="B4018" s="1" t="s">
        <v>926</v>
      </c>
      <c r="C4018" s="1" t="s">
        <v>1832</v>
      </c>
      <c r="D4018" s="1" t="s">
        <v>1189</v>
      </c>
      <c r="E4018" s="1" t="s">
        <v>1343</v>
      </c>
      <c r="F4018" s="1" t="s">
        <v>1347</v>
      </c>
      <c r="G4018" s="3">
        <v>0</v>
      </c>
      <c r="J4018" s="20" t="s">
        <v>3176</v>
      </c>
      <c r="K4018" s="20" t="s">
        <v>10016</v>
      </c>
      <c r="L4018" s="3">
        <v>25</v>
      </c>
      <c r="M4018" s="3" t="s">
        <v>10391</v>
      </c>
      <c r="N4018" s="3" t="str">
        <f>HYPERLINK("http://ictvonline.org/taxonomyHistory.asp?taxnode_id=20164200","ICTVonline=20164200")</f>
        <v>ICTVonline=20164200</v>
      </c>
    </row>
    <row r="4019" spans="1:14" x14ac:dyDescent="0.15">
      <c r="A4019" s="3">
        <v>4018</v>
      </c>
      <c r="B4019" s="1" t="s">
        <v>926</v>
      </c>
      <c r="C4019" s="1" t="s">
        <v>1832</v>
      </c>
      <c r="D4019" s="1" t="s">
        <v>1189</v>
      </c>
      <c r="E4019" s="1" t="s">
        <v>1343</v>
      </c>
      <c r="F4019" s="1" t="s">
        <v>6128</v>
      </c>
      <c r="G4019" s="3">
        <v>0</v>
      </c>
      <c r="H4019" s="20" t="s">
        <v>7064</v>
      </c>
      <c r="I4019" s="20" t="s">
        <v>6129</v>
      </c>
      <c r="J4019" s="20" t="s">
        <v>3176</v>
      </c>
      <c r="K4019" s="20" t="s">
        <v>10013</v>
      </c>
      <c r="L4019" s="3">
        <v>30</v>
      </c>
      <c r="M4019" s="3" t="s">
        <v>10394</v>
      </c>
      <c r="N4019" s="3" t="str">
        <f>HYPERLINK("http://ictvonline.org/taxonomyHistory.asp?taxnode_id=20164201","ICTVonline=20164201")</f>
        <v>ICTVonline=20164201</v>
      </c>
    </row>
    <row r="4020" spans="1:14" x14ac:dyDescent="0.15">
      <c r="A4020" s="3">
        <v>4019</v>
      </c>
      <c r="B4020" s="1" t="s">
        <v>926</v>
      </c>
      <c r="C4020" s="1" t="s">
        <v>1832</v>
      </c>
      <c r="D4020" s="1" t="s">
        <v>1189</v>
      </c>
      <c r="E4020" s="1" t="s">
        <v>1343</v>
      </c>
      <c r="F4020" s="1" t="s">
        <v>1348</v>
      </c>
      <c r="G4020" s="3">
        <v>0</v>
      </c>
      <c r="J4020" s="20" t="s">
        <v>3176</v>
      </c>
      <c r="K4020" s="20" t="s">
        <v>10016</v>
      </c>
      <c r="L4020" s="3">
        <v>25</v>
      </c>
      <c r="M4020" s="3" t="s">
        <v>10391</v>
      </c>
      <c r="N4020" s="3" t="str">
        <f>HYPERLINK("http://ictvonline.org/taxonomyHistory.asp?taxnode_id=20164202","ICTVonline=20164202")</f>
        <v>ICTVonline=20164202</v>
      </c>
    </row>
    <row r="4021" spans="1:14" x14ac:dyDescent="0.15">
      <c r="A4021" s="3">
        <v>4020</v>
      </c>
      <c r="B4021" s="1" t="s">
        <v>926</v>
      </c>
      <c r="C4021" s="1" t="s">
        <v>1832</v>
      </c>
      <c r="D4021" s="1" t="s">
        <v>1189</v>
      </c>
      <c r="E4021" s="1" t="s">
        <v>1349</v>
      </c>
      <c r="F4021" s="1" t="s">
        <v>1350</v>
      </c>
      <c r="G4021" s="3">
        <v>0</v>
      </c>
      <c r="J4021" s="20" t="s">
        <v>3176</v>
      </c>
      <c r="K4021" s="20" t="s">
        <v>10016</v>
      </c>
      <c r="L4021" s="3">
        <v>25</v>
      </c>
      <c r="M4021" s="3" t="s">
        <v>10391</v>
      </c>
      <c r="N4021" s="3" t="str">
        <f>HYPERLINK("http://ictvonline.org/taxonomyHistory.asp?taxnode_id=20164204","ICTVonline=20164204")</f>
        <v>ICTVonline=20164204</v>
      </c>
    </row>
    <row r="4022" spans="1:14" x14ac:dyDescent="0.15">
      <c r="A4022" s="3">
        <v>4021</v>
      </c>
      <c r="B4022" s="1" t="s">
        <v>926</v>
      </c>
      <c r="C4022" s="1" t="s">
        <v>1832</v>
      </c>
      <c r="D4022" s="1" t="s">
        <v>1189</v>
      </c>
      <c r="E4022" s="1" t="s">
        <v>1349</v>
      </c>
      <c r="F4022" s="1" t="s">
        <v>242</v>
      </c>
      <c r="G4022" s="3">
        <v>1</v>
      </c>
      <c r="H4022" s="20" t="s">
        <v>7263</v>
      </c>
      <c r="I4022" s="20" t="s">
        <v>6118</v>
      </c>
      <c r="J4022" s="20" t="s">
        <v>3176</v>
      </c>
      <c r="K4022" s="20" t="s">
        <v>10016</v>
      </c>
      <c r="L4022" s="3">
        <v>25</v>
      </c>
      <c r="M4022" s="3" t="s">
        <v>10391</v>
      </c>
      <c r="N4022" s="3" t="str">
        <f>HYPERLINK("http://ictvonline.org/taxonomyHistory.asp?taxnode_id=20164205","ICTVonline=20164205")</f>
        <v>ICTVonline=20164205</v>
      </c>
    </row>
    <row r="4023" spans="1:14" x14ac:dyDescent="0.15">
      <c r="A4023" s="3">
        <v>4022</v>
      </c>
      <c r="B4023" s="1" t="s">
        <v>926</v>
      </c>
      <c r="C4023" s="1" t="s">
        <v>366</v>
      </c>
      <c r="D4023" s="1" t="s">
        <v>367</v>
      </c>
      <c r="E4023" s="1" t="s">
        <v>368</v>
      </c>
      <c r="F4023" s="1" t="s">
        <v>244</v>
      </c>
      <c r="G4023" s="3">
        <v>0</v>
      </c>
      <c r="J4023" s="20" t="s">
        <v>3178</v>
      </c>
      <c r="K4023" s="20" t="s">
        <v>10016</v>
      </c>
      <c r="L4023" s="3">
        <v>21</v>
      </c>
      <c r="M4023" s="3" t="s">
        <v>10395</v>
      </c>
      <c r="N4023" s="3" t="str">
        <f>HYPERLINK("http://ictvonline.org/taxonomyHistory.asp?taxnode_id=20164209","ICTVonline=20164209")</f>
        <v>ICTVonline=20164209</v>
      </c>
    </row>
    <row r="4024" spans="1:14" x14ac:dyDescent="0.15">
      <c r="A4024" s="3">
        <v>4023</v>
      </c>
      <c r="B4024" s="1" t="s">
        <v>926</v>
      </c>
      <c r="C4024" s="1" t="s">
        <v>366</v>
      </c>
      <c r="D4024" s="1" t="s">
        <v>367</v>
      </c>
      <c r="E4024" s="1" t="s">
        <v>368</v>
      </c>
      <c r="F4024" s="1" t="s">
        <v>372</v>
      </c>
      <c r="G4024" s="3">
        <v>1</v>
      </c>
      <c r="J4024" s="20" t="s">
        <v>3178</v>
      </c>
      <c r="K4024" s="20" t="s">
        <v>10016</v>
      </c>
      <c r="L4024" s="3">
        <v>21</v>
      </c>
      <c r="M4024" s="3" t="s">
        <v>10395</v>
      </c>
      <c r="N4024" s="3" t="str">
        <f>HYPERLINK("http://ictvonline.org/taxonomyHistory.asp?taxnode_id=20164210","ICTVonline=20164210")</f>
        <v>ICTVonline=20164210</v>
      </c>
    </row>
    <row r="4025" spans="1:14" x14ac:dyDescent="0.15">
      <c r="A4025" s="3">
        <v>4024</v>
      </c>
      <c r="B4025" s="1" t="s">
        <v>926</v>
      </c>
      <c r="C4025" s="1" t="s">
        <v>366</v>
      </c>
      <c r="D4025" s="1" t="s">
        <v>367</v>
      </c>
      <c r="E4025" s="1" t="s">
        <v>368</v>
      </c>
      <c r="F4025" s="1" t="s">
        <v>245</v>
      </c>
      <c r="G4025" s="3">
        <v>0</v>
      </c>
      <c r="J4025" s="20" t="s">
        <v>3178</v>
      </c>
      <c r="K4025" s="20" t="s">
        <v>10016</v>
      </c>
      <c r="L4025" s="3">
        <v>21</v>
      </c>
      <c r="M4025" s="3" t="s">
        <v>10395</v>
      </c>
      <c r="N4025" s="3" t="str">
        <f>HYPERLINK("http://ictvonline.org/taxonomyHistory.asp?taxnode_id=20164211","ICTVonline=20164211")</f>
        <v>ICTVonline=20164211</v>
      </c>
    </row>
    <row r="4026" spans="1:14" x14ac:dyDescent="0.15">
      <c r="A4026" s="3">
        <v>4025</v>
      </c>
      <c r="B4026" s="1" t="s">
        <v>926</v>
      </c>
      <c r="C4026" s="1" t="s">
        <v>366</v>
      </c>
      <c r="D4026" s="1" t="s">
        <v>367</v>
      </c>
      <c r="E4026" s="1" t="s">
        <v>368</v>
      </c>
      <c r="F4026" s="1" t="s">
        <v>246</v>
      </c>
      <c r="G4026" s="3">
        <v>0</v>
      </c>
      <c r="J4026" s="20" t="s">
        <v>3178</v>
      </c>
      <c r="K4026" s="20" t="s">
        <v>10016</v>
      </c>
      <c r="L4026" s="3">
        <v>21</v>
      </c>
      <c r="M4026" s="3" t="s">
        <v>10395</v>
      </c>
      <c r="N4026" s="3" t="str">
        <f>HYPERLINK("http://ictvonline.org/taxonomyHistory.asp?taxnode_id=20164212","ICTVonline=20164212")</f>
        <v>ICTVonline=20164212</v>
      </c>
    </row>
    <row r="4027" spans="1:14" x14ac:dyDescent="0.15">
      <c r="A4027" s="3">
        <v>4026</v>
      </c>
      <c r="B4027" s="1" t="s">
        <v>926</v>
      </c>
      <c r="C4027" s="1" t="s">
        <v>366</v>
      </c>
      <c r="D4027" s="1" t="s">
        <v>367</v>
      </c>
      <c r="E4027" s="1" t="s">
        <v>368</v>
      </c>
      <c r="F4027" s="1" t="s">
        <v>247</v>
      </c>
      <c r="G4027" s="3">
        <v>0</v>
      </c>
      <c r="J4027" s="20" t="s">
        <v>3178</v>
      </c>
      <c r="K4027" s="20" t="s">
        <v>10016</v>
      </c>
      <c r="L4027" s="3">
        <v>21</v>
      </c>
      <c r="M4027" s="3" t="s">
        <v>10395</v>
      </c>
      <c r="N4027" s="3" t="str">
        <f>HYPERLINK("http://ictvonline.org/taxonomyHistory.asp?taxnode_id=20164213","ICTVonline=20164213")</f>
        <v>ICTVonline=20164213</v>
      </c>
    </row>
    <row r="4028" spans="1:14" x14ac:dyDescent="0.15">
      <c r="A4028" s="3">
        <v>4027</v>
      </c>
      <c r="B4028" s="1" t="s">
        <v>926</v>
      </c>
      <c r="C4028" s="1" t="s">
        <v>366</v>
      </c>
      <c r="D4028" s="1" t="s">
        <v>367</v>
      </c>
      <c r="E4028" s="1" t="s">
        <v>368</v>
      </c>
      <c r="F4028" s="1" t="s">
        <v>1883</v>
      </c>
      <c r="G4028" s="3">
        <v>0</v>
      </c>
      <c r="J4028" s="20" t="s">
        <v>3178</v>
      </c>
      <c r="K4028" s="20" t="s">
        <v>10016</v>
      </c>
      <c r="L4028" s="3">
        <v>21</v>
      </c>
      <c r="M4028" s="3" t="s">
        <v>10395</v>
      </c>
      <c r="N4028" s="3" t="str">
        <f>HYPERLINK("http://ictvonline.org/taxonomyHistory.asp?taxnode_id=20164214","ICTVonline=20164214")</f>
        <v>ICTVonline=20164214</v>
      </c>
    </row>
    <row r="4029" spans="1:14" x14ac:dyDescent="0.15">
      <c r="A4029" s="3">
        <v>4028</v>
      </c>
      <c r="B4029" s="1" t="s">
        <v>926</v>
      </c>
      <c r="C4029" s="1" t="s">
        <v>366</v>
      </c>
      <c r="D4029" s="1" t="s">
        <v>367</v>
      </c>
      <c r="E4029" s="1" t="s">
        <v>368</v>
      </c>
      <c r="F4029" s="1" t="s">
        <v>1884</v>
      </c>
      <c r="G4029" s="3">
        <v>0</v>
      </c>
      <c r="J4029" s="20" t="s">
        <v>3178</v>
      </c>
      <c r="K4029" s="20" t="s">
        <v>10016</v>
      </c>
      <c r="L4029" s="3">
        <v>21</v>
      </c>
      <c r="M4029" s="3" t="s">
        <v>10395</v>
      </c>
      <c r="N4029" s="3" t="str">
        <f>HYPERLINK("http://ictvonline.org/taxonomyHistory.asp?taxnode_id=20164215","ICTVonline=20164215")</f>
        <v>ICTVonline=20164215</v>
      </c>
    </row>
    <row r="4030" spans="1:14" x14ac:dyDescent="0.15">
      <c r="A4030" s="3">
        <v>4029</v>
      </c>
      <c r="B4030" s="1" t="s">
        <v>926</v>
      </c>
      <c r="C4030" s="1" t="s">
        <v>366</v>
      </c>
      <c r="D4030" s="1" t="s">
        <v>367</v>
      </c>
      <c r="E4030" s="1" t="s">
        <v>368</v>
      </c>
      <c r="F4030" s="1" t="s">
        <v>704</v>
      </c>
      <c r="G4030" s="3">
        <v>0</v>
      </c>
      <c r="J4030" s="20" t="s">
        <v>3178</v>
      </c>
      <c r="K4030" s="20" t="s">
        <v>10016</v>
      </c>
      <c r="L4030" s="3">
        <v>21</v>
      </c>
      <c r="M4030" s="3" t="s">
        <v>10395</v>
      </c>
      <c r="N4030" s="3" t="str">
        <f>HYPERLINK("http://ictvonline.org/taxonomyHistory.asp?taxnode_id=20164216","ICTVonline=20164216")</f>
        <v>ICTVonline=20164216</v>
      </c>
    </row>
    <row r="4031" spans="1:14" x14ac:dyDescent="0.15">
      <c r="A4031" s="3">
        <v>4030</v>
      </c>
      <c r="B4031" s="1" t="s">
        <v>926</v>
      </c>
      <c r="C4031" s="1" t="s">
        <v>366</v>
      </c>
      <c r="D4031" s="1" t="s">
        <v>367</v>
      </c>
      <c r="E4031" s="1" t="s">
        <v>368</v>
      </c>
      <c r="F4031" s="1" t="s">
        <v>705</v>
      </c>
      <c r="G4031" s="3">
        <v>0</v>
      </c>
      <c r="J4031" s="20" t="s">
        <v>3178</v>
      </c>
      <c r="K4031" s="20" t="s">
        <v>10016</v>
      </c>
      <c r="L4031" s="3">
        <v>21</v>
      </c>
      <c r="M4031" s="3" t="s">
        <v>10395</v>
      </c>
      <c r="N4031" s="3" t="str">
        <f>HYPERLINK("http://ictvonline.org/taxonomyHistory.asp?taxnode_id=20164217","ICTVonline=20164217")</f>
        <v>ICTVonline=20164217</v>
      </c>
    </row>
    <row r="4032" spans="1:14" x14ac:dyDescent="0.15">
      <c r="A4032" s="3">
        <v>4031</v>
      </c>
      <c r="B4032" s="1" t="s">
        <v>926</v>
      </c>
      <c r="C4032" s="1" t="s">
        <v>366</v>
      </c>
      <c r="D4032" s="1" t="s">
        <v>367</v>
      </c>
      <c r="E4032" s="1" t="s">
        <v>706</v>
      </c>
      <c r="F4032" s="1" t="s">
        <v>810</v>
      </c>
      <c r="G4032" s="3">
        <v>0</v>
      </c>
      <c r="J4032" s="20" t="s">
        <v>3178</v>
      </c>
      <c r="K4032" s="20" t="s">
        <v>10021</v>
      </c>
      <c r="L4032" s="3">
        <v>23</v>
      </c>
      <c r="M4032" s="3" t="s">
        <v>10229</v>
      </c>
      <c r="N4032" s="3" t="str">
        <f>HYPERLINK("http://ictvonline.org/taxonomyHistory.asp?taxnode_id=20164219","ICTVonline=20164219")</f>
        <v>ICTVonline=20164219</v>
      </c>
    </row>
    <row r="4033" spans="1:14" x14ac:dyDescent="0.15">
      <c r="A4033" s="3">
        <v>4032</v>
      </c>
      <c r="B4033" s="1" t="s">
        <v>926</v>
      </c>
      <c r="C4033" s="1" t="s">
        <v>366</v>
      </c>
      <c r="D4033" s="1" t="s">
        <v>367</v>
      </c>
      <c r="E4033" s="1" t="s">
        <v>706</v>
      </c>
      <c r="F4033" s="1" t="s">
        <v>811</v>
      </c>
      <c r="G4033" s="3">
        <v>0</v>
      </c>
      <c r="J4033" s="20" t="s">
        <v>3178</v>
      </c>
      <c r="K4033" s="20" t="s">
        <v>10016</v>
      </c>
      <c r="L4033" s="3">
        <v>21</v>
      </c>
      <c r="M4033" s="3" t="s">
        <v>10395</v>
      </c>
      <c r="N4033" s="3" t="str">
        <f>HYPERLINK("http://ictvonline.org/taxonomyHistory.asp?taxnode_id=20164220","ICTVonline=20164220")</f>
        <v>ICTVonline=20164220</v>
      </c>
    </row>
    <row r="4034" spans="1:14" x14ac:dyDescent="0.15">
      <c r="A4034" s="3">
        <v>4033</v>
      </c>
      <c r="B4034" s="1" t="s">
        <v>926</v>
      </c>
      <c r="C4034" s="1" t="s">
        <v>366</v>
      </c>
      <c r="D4034" s="1" t="s">
        <v>367</v>
      </c>
      <c r="E4034" s="1" t="s">
        <v>706</v>
      </c>
      <c r="F4034" s="1" t="s">
        <v>812</v>
      </c>
      <c r="G4034" s="3">
        <v>0</v>
      </c>
      <c r="J4034" s="20" t="s">
        <v>3178</v>
      </c>
      <c r="K4034" s="20" t="s">
        <v>10016</v>
      </c>
      <c r="L4034" s="3">
        <v>21</v>
      </c>
      <c r="M4034" s="3" t="s">
        <v>10395</v>
      </c>
      <c r="N4034" s="3" t="str">
        <f>HYPERLINK("http://ictvonline.org/taxonomyHistory.asp?taxnode_id=20164221","ICTVonline=20164221")</f>
        <v>ICTVonline=20164221</v>
      </c>
    </row>
    <row r="4035" spans="1:14" x14ac:dyDescent="0.15">
      <c r="A4035" s="3">
        <v>4034</v>
      </c>
      <c r="B4035" s="1" t="s">
        <v>926</v>
      </c>
      <c r="C4035" s="1" t="s">
        <v>366</v>
      </c>
      <c r="D4035" s="1" t="s">
        <v>367</v>
      </c>
      <c r="E4035" s="1" t="s">
        <v>706</v>
      </c>
      <c r="F4035" s="1" t="s">
        <v>807</v>
      </c>
      <c r="G4035" s="3">
        <v>1</v>
      </c>
      <c r="J4035" s="20" t="s">
        <v>3178</v>
      </c>
      <c r="K4035" s="20" t="s">
        <v>10016</v>
      </c>
      <c r="L4035" s="3">
        <v>21</v>
      </c>
      <c r="M4035" s="3" t="s">
        <v>10395</v>
      </c>
      <c r="N4035" s="3" t="str">
        <f>HYPERLINK("http://ictvonline.org/taxonomyHistory.asp?taxnode_id=20164222","ICTVonline=20164222")</f>
        <v>ICTVonline=20164222</v>
      </c>
    </row>
    <row r="4036" spans="1:14" x14ac:dyDescent="0.15">
      <c r="A4036" s="3">
        <v>4035</v>
      </c>
      <c r="B4036" s="1" t="s">
        <v>926</v>
      </c>
      <c r="C4036" s="1" t="s">
        <v>366</v>
      </c>
      <c r="D4036" s="1" t="s">
        <v>367</v>
      </c>
      <c r="E4036" s="1" t="s">
        <v>706</v>
      </c>
      <c r="F4036" s="1" t="s">
        <v>808</v>
      </c>
      <c r="G4036" s="3">
        <v>0</v>
      </c>
      <c r="J4036" s="20" t="s">
        <v>3178</v>
      </c>
      <c r="K4036" s="20" t="s">
        <v>10016</v>
      </c>
      <c r="L4036" s="3">
        <v>21</v>
      </c>
      <c r="M4036" s="3" t="s">
        <v>10395</v>
      </c>
      <c r="N4036" s="3" t="str">
        <f>HYPERLINK("http://ictvonline.org/taxonomyHistory.asp?taxnode_id=20164223","ICTVonline=20164223")</f>
        <v>ICTVonline=20164223</v>
      </c>
    </row>
    <row r="4037" spans="1:14" x14ac:dyDescent="0.15">
      <c r="A4037" s="3">
        <v>4036</v>
      </c>
      <c r="B4037" s="1" t="s">
        <v>926</v>
      </c>
      <c r="C4037" s="1" t="s">
        <v>366</v>
      </c>
      <c r="D4037" s="1" t="s">
        <v>367</v>
      </c>
      <c r="E4037" s="1" t="s">
        <v>809</v>
      </c>
      <c r="F4037" s="1" t="s">
        <v>1297</v>
      </c>
      <c r="G4037" s="3">
        <v>1</v>
      </c>
      <c r="J4037" s="20" t="s">
        <v>3178</v>
      </c>
      <c r="K4037" s="20" t="s">
        <v>10016</v>
      </c>
      <c r="L4037" s="3">
        <v>21</v>
      </c>
      <c r="M4037" s="3" t="s">
        <v>10395</v>
      </c>
      <c r="N4037" s="3" t="str">
        <f>HYPERLINK("http://ictvonline.org/taxonomyHistory.asp?taxnode_id=20164225","ICTVonline=20164225")</f>
        <v>ICTVonline=20164225</v>
      </c>
    </row>
    <row r="4038" spans="1:14" x14ac:dyDescent="0.15">
      <c r="A4038" s="3">
        <v>4037</v>
      </c>
      <c r="B4038" s="1" t="s">
        <v>926</v>
      </c>
      <c r="C4038" s="1" t="s">
        <v>366</v>
      </c>
      <c r="D4038" s="1" t="s">
        <v>367</v>
      </c>
      <c r="E4038" s="1" t="s">
        <v>809</v>
      </c>
      <c r="F4038" s="1" t="s">
        <v>1298</v>
      </c>
      <c r="G4038" s="3">
        <v>0</v>
      </c>
      <c r="J4038" s="20" t="s">
        <v>3178</v>
      </c>
      <c r="K4038" s="20" t="s">
        <v>10016</v>
      </c>
      <c r="L4038" s="3">
        <v>21</v>
      </c>
      <c r="M4038" s="3" t="s">
        <v>10395</v>
      </c>
      <c r="N4038" s="3" t="str">
        <f>HYPERLINK("http://ictvonline.org/taxonomyHistory.asp?taxnode_id=20164226","ICTVonline=20164226")</f>
        <v>ICTVonline=20164226</v>
      </c>
    </row>
    <row r="4039" spans="1:14" x14ac:dyDescent="0.15">
      <c r="A4039" s="3">
        <v>4038</v>
      </c>
      <c r="B4039" s="1" t="s">
        <v>926</v>
      </c>
      <c r="C4039" s="1" t="s">
        <v>366</v>
      </c>
      <c r="D4039" s="1" t="s">
        <v>367</v>
      </c>
      <c r="E4039" s="1" t="s">
        <v>809</v>
      </c>
      <c r="F4039" s="1" t="s">
        <v>1299</v>
      </c>
      <c r="G4039" s="3">
        <v>0</v>
      </c>
      <c r="J4039" s="20" t="s">
        <v>3178</v>
      </c>
      <c r="K4039" s="20" t="s">
        <v>10016</v>
      </c>
      <c r="L4039" s="3">
        <v>21</v>
      </c>
      <c r="M4039" s="3" t="s">
        <v>10395</v>
      </c>
      <c r="N4039" s="3" t="str">
        <f>HYPERLINK("http://ictvonline.org/taxonomyHistory.asp?taxnode_id=20164227","ICTVonline=20164227")</f>
        <v>ICTVonline=20164227</v>
      </c>
    </row>
    <row r="4040" spans="1:14" x14ac:dyDescent="0.15">
      <c r="A4040" s="3">
        <v>4039</v>
      </c>
      <c r="B4040" s="1" t="s">
        <v>926</v>
      </c>
      <c r="C4040" s="1" t="s">
        <v>366</v>
      </c>
      <c r="D4040" s="1" t="s">
        <v>367</v>
      </c>
      <c r="E4040" s="1" t="s">
        <v>809</v>
      </c>
      <c r="F4040" s="1" t="s">
        <v>813</v>
      </c>
      <c r="G4040" s="3">
        <v>0</v>
      </c>
      <c r="J4040" s="20" t="s">
        <v>3178</v>
      </c>
      <c r="K4040" s="20" t="s">
        <v>10016</v>
      </c>
      <c r="L4040" s="3">
        <v>21</v>
      </c>
      <c r="M4040" s="3" t="s">
        <v>10395</v>
      </c>
      <c r="N4040" s="3" t="str">
        <f>HYPERLINK("http://ictvonline.org/taxonomyHistory.asp?taxnode_id=20164228","ICTVonline=20164228")</f>
        <v>ICTVonline=20164228</v>
      </c>
    </row>
    <row r="4041" spans="1:14" x14ac:dyDescent="0.15">
      <c r="A4041" s="3">
        <v>4040</v>
      </c>
      <c r="B4041" s="1" t="s">
        <v>926</v>
      </c>
      <c r="C4041" s="1" t="s">
        <v>366</v>
      </c>
      <c r="D4041" s="1" t="s">
        <v>367</v>
      </c>
      <c r="E4041" s="1" t="s">
        <v>814</v>
      </c>
      <c r="F4041" s="1" t="s">
        <v>815</v>
      </c>
      <c r="G4041" s="3">
        <v>1</v>
      </c>
      <c r="J4041" s="20" t="s">
        <v>3178</v>
      </c>
      <c r="K4041" s="20" t="s">
        <v>10016</v>
      </c>
      <c r="L4041" s="3">
        <v>21</v>
      </c>
      <c r="M4041" s="3" t="s">
        <v>10395</v>
      </c>
      <c r="N4041" s="3" t="str">
        <f>HYPERLINK("http://ictvonline.org/taxonomyHistory.asp?taxnode_id=20164230","ICTVonline=20164230")</f>
        <v>ICTVonline=20164230</v>
      </c>
    </row>
    <row r="4042" spans="1:14" x14ac:dyDescent="0.15">
      <c r="A4042" s="3">
        <v>4041</v>
      </c>
      <c r="B4042" s="1" t="s">
        <v>926</v>
      </c>
      <c r="C4042" s="1" t="s">
        <v>366</v>
      </c>
      <c r="D4042" s="1" t="s">
        <v>367</v>
      </c>
      <c r="E4042" s="1" t="s">
        <v>814</v>
      </c>
      <c r="F4042" s="1" t="s">
        <v>816</v>
      </c>
      <c r="G4042" s="3">
        <v>0</v>
      </c>
      <c r="J4042" s="20" t="s">
        <v>3178</v>
      </c>
      <c r="K4042" s="20" t="s">
        <v>10016</v>
      </c>
      <c r="L4042" s="3">
        <v>21</v>
      </c>
      <c r="M4042" s="3" t="s">
        <v>10395</v>
      </c>
      <c r="N4042" s="3" t="str">
        <f>HYPERLINK("http://ictvonline.org/taxonomyHistory.asp?taxnode_id=20164231","ICTVonline=20164231")</f>
        <v>ICTVonline=20164231</v>
      </c>
    </row>
    <row r="4043" spans="1:14" x14ac:dyDescent="0.15">
      <c r="A4043" s="3">
        <v>4042</v>
      </c>
      <c r="B4043" s="1" t="s">
        <v>926</v>
      </c>
      <c r="C4043" s="1" t="s">
        <v>366</v>
      </c>
      <c r="D4043" s="1" t="s">
        <v>367</v>
      </c>
      <c r="E4043" s="1" t="s">
        <v>814</v>
      </c>
      <c r="F4043" s="1" t="s">
        <v>817</v>
      </c>
      <c r="G4043" s="3">
        <v>0</v>
      </c>
      <c r="J4043" s="20" t="s">
        <v>3178</v>
      </c>
      <c r="K4043" s="20" t="s">
        <v>10016</v>
      </c>
      <c r="L4043" s="3">
        <v>21</v>
      </c>
      <c r="M4043" s="3" t="s">
        <v>10395</v>
      </c>
      <c r="N4043" s="3" t="str">
        <f>HYPERLINK("http://ictvonline.org/taxonomyHistory.asp?taxnode_id=20164232","ICTVonline=20164232")</f>
        <v>ICTVonline=20164232</v>
      </c>
    </row>
    <row r="4044" spans="1:14" x14ac:dyDescent="0.15">
      <c r="A4044" s="3">
        <v>4043</v>
      </c>
      <c r="B4044" s="1" t="s">
        <v>926</v>
      </c>
      <c r="C4044" s="1" t="s">
        <v>366</v>
      </c>
      <c r="D4044" s="1" t="s">
        <v>367</v>
      </c>
      <c r="E4044" s="1" t="s">
        <v>818</v>
      </c>
      <c r="F4044" s="1" t="s">
        <v>819</v>
      </c>
      <c r="G4044" s="3">
        <v>0</v>
      </c>
      <c r="J4044" s="20" t="s">
        <v>3178</v>
      </c>
      <c r="K4044" s="20" t="s">
        <v>10016</v>
      </c>
      <c r="L4044" s="3">
        <v>21</v>
      </c>
      <c r="M4044" s="3" t="s">
        <v>10395</v>
      </c>
      <c r="N4044" s="3" t="str">
        <f>HYPERLINK("http://ictvonline.org/taxonomyHistory.asp?taxnode_id=20164234","ICTVonline=20164234")</f>
        <v>ICTVonline=20164234</v>
      </c>
    </row>
    <row r="4045" spans="1:14" x14ac:dyDescent="0.15">
      <c r="A4045" s="3">
        <v>4044</v>
      </c>
      <c r="B4045" s="1" t="s">
        <v>926</v>
      </c>
      <c r="C4045" s="1" t="s">
        <v>366</v>
      </c>
      <c r="D4045" s="1" t="s">
        <v>367</v>
      </c>
      <c r="E4045" s="1" t="s">
        <v>818</v>
      </c>
      <c r="F4045" s="1" t="s">
        <v>820</v>
      </c>
      <c r="G4045" s="3">
        <v>0</v>
      </c>
      <c r="J4045" s="20" t="s">
        <v>3178</v>
      </c>
      <c r="K4045" s="20" t="s">
        <v>10016</v>
      </c>
      <c r="L4045" s="3">
        <v>21</v>
      </c>
      <c r="M4045" s="3" t="s">
        <v>10395</v>
      </c>
      <c r="N4045" s="3" t="str">
        <f>HYPERLINK("http://ictvonline.org/taxonomyHistory.asp?taxnode_id=20164235","ICTVonline=20164235")</f>
        <v>ICTVonline=20164235</v>
      </c>
    </row>
    <row r="4046" spans="1:14" x14ac:dyDescent="0.15">
      <c r="A4046" s="3">
        <v>4045</v>
      </c>
      <c r="B4046" s="1" t="s">
        <v>926</v>
      </c>
      <c r="C4046" s="1" t="s">
        <v>366</v>
      </c>
      <c r="D4046" s="1" t="s">
        <v>367</v>
      </c>
      <c r="E4046" s="1" t="s">
        <v>818</v>
      </c>
      <c r="F4046" s="1" t="s">
        <v>821</v>
      </c>
      <c r="G4046" s="3">
        <v>0</v>
      </c>
      <c r="J4046" s="20" t="s">
        <v>3178</v>
      </c>
      <c r="K4046" s="20" t="s">
        <v>10016</v>
      </c>
      <c r="L4046" s="3">
        <v>21</v>
      </c>
      <c r="M4046" s="3" t="s">
        <v>10395</v>
      </c>
      <c r="N4046" s="3" t="str">
        <f>HYPERLINK("http://ictvonline.org/taxonomyHistory.asp?taxnode_id=20164236","ICTVonline=20164236")</f>
        <v>ICTVonline=20164236</v>
      </c>
    </row>
    <row r="4047" spans="1:14" x14ac:dyDescent="0.15">
      <c r="A4047" s="3">
        <v>4046</v>
      </c>
      <c r="B4047" s="1" t="s">
        <v>926</v>
      </c>
      <c r="C4047" s="1" t="s">
        <v>366</v>
      </c>
      <c r="D4047" s="1" t="s">
        <v>367</v>
      </c>
      <c r="E4047" s="1" t="s">
        <v>818</v>
      </c>
      <c r="F4047" s="1" t="s">
        <v>1311</v>
      </c>
      <c r="G4047" s="3">
        <v>0</v>
      </c>
      <c r="J4047" s="20" t="s">
        <v>3178</v>
      </c>
      <c r="K4047" s="20" t="s">
        <v>10016</v>
      </c>
      <c r="L4047" s="3">
        <v>21</v>
      </c>
      <c r="M4047" s="3" t="s">
        <v>10395</v>
      </c>
      <c r="N4047" s="3" t="str">
        <f>HYPERLINK("http://ictvonline.org/taxonomyHistory.asp?taxnode_id=20164237","ICTVonline=20164237")</f>
        <v>ICTVonline=20164237</v>
      </c>
    </row>
    <row r="4048" spans="1:14" x14ac:dyDescent="0.15">
      <c r="A4048" s="3">
        <v>4047</v>
      </c>
      <c r="B4048" s="1" t="s">
        <v>926</v>
      </c>
      <c r="C4048" s="1" t="s">
        <v>366</v>
      </c>
      <c r="D4048" s="1" t="s">
        <v>367</v>
      </c>
      <c r="E4048" s="1" t="s">
        <v>818</v>
      </c>
      <c r="F4048" s="1" t="s">
        <v>1312</v>
      </c>
      <c r="G4048" s="3">
        <v>0</v>
      </c>
      <c r="J4048" s="20" t="s">
        <v>3178</v>
      </c>
      <c r="K4048" s="20" t="s">
        <v>10016</v>
      </c>
      <c r="L4048" s="3">
        <v>21</v>
      </c>
      <c r="M4048" s="3" t="s">
        <v>10395</v>
      </c>
      <c r="N4048" s="3" t="str">
        <f>HYPERLINK("http://ictvonline.org/taxonomyHistory.asp?taxnode_id=20164238","ICTVonline=20164238")</f>
        <v>ICTVonline=20164238</v>
      </c>
    </row>
    <row r="4049" spans="1:14" x14ac:dyDescent="0.15">
      <c r="A4049" s="3">
        <v>4048</v>
      </c>
      <c r="B4049" s="1" t="s">
        <v>926</v>
      </c>
      <c r="C4049" s="1" t="s">
        <v>366</v>
      </c>
      <c r="D4049" s="1" t="s">
        <v>367</v>
      </c>
      <c r="E4049" s="1" t="s">
        <v>818</v>
      </c>
      <c r="F4049" s="1" t="s">
        <v>1313</v>
      </c>
      <c r="G4049" s="3">
        <v>0</v>
      </c>
      <c r="J4049" s="20" t="s">
        <v>3178</v>
      </c>
      <c r="K4049" s="20" t="s">
        <v>10021</v>
      </c>
      <c r="L4049" s="3">
        <v>23</v>
      </c>
      <c r="M4049" s="3" t="s">
        <v>10229</v>
      </c>
      <c r="N4049" s="3" t="str">
        <f>HYPERLINK("http://ictvonline.org/taxonomyHistory.asp?taxnode_id=20164239","ICTVonline=20164239")</f>
        <v>ICTVonline=20164239</v>
      </c>
    </row>
    <row r="4050" spans="1:14" x14ac:dyDescent="0.15">
      <c r="A4050" s="3">
        <v>4049</v>
      </c>
      <c r="B4050" s="1" t="s">
        <v>926</v>
      </c>
      <c r="C4050" s="1" t="s">
        <v>366</v>
      </c>
      <c r="D4050" s="1" t="s">
        <v>367</v>
      </c>
      <c r="E4050" s="1" t="s">
        <v>818</v>
      </c>
      <c r="F4050" s="1" t="s">
        <v>1314</v>
      </c>
      <c r="G4050" s="3">
        <v>0</v>
      </c>
      <c r="J4050" s="20" t="s">
        <v>3178</v>
      </c>
      <c r="K4050" s="20" t="s">
        <v>10016</v>
      </c>
      <c r="L4050" s="3">
        <v>21</v>
      </c>
      <c r="M4050" s="3" t="s">
        <v>10395</v>
      </c>
      <c r="N4050" s="3" t="str">
        <f>HYPERLINK("http://ictvonline.org/taxonomyHistory.asp?taxnode_id=20164240","ICTVonline=20164240")</f>
        <v>ICTVonline=20164240</v>
      </c>
    </row>
    <row r="4051" spans="1:14" x14ac:dyDescent="0.15">
      <c r="A4051" s="3">
        <v>4050</v>
      </c>
      <c r="B4051" s="1" t="s">
        <v>926</v>
      </c>
      <c r="C4051" s="1" t="s">
        <v>366</v>
      </c>
      <c r="D4051" s="1" t="s">
        <v>367</v>
      </c>
      <c r="E4051" s="1" t="s">
        <v>818</v>
      </c>
      <c r="F4051" s="1" t="s">
        <v>1315</v>
      </c>
      <c r="G4051" s="3">
        <v>0</v>
      </c>
      <c r="J4051" s="20" t="s">
        <v>3178</v>
      </c>
      <c r="K4051" s="20" t="s">
        <v>10016</v>
      </c>
      <c r="L4051" s="3">
        <v>21</v>
      </c>
      <c r="M4051" s="3" t="s">
        <v>10395</v>
      </c>
      <c r="N4051" s="3" t="str">
        <f>HYPERLINK("http://ictvonline.org/taxonomyHistory.asp?taxnode_id=20164241","ICTVonline=20164241")</f>
        <v>ICTVonline=20164241</v>
      </c>
    </row>
    <row r="4052" spans="1:14" x14ac:dyDescent="0.15">
      <c r="A4052" s="3">
        <v>4051</v>
      </c>
      <c r="B4052" s="1" t="s">
        <v>926</v>
      </c>
      <c r="C4052" s="1" t="s">
        <v>366</v>
      </c>
      <c r="D4052" s="1" t="s">
        <v>367</v>
      </c>
      <c r="E4052" s="1" t="s">
        <v>818</v>
      </c>
      <c r="F4052" s="1" t="s">
        <v>751</v>
      </c>
      <c r="G4052" s="3">
        <v>0</v>
      </c>
      <c r="J4052" s="20" t="s">
        <v>3178</v>
      </c>
      <c r="K4052" s="20" t="s">
        <v>10016</v>
      </c>
      <c r="L4052" s="3">
        <v>21</v>
      </c>
      <c r="M4052" s="3" t="s">
        <v>10395</v>
      </c>
      <c r="N4052" s="3" t="str">
        <f>HYPERLINK("http://ictvonline.org/taxonomyHistory.asp?taxnode_id=20164242","ICTVonline=20164242")</f>
        <v>ICTVonline=20164242</v>
      </c>
    </row>
    <row r="4053" spans="1:14" x14ac:dyDescent="0.15">
      <c r="A4053" s="3">
        <v>4052</v>
      </c>
      <c r="B4053" s="1" t="s">
        <v>926</v>
      </c>
      <c r="C4053" s="1" t="s">
        <v>366</v>
      </c>
      <c r="D4053" s="1" t="s">
        <v>367</v>
      </c>
      <c r="E4053" s="1" t="s">
        <v>818</v>
      </c>
      <c r="F4053" s="1" t="s">
        <v>9734</v>
      </c>
      <c r="G4053" s="3">
        <v>0</v>
      </c>
      <c r="H4053" s="20" t="s">
        <v>9735</v>
      </c>
      <c r="I4053" s="20" t="s">
        <v>9736</v>
      </c>
      <c r="J4053" s="20" t="s">
        <v>3178</v>
      </c>
      <c r="K4053" s="20" t="s">
        <v>10013</v>
      </c>
      <c r="L4053" s="3">
        <v>31</v>
      </c>
      <c r="M4053" s="3" t="s">
        <v>9737</v>
      </c>
      <c r="N4053" s="3" t="str">
        <f>HYPERLINK("http://ictvonline.org/taxonomyHistory.asp?taxnode_id=20165425","ICTVonline=20165425")</f>
        <v>ICTVonline=20165425</v>
      </c>
    </row>
    <row r="4054" spans="1:14" x14ac:dyDescent="0.15">
      <c r="A4054" s="3">
        <v>4053</v>
      </c>
      <c r="B4054" s="1" t="s">
        <v>926</v>
      </c>
      <c r="C4054" s="1" t="s">
        <v>366</v>
      </c>
      <c r="D4054" s="1" t="s">
        <v>367</v>
      </c>
      <c r="E4054" s="1" t="s">
        <v>818</v>
      </c>
      <c r="F4054" s="1" t="s">
        <v>1226</v>
      </c>
      <c r="G4054" s="3">
        <v>0</v>
      </c>
      <c r="J4054" s="20" t="s">
        <v>3178</v>
      </c>
      <c r="K4054" s="20" t="s">
        <v>10016</v>
      </c>
      <c r="L4054" s="3">
        <v>21</v>
      </c>
      <c r="M4054" s="3" t="s">
        <v>10395</v>
      </c>
      <c r="N4054" s="3" t="str">
        <f>HYPERLINK("http://ictvonline.org/taxonomyHistory.asp?taxnode_id=20164243","ICTVonline=20164243")</f>
        <v>ICTVonline=20164243</v>
      </c>
    </row>
    <row r="4055" spans="1:14" x14ac:dyDescent="0.15">
      <c r="A4055" s="3">
        <v>4054</v>
      </c>
      <c r="B4055" s="1" t="s">
        <v>926</v>
      </c>
      <c r="C4055" s="1" t="s">
        <v>366</v>
      </c>
      <c r="D4055" s="1" t="s">
        <v>367</v>
      </c>
      <c r="E4055" s="1" t="s">
        <v>818</v>
      </c>
      <c r="F4055" s="1" t="s">
        <v>1227</v>
      </c>
      <c r="G4055" s="3">
        <v>1</v>
      </c>
      <c r="J4055" s="20" t="s">
        <v>3178</v>
      </c>
      <c r="K4055" s="20" t="s">
        <v>10016</v>
      </c>
      <c r="L4055" s="3">
        <v>21</v>
      </c>
      <c r="M4055" s="3" t="s">
        <v>10395</v>
      </c>
      <c r="N4055" s="3" t="str">
        <f>HYPERLINK("http://ictvonline.org/taxonomyHistory.asp?taxnode_id=20164244","ICTVonline=20164244")</f>
        <v>ICTVonline=20164244</v>
      </c>
    </row>
    <row r="4056" spans="1:14" x14ac:dyDescent="0.15">
      <c r="A4056" s="3">
        <v>4055</v>
      </c>
      <c r="B4056" s="1" t="s">
        <v>926</v>
      </c>
      <c r="C4056" s="1" t="s">
        <v>366</v>
      </c>
      <c r="D4056" s="1" t="s">
        <v>367</v>
      </c>
      <c r="E4056" s="1" t="s">
        <v>818</v>
      </c>
      <c r="F4056" s="1" t="s">
        <v>1228</v>
      </c>
      <c r="G4056" s="3">
        <v>0</v>
      </c>
      <c r="J4056" s="20" t="s">
        <v>3178</v>
      </c>
      <c r="K4056" s="20" t="s">
        <v>10021</v>
      </c>
      <c r="L4056" s="3">
        <v>23</v>
      </c>
      <c r="M4056" s="3" t="s">
        <v>10229</v>
      </c>
      <c r="N4056" s="3" t="str">
        <f>HYPERLINK("http://ictvonline.org/taxonomyHistory.asp?taxnode_id=20164245","ICTVonline=20164245")</f>
        <v>ICTVonline=20164245</v>
      </c>
    </row>
    <row r="4057" spans="1:14" x14ac:dyDescent="0.15">
      <c r="A4057" s="3">
        <v>4056</v>
      </c>
      <c r="B4057" s="1" t="s">
        <v>926</v>
      </c>
      <c r="C4057" s="1" t="s">
        <v>366</v>
      </c>
      <c r="D4057" s="1" t="s">
        <v>367</v>
      </c>
      <c r="E4057" s="1" t="s">
        <v>818</v>
      </c>
      <c r="F4057" s="1" t="s">
        <v>1229</v>
      </c>
      <c r="G4057" s="3">
        <v>0</v>
      </c>
      <c r="J4057" s="20" t="s">
        <v>3178</v>
      </c>
      <c r="K4057" s="20" t="s">
        <v>10016</v>
      </c>
      <c r="L4057" s="3">
        <v>21</v>
      </c>
      <c r="M4057" s="3" t="s">
        <v>10395</v>
      </c>
      <c r="N4057" s="3" t="str">
        <f>HYPERLINK("http://ictvonline.org/taxonomyHistory.asp?taxnode_id=20164246","ICTVonline=20164246")</f>
        <v>ICTVonline=20164246</v>
      </c>
    </row>
    <row r="4058" spans="1:14" x14ac:dyDescent="0.15">
      <c r="A4058" s="3">
        <v>4057</v>
      </c>
      <c r="B4058" s="1" t="s">
        <v>926</v>
      </c>
      <c r="C4058" s="1" t="s">
        <v>366</v>
      </c>
      <c r="D4058" s="1" t="s">
        <v>367</v>
      </c>
      <c r="E4058" s="1" t="s">
        <v>818</v>
      </c>
      <c r="F4058" s="1" t="s">
        <v>1468</v>
      </c>
      <c r="G4058" s="3">
        <v>0</v>
      </c>
      <c r="J4058" s="20" t="s">
        <v>3178</v>
      </c>
      <c r="K4058" s="20" t="s">
        <v>10016</v>
      </c>
      <c r="L4058" s="3">
        <v>21</v>
      </c>
      <c r="M4058" s="3" t="s">
        <v>10395</v>
      </c>
      <c r="N4058" s="3" t="str">
        <f>HYPERLINK("http://ictvonline.org/taxonomyHistory.asp?taxnode_id=20164247","ICTVonline=20164247")</f>
        <v>ICTVonline=20164247</v>
      </c>
    </row>
    <row r="4059" spans="1:14" x14ac:dyDescent="0.15">
      <c r="A4059" s="3">
        <v>4058</v>
      </c>
      <c r="B4059" s="1" t="s">
        <v>926</v>
      </c>
      <c r="C4059" s="1" t="s">
        <v>366</v>
      </c>
      <c r="D4059" s="1" t="s">
        <v>367</v>
      </c>
      <c r="E4059" s="1" t="s">
        <v>818</v>
      </c>
      <c r="F4059" s="1" t="s">
        <v>1469</v>
      </c>
      <c r="G4059" s="3">
        <v>0</v>
      </c>
      <c r="J4059" s="20" t="s">
        <v>3178</v>
      </c>
      <c r="K4059" s="20" t="s">
        <v>10016</v>
      </c>
      <c r="L4059" s="3">
        <v>21</v>
      </c>
      <c r="M4059" s="3" t="s">
        <v>10395</v>
      </c>
      <c r="N4059" s="3" t="str">
        <f>HYPERLINK("http://ictvonline.org/taxonomyHistory.asp?taxnode_id=20164248","ICTVonline=20164248")</f>
        <v>ICTVonline=20164248</v>
      </c>
    </row>
    <row r="4060" spans="1:14" x14ac:dyDescent="0.15">
      <c r="A4060" s="3">
        <v>4059</v>
      </c>
      <c r="B4060" s="1" t="s">
        <v>926</v>
      </c>
      <c r="C4060" s="1" t="s">
        <v>366</v>
      </c>
      <c r="D4060" s="1" t="s">
        <v>367</v>
      </c>
      <c r="E4060" s="1" t="s">
        <v>818</v>
      </c>
      <c r="F4060" s="1" t="s">
        <v>1470</v>
      </c>
      <c r="G4060" s="3">
        <v>0</v>
      </c>
      <c r="J4060" s="20" t="s">
        <v>3178</v>
      </c>
      <c r="K4060" s="20" t="s">
        <v>10016</v>
      </c>
      <c r="L4060" s="3">
        <v>21</v>
      </c>
      <c r="M4060" s="3" t="s">
        <v>10395</v>
      </c>
      <c r="N4060" s="3" t="str">
        <f>HYPERLINK("http://ictvonline.org/taxonomyHistory.asp?taxnode_id=20164249","ICTVonline=20164249")</f>
        <v>ICTVonline=20164249</v>
      </c>
    </row>
    <row r="4061" spans="1:14" x14ac:dyDescent="0.15">
      <c r="A4061" s="3">
        <v>4060</v>
      </c>
      <c r="B4061" s="1" t="s">
        <v>926</v>
      </c>
      <c r="C4061" s="1" t="s">
        <v>366</v>
      </c>
      <c r="D4061" s="1" t="s">
        <v>367</v>
      </c>
      <c r="E4061" s="1" t="s">
        <v>818</v>
      </c>
      <c r="F4061" s="1" t="s">
        <v>1471</v>
      </c>
      <c r="G4061" s="3">
        <v>0</v>
      </c>
      <c r="J4061" s="20" t="s">
        <v>3178</v>
      </c>
      <c r="K4061" s="20" t="s">
        <v>10016</v>
      </c>
      <c r="L4061" s="3">
        <v>21</v>
      </c>
      <c r="M4061" s="3" t="s">
        <v>10395</v>
      </c>
      <c r="N4061" s="3" t="str">
        <f>HYPERLINK("http://ictvonline.org/taxonomyHistory.asp?taxnode_id=20164250","ICTVonline=20164250")</f>
        <v>ICTVonline=20164250</v>
      </c>
    </row>
    <row r="4062" spans="1:14" x14ac:dyDescent="0.15">
      <c r="A4062" s="3">
        <v>4061</v>
      </c>
      <c r="B4062" s="1" t="s">
        <v>926</v>
      </c>
      <c r="C4062" s="1" t="s">
        <v>366</v>
      </c>
      <c r="D4062" s="1" t="s">
        <v>367</v>
      </c>
      <c r="E4062" s="1" t="s">
        <v>1472</v>
      </c>
      <c r="F4062" s="1" t="s">
        <v>1406</v>
      </c>
      <c r="G4062" s="3">
        <v>0</v>
      </c>
      <c r="J4062" s="20" t="s">
        <v>3178</v>
      </c>
      <c r="K4062" s="20" t="s">
        <v>10016</v>
      </c>
      <c r="L4062" s="3">
        <v>21</v>
      </c>
      <c r="M4062" s="3" t="s">
        <v>10395</v>
      </c>
      <c r="N4062" s="3" t="str">
        <f>HYPERLINK("http://ictvonline.org/taxonomyHistory.asp?taxnode_id=20164252","ICTVonline=20164252")</f>
        <v>ICTVonline=20164252</v>
      </c>
    </row>
    <row r="4063" spans="1:14" x14ac:dyDescent="0.15">
      <c r="A4063" s="3">
        <v>4062</v>
      </c>
      <c r="B4063" s="1" t="s">
        <v>926</v>
      </c>
      <c r="C4063" s="1" t="s">
        <v>366</v>
      </c>
      <c r="D4063" s="1" t="s">
        <v>367</v>
      </c>
      <c r="E4063" s="1" t="s">
        <v>1472</v>
      </c>
      <c r="F4063" s="1" t="s">
        <v>1236</v>
      </c>
      <c r="G4063" s="3">
        <v>0</v>
      </c>
      <c r="J4063" s="20" t="s">
        <v>3178</v>
      </c>
      <c r="K4063" s="20" t="s">
        <v>10016</v>
      </c>
      <c r="L4063" s="3">
        <v>21</v>
      </c>
      <c r="M4063" s="3" t="s">
        <v>10395</v>
      </c>
      <c r="N4063" s="3" t="str">
        <f>HYPERLINK("http://ictvonline.org/taxonomyHistory.asp?taxnode_id=20164253","ICTVonline=20164253")</f>
        <v>ICTVonline=20164253</v>
      </c>
    </row>
    <row r="4064" spans="1:14" x14ac:dyDescent="0.15">
      <c r="A4064" s="3">
        <v>4063</v>
      </c>
      <c r="B4064" s="1" t="s">
        <v>926</v>
      </c>
      <c r="C4064" s="1" t="s">
        <v>366</v>
      </c>
      <c r="D4064" s="1" t="s">
        <v>367</v>
      </c>
      <c r="E4064" s="1" t="s">
        <v>1472</v>
      </c>
      <c r="F4064" s="1" t="s">
        <v>1237</v>
      </c>
      <c r="G4064" s="3">
        <v>0</v>
      </c>
      <c r="J4064" s="20" t="s">
        <v>3178</v>
      </c>
      <c r="K4064" s="20" t="s">
        <v>10016</v>
      </c>
      <c r="L4064" s="3">
        <v>21</v>
      </c>
      <c r="M4064" s="3" t="s">
        <v>10395</v>
      </c>
      <c r="N4064" s="3" t="str">
        <f>HYPERLINK("http://ictvonline.org/taxonomyHistory.asp?taxnode_id=20164254","ICTVonline=20164254")</f>
        <v>ICTVonline=20164254</v>
      </c>
    </row>
    <row r="4065" spans="1:14" x14ac:dyDescent="0.15">
      <c r="A4065" s="3">
        <v>4064</v>
      </c>
      <c r="B4065" s="1" t="s">
        <v>926</v>
      </c>
      <c r="C4065" s="1" t="s">
        <v>366</v>
      </c>
      <c r="D4065" s="1" t="s">
        <v>367</v>
      </c>
      <c r="E4065" s="1" t="s">
        <v>1472</v>
      </c>
      <c r="F4065" s="1" t="s">
        <v>1238</v>
      </c>
      <c r="G4065" s="3">
        <v>0</v>
      </c>
      <c r="J4065" s="20" t="s">
        <v>3178</v>
      </c>
      <c r="K4065" s="20" t="s">
        <v>10216</v>
      </c>
      <c r="L4065" s="3">
        <v>23</v>
      </c>
      <c r="M4065" s="3" t="s">
        <v>10229</v>
      </c>
      <c r="N4065" s="3" t="str">
        <f>HYPERLINK("http://ictvonline.org/taxonomyHistory.asp?taxnode_id=20164255","ICTVonline=20164255")</f>
        <v>ICTVonline=20164255</v>
      </c>
    </row>
    <row r="4066" spans="1:14" x14ac:dyDescent="0.15">
      <c r="A4066" s="3">
        <v>4065</v>
      </c>
      <c r="B4066" s="1" t="s">
        <v>926</v>
      </c>
      <c r="C4066" s="1" t="s">
        <v>366</v>
      </c>
      <c r="D4066" s="1" t="s">
        <v>367</v>
      </c>
      <c r="E4066" s="1" t="s">
        <v>1472</v>
      </c>
      <c r="F4066" s="1" t="s">
        <v>1239</v>
      </c>
      <c r="G4066" s="3">
        <v>1</v>
      </c>
      <c r="J4066" s="20" t="s">
        <v>3178</v>
      </c>
      <c r="K4066" s="20" t="s">
        <v>10016</v>
      </c>
      <c r="L4066" s="3">
        <v>21</v>
      </c>
      <c r="M4066" s="3" t="s">
        <v>10395</v>
      </c>
      <c r="N4066" s="3" t="str">
        <f>HYPERLINK("http://ictvonline.org/taxonomyHistory.asp?taxnode_id=20164256","ICTVonline=20164256")</f>
        <v>ICTVonline=20164256</v>
      </c>
    </row>
    <row r="4067" spans="1:14" x14ac:dyDescent="0.15">
      <c r="A4067" s="3">
        <v>4066</v>
      </c>
      <c r="B4067" s="1" t="s">
        <v>926</v>
      </c>
      <c r="C4067" s="1" t="s">
        <v>366</v>
      </c>
      <c r="D4067" s="1" t="s">
        <v>367</v>
      </c>
      <c r="E4067" s="1" t="s">
        <v>1472</v>
      </c>
      <c r="F4067" s="1" t="s">
        <v>1240</v>
      </c>
      <c r="G4067" s="3">
        <v>0</v>
      </c>
      <c r="J4067" s="20" t="s">
        <v>3178</v>
      </c>
      <c r="K4067" s="20" t="s">
        <v>10016</v>
      </c>
      <c r="L4067" s="3">
        <v>21</v>
      </c>
      <c r="M4067" s="3" t="s">
        <v>10395</v>
      </c>
      <c r="N4067" s="3" t="str">
        <f>HYPERLINK("http://ictvonline.org/taxonomyHistory.asp?taxnode_id=20164257","ICTVonline=20164257")</f>
        <v>ICTVonline=20164257</v>
      </c>
    </row>
    <row r="4068" spans="1:14" x14ac:dyDescent="0.15">
      <c r="A4068" s="3">
        <v>4067</v>
      </c>
      <c r="B4068" s="1" t="s">
        <v>926</v>
      </c>
      <c r="C4068" s="1" t="s">
        <v>366</v>
      </c>
      <c r="D4068" s="1" t="s">
        <v>367</v>
      </c>
      <c r="E4068" s="1" t="s">
        <v>1472</v>
      </c>
      <c r="F4068" s="1" t="s">
        <v>9738</v>
      </c>
      <c r="G4068" s="3">
        <v>0</v>
      </c>
      <c r="H4068" s="20" t="s">
        <v>9739</v>
      </c>
      <c r="I4068" s="20" t="s">
        <v>9740</v>
      </c>
      <c r="J4068" s="20" t="s">
        <v>3178</v>
      </c>
      <c r="K4068" s="20" t="s">
        <v>10013</v>
      </c>
      <c r="L4068" s="3">
        <v>31</v>
      </c>
      <c r="M4068" s="3" t="s">
        <v>9741</v>
      </c>
      <c r="N4068" s="3" t="str">
        <f>HYPERLINK("http://ictvonline.org/taxonomyHistory.asp?taxnode_id=20165426","ICTVonline=20165426")</f>
        <v>ICTVonline=20165426</v>
      </c>
    </row>
    <row r="4069" spans="1:14" x14ac:dyDescent="0.15">
      <c r="A4069" s="3">
        <v>4068</v>
      </c>
      <c r="B4069" s="1" t="s">
        <v>926</v>
      </c>
      <c r="C4069" s="1" t="s">
        <v>366</v>
      </c>
      <c r="D4069" s="1" t="s">
        <v>367</v>
      </c>
      <c r="E4069" s="1" t="s">
        <v>1472</v>
      </c>
      <c r="F4069" s="1" t="s">
        <v>1241</v>
      </c>
      <c r="G4069" s="3">
        <v>0</v>
      </c>
      <c r="J4069" s="20" t="s">
        <v>3178</v>
      </c>
      <c r="K4069" s="20" t="s">
        <v>10016</v>
      </c>
      <c r="L4069" s="3">
        <v>21</v>
      </c>
      <c r="M4069" s="3" t="s">
        <v>10395</v>
      </c>
      <c r="N4069" s="3" t="str">
        <f>HYPERLINK("http://ictvonline.org/taxonomyHistory.asp?taxnode_id=20164258","ICTVonline=20164258")</f>
        <v>ICTVonline=20164258</v>
      </c>
    </row>
    <row r="4070" spans="1:14" x14ac:dyDescent="0.15">
      <c r="A4070" s="3">
        <v>4069</v>
      </c>
      <c r="B4070" s="1" t="s">
        <v>926</v>
      </c>
      <c r="C4070" s="1" t="s">
        <v>366</v>
      </c>
      <c r="D4070" s="1" t="s">
        <v>367</v>
      </c>
      <c r="E4070" s="1" t="s">
        <v>1472</v>
      </c>
      <c r="F4070" s="1" t="s">
        <v>1242</v>
      </c>
      <c r="G4070" s="3">
        <v>0</v>
      </c>
      <c r="J4070" s="20" t="s">
        <v>3178</v>
      </c>
      <c r="K4070" s="20" t="s">
        <v>10016</v>
      </c>
      <c r="L4070" s="3">
        <v>21</v>
      </c>
      <c r="M4070" s="3" t="s">
        <v>10395</v>
      </c>
      <c r="N4070" s="3" t="str">
        <f>HYPERLINK("http://ictvonline.org/taxonomyHistory.asp?taxnode_id=20164259","ICTVonline=20164259")</f>
        <v>ICTVonline=20164259</v>
      </c>
    </row>
    <row r="4071" spans="1:14" x14ac:dyDescent="0.15">
      <c r="A4071" s="3">
        <v>4070</v>
      </c>
      <c r="B4071" s="1" t="s">
        <v>926</v>
      </c>
      <c r="C4071" s="1" t="s">
        <v>366</v>
      </c>
      <c r="D4071" s="1" t="s">
        <v>367</v>
      </c>
      <c r="E4071" s="1" t="s">
        <v>1472</v>
      </c>
      <c r="F4071" s="1" t="s">
        <v>1243</v>
      </c>
      <c r="G4071" s="3">
        <v>0</v>
      </c>
      <c r="J4071" s="20" t="s">
        <v>3178</v>
      </c>
      <c r="K4071" s="20" t="s">
        <v>10016</v>
      </c>
      <c r="L4071" s="3">
        <v>21</v>
      </c>
      <c r="M4071" s="3" t="s">
        <v>10395</v>
      </c>
      <c r="N4071" s="3" t="str">
        <f>HYPERLINK("http://ictvonline.org/taxonomyHistory.asp?taxnode_id=20164260","ICTVonline=20164260")</f>
        <v>ICTVonline=20164260</v>
      </c>
    </row>
    <row r="4072" spans="1:14" x14ac:dyDescent="0.15">
      <c r="A4072" s="3">
        <v>4071</v>
      </c>
      <c r="B4072" s="1" t="s">
        <v>926</v>
      </c>
      <c r="C4072" s="1" t="s">
        <v>366</v>
      </c>
      <c r="D4072" s="1" t="s">
        <v>1244</v>
      </c>
      <c r="E4072" s="1" t="s">
        <v>1245</v>
      </c>
      <c r="F4072" s="1" t="s">
        <v>1407</v>
      </c>
      <c r="G4072" s="3">
        <v>0</v>
      </c>
      <c r="J4072" s="20" t="s">
        <v>3178</v>
      </c>
      <c r="K4072" s="20" t="s">
        <v>10013</v>
      </c>
      <c r="L4072" s="3">
        <v>23</v>
      </c>
      <c r="M4072" s="3" t="s">
        <v>10229</v>
      </c>
      <c r="N4072" s="3" t="str">
        <f>HYPERLINK("http://ictvonline.org/taxonomyHistory.asp?taxnode_id=20164263","ICTVonline=20164263")</f>
        <v>ICTVonline=20164263</v>
      </c>
    </row>
    <row r="4073" spans="1:14" x14ac:dyDescent="0.15">
      <c r="A4073" s="3">
        <v>4072</v>
      </c>
      <c r="B4073" s="1" t="s">
        <v>926</v>
      </c>
      <c r="C4073" s="1" t="s">
        <v>366</v>
      </c>
      <c r="D4073" s="1" t="s">
        <v>1244</v>
      </c>
      <c r="E4073" s="1" t="s">
        <v>1245</v>
      </c>
      <c r="F4073" s="1" t="s">
        <v>1408</v>
      </c>
      <c r="G4073" s="3">
        <v>0</v>
      </c>
      <c r="J4073" s="20" t="s">
        <v>3178</v>
      </c>
      <c r="K4073" s="20" t="s">
        <v>10016</v>
      </c>
      <c r="L4073" s="3">
        <v>21</v>
      </c>
      <c r="M4073" s="3" t="s">
        <v>10395</v>
      </c>
      <c r="N4073" s="3" t="str">
        <f>HYPERLINK("http://ictvonline.org/taxonomyHistory.asp?taxnode_id=20164264","ICTVonline=20164264")</f>
        <v>ICTVonline=20164264</v>
      </c>
    </row>
    <row r="4074" spans="1:14" x14ac:dyDescent="0.15">
      <c r="A4074" s="3">
        <v>4073</v>
      </c>
      <c r="B4074" s="1" t="s">
        <v>926</v>
      </c>
      <c r="C4074" s="1" t="s">
        <v>366</v>
      </c>
      <c r="D4074" s="1" t="s">
        <v>1244</v>
      </c>
      <c r="E4074" s="1" t="s">
        <v>1245</v>
      </c>
      <c r="F4074" s="1" t="s">
        <v>1409</v>
      </c>
      <c r="G4074" s="3">
        <v>0</v>
      </c>
      <c r="J4074" s="20" t="s">
        <v>3178</v>
      </c>
      <c r="K4074" s="20" t="s">
        <v>10013</v>
      </c>
      <c r="L4074" s="3">
        <v>23</v>
      </c>
      <c r="M4074" s="3" t="s">
        <v>10229</v>
      </c>
      <c r="N4074" s="3" t="str">
        <f>HYPERLINK("http://ictvonline.org/taxonomyHistory.asp?taxnode_id=20164265","ICTVonline=20164265")</f>
        <v>ICTVonline=20164265</v>
      </c>
    </row>
    <row r="4075" spans="1:14" x14ac:dyDescent="0.15">
      <c r="A4075" s="3">
        <v>4074</v>
      </c>
      <c r="B4075" s="1" t="s">
        <v>926</v>
      </c>
      <c r="C4075" s="1" t="s">
        <v>366</v>
      </c>
      <c r="D4075" s="1" t="s">
        <v>1244</v>
      </c>
      <c r="E4075" s="1" t="s">
        <v>1245</v>
      </c>
      <c r="F4075" s="1" t="s">
        <v>1410</v>
      </c>
      <c r="G4075" s="3">
        <v>0</v>
      </c>
      <c r="J4075" s="20" t="s">
        <v>3178</v>
      </c>
      <c r="K4075" s="20" t="s">
        <v>10016</v>
      </c>
      <c r="L4075" s="3">
        <v>21</v>
      </c>
      <c r="M4075" s="3" t="s">
        <v>10395</v>
      </c>
      <c r="N4075" s="3" t="str">
        <f>HYPERLINK("http://ictvonline.org/taxonomyHistory.asp?taxnode_id=20164266","ICTVonline=20164266")</f>
        <v>ICTVonline=20164266</v>
      </c>
    </row>
    <row r="4076" spans="1:14" x14ac:dyDescent="0.15">
      <c r="A4076" s="3">
        <v>4075</v>
      </c>
      <c r="B4076" s="1" t="s">
        <v>926</v>
      </c>
      <c r="C4076" s="1" t="s">
        <v>366</v>
      </c>
      <c r="D4076" s="1" t="s">
        <v>1244</v>
      </c>
      <c r="E4076" s="1" t="s">
        <v>1245</v>
      </c>
      <c r="F4076" s="1" t="s">
        <v>1328</v>
      </c>
      <c r="G4076" s="3">
        <v>0</v>
      </c>
      <c r="J4076" s="20" t="s">
        <v>3178</v>
      </c>
      <c r="K4076" s="20" t="s">
        <v>10013</v>
      </c>
      <c r="L4076" s="3">
        <v>23</v>
      </c>
      <c r="M4076" s="3" t="s">
        <v>10229</v>
      </c>
      <c r="N4076" s="3" t="str">
        <f>HYPERLINK("http://ictvonline.org/taxonomyHistory.asp?taxnode_id=20164267","ICTVonline=20164267")</f>
        <v>ICTVonline=20164267</v>
      </c>
    </row>
    <row r="4077" spans="1:14" x14ac:dyDescent="0.15">
      <c r="A4077" s="3">
        <v>4076</v>
      </c>
      <c r="B4077" s="1" t="s">
        <v>926</v>
      </c>
      <c r="C4077" s="1" t="s">
        <v>366</v>
      </c>
      <c r="D4077" s="1" t="s">
        <v>1244</v>
      </c>
      <c r="E4077" s="1" t="s">
        <v>1245</v>
      </c>
      <c r="F4077" s="1" t="s">
        <v>1329</v>
      </c>
      <c r="G4077" s="3">
        <v>1</v>
      </c>
      <c r="J4077" s="20" t="s">
        <v>3178</v>
      </c>
      <c r="K4077" s="20" t="s">
        <v>10071</v>
      </c>
      <c r="L4077" s="3">
        <v>21</v>
      </c>
      <c r="M4077" s="3" t="s">
        <v>10395</v>
      </c>
      <c r="N4077" s="3" t="str">
        <f>HYPERLINK("http://ictvonline.org/taxonomyHistory.asp?taxnode_id=20164268","ICTVonline=20164268")</f>
        <v>ICTVonline=20164268</v>
      </c>
    </row>
    <row r="4078" spans="1:14" x14ac:dyDescent="0.15">
      <c r="A4078" s="3">
        <v>4077</v>
      </c>
      <c r="B4078" s="1" t="s">
        <v>926</v>
      </c>
      <c r="C4078" s="1" t="s">
        <v>6130</v>
      </c>
      <c r="E4078" s="1" t="s">
        <v>6131</v>
      </c>
      <c r="F4078" s="1" t="s">
        <v>6132</v>
      </c>
      <c r="G4078" s="3">
        <v>1</v>
      </c>
      <c r="H4078" s="20" t="s">
        <v>6133</v>
      </c>
      <c r="I4078" s="20" t="s">
        <v>6134</v>
      </c>
      <c r="J4078" s="20" t="s">
        <v>3160</v>
      </c>
      <c r="K4078" s="20" t="s">
        <v>10013</v>
      </c>
      <c r="L4078" s="3">
        <v>30</v>
      </c>
      <c r="M4078" s="3" t="s">
        <v>10396</v>
      </c>
      <c r="N4078" s="3" t="str">
        <f>HYPERLINK("http://ictvonline.org/taxonomyHistory.asp?taxnode_id=20164272","ICTVonline=20164272")</f>
        <v>ICTVonline=20164272</v>
      </c>
    </row>
    <row r="4079" spans="1:14" x14ac:dyDescent="0.15">
      <c r="A4079" s="3">
        <v>4078</v>
      </c>
      <c r="B4079" s="1" t="s">
        <v>926</v>
      </c>
      <c r="C4079" s="1" t="s">
        <v>9742</v>
      </c>
      <c r="E4079" s="1" t="s">
        <v>9743</v>
      </c>
      <c r="F4079" s="1" t="s">
        <v>9744</v>
      </c>
      <c r="G4079" s="3">
        <v>1</v>
      </c>
      <c r="H4079" s="20" t="s">
        <v>9745</v>
      </c>
      <c r="I4079" s="20" t="s">
        <v>9746</v>
      </c>
      <c r="J4079" s="20" t="s">
        <v>3160</v>
      </c>
      <c r="K4079" s="20" t="s">
        <v>10013</v>
      </c>
      <c r="L4079" s="3">
        <v>31</v>
      </c>
      <c r="M4079" s="3" t="s">
        <v>9747</v>
      </c>
      <c r="N4079" s="3" t="str">
        <f>HYPERLINK("http://ictvonline.org/taxonomyHistory.asp?taxnode_id=20165427","ICTVonline=20165427")</f>
        <v>ICTVonline=20165427</v>
      </c>
    </row>
    <row r="4080" spans="1:14" x14ac:dyDescent="0.15">
      <c r="A4080" s="3">
        <v>4079</v>
      </c>
      <c r="B4080" s="1" t="s">
        <v>926</v>
      </c>
      <c r="C4080" s="1" t="s">
        <v>9742</v>
      </c>
      <c r="E4080" s="1" t="s">
        <v>9748</v>
      </c>
      <c r="F4080" s="1" t="s">
        <v>9749</v>
      </c>
      <c r="G4080" s="3">
        <v>1</v>
      </c>
      <c r="H4080" s="20" t="s">
        <v>9750</v>
      </c>
      <c r="I4080" s="20" t="s">
        <v>9751</v>
      </c>
      <c r="J4080" s="37" t="s">
        <v>3160</v>
      </c>
      <c r="K4080" s="20" t="s">
        <v>10013</v>
      </c>
      <c r="L4080" s="3">
        <v>31</v>
      </c>
      <c r="M4080" s="3" t="s">
        <v>9747</v>
      </c>
      <c r="N4080" s="3" t="str">
        <f>HYPERLINK("http://ictvonline.org/taxonomyHistory.asp?taxnode_id=20165428","ICTVonline=20165428")</f>
        <v>ICTVonline=20165428</v>
      </c>
    </row>
    <row r="4081" spans="1:14" x14ac:dyDescent="0.15">
      <c r="A4081" s="3">
        <v>4080</v>
      </c>
      <c r="B4081" s="1" t="s">
        <v>926</v>
      </c>
      <c r="C4081" s="1" t="s">
        <v>2836</v>
      </c>
      <c r="E4081" s="1" t="s">
        <v>2837</v>
      </c>
      <c r="F4081" s="1" t="s">
        <v>2838</v>
      </c>
      <c r="G4081" s="3">
        <v>0</v>
      </c>
      <c r="H4081" s="20" t="s">
        <v>3214</v>
      </c>
      <c r="J4081" s="20" t="s">
        <v>2860</v>
      </c>
      <c r="K4081" s="20" t="s">
        <v>10013</v>
      </c>
      <c r="L4081" s="3">
        <v>29</v>
      </c>
      <c r="M4081" s="3" t="s">
        <v>10397</v>
      </c>
      <c r="N4081" s="3" t="str">
        <f>HYPERLINK("http://ictvonline.org/taxonomyHistory.asp?taxnode_id=20164276","ICTVonline=20164276")</f>
        <v>ICTVonline=20164276</v>
      </c>
    </row>
    <row r="4082" spans="1:14" x14ac:dyDescent="0.15">
      <c r="A4082" s="3">
        <v>4081</v>
      </c>
      <c r="B4082" s="1" t="s">
        <v>926</v>
      </c>
      <c r="C4082" s="1" t="s">
        <v>2836</v>
      </c>
      <c r="E4082" s="1" t="s">
        <v>2837</v>
      </c>
      <c r="F4082" s="1" t="s">
        <v>2849</v>
      </c>
      <c r="G4082" s="3">
        <v>0</v>
      </c>
      <c r="H4082" s="20" t="s">
        <v>3215</v>
      </c>
      <c r="J4082" s="20" t="s">
        <v>2860</v>
      </c>
      <c r="K4082" s="20" t="s">
        <v>10013</v>
      </c>
      <c r="L4082" s="3">
        <v>29</v>
      </c>
      <c r="M4082" s="3" t="s">
        <v>10397</v>
      </c>
      <c r="N4082" s="3" t="str">
        <f>HYPERLINK("http://ictvonline.org/taxonomyHistory.asp?taxnode_id=20164277","ICTVonline=20164277")</f>
        <v>ICTVonline=20164277</v>
      </c>
    </row>
    <row r="4083" spans="1:14" x14ac:dyDescent="0.15">
      <c r="A4083" s="3">
        <v>4082</v>
      </c>
      <c r="B4083" s="1" t="s">
        <v>926</v>
      </c>
      <c r="C4083" s="1" t="s">
        <v>2836</v>
      </c>
      <c r="E4083" s="1" t="s">
        <v>2837</v>
      </c>
      <c r="F4083" s="1" t="s">
        <v>2850</v>
      </c>
      <c r="G4083" s="3">
        <v>1</v>
      </c>
      <c r="H4083" s="20" t="s">
        <v>3216</v>
      </c>
      <c r="J4083" s="20" t="s">
        <v>2860</v>
      </c>
      <c r="K4083" s="20" t="s">
        <v>10013</v>
      </c>
      <c r="L4083" s="3">
        <v>29</v>
      </c>
      <c r="M4083" s="3" t="s">
        <v>10397</v>
      </c>
      <c r="N4083" s="3" t="str">
        <f>HYPERLINK("http://ictvonline.org/taxonomyHistory.asp?taxnode_id=20164278","ICTVonline=20164278")</f>
        <v>ICTVonline=20164278</v>
      </c>
    </row>
    <row r="4084" spans="1:14" x14ac:dyDescent="0.15">
      <c r="A4084" s="3">
        <v>4083</v>
      </c>
      <c r="B4084" s="1" t="s">
        <v>926</v>
      </c>
      <c r="C4084" s="1" t="s">
        <v>2836</v>
      </c>
      <c r="E4084" s="1" t="s">
        <v>2837</v>
      </c>
      <c r="F4084" s="1" t="s">
        <v>9752</v>
      </c>
      <c r="G4084" s="3">
        <v>0</v>
      </c>
      <c r="H4084" s="20" t="s">
        <v>9753</v>
      </c>
      <c r="I4084" s="20" t="s">
        <v>9754</v>
      </c>
      <c r="J4084" s="20" t="s">
        <v>2860</v>
      </c>
      <c r="K4084" s="20" t="s">
        <v>10013</v>
      </c>
      <c r="L4084" s="3">
        <v>31</v>
      </c>
      <c r="M4084" s="3" t="s">
        <v>9755</v>
      </c>
      <c r="N4084" s="3" t="str">
        <f>HYPERLINK("http://ictvonline.org/taxonomyHistory.asp?taxnode_id=20165429","ICTVonline=20165429")</f>
        <v>ICTVonline=20165429</v>
      </c>
    </row>
    <row r="4085" spans="1:14" x14ac:dyDescent="0.15">
      <c r="A4085" s="3">
        <v>4084</v>
      </c>
      <c r="B4085" s="1" t="s">
        <v>926</v>
      </c>
      <c r="C4085" s="1" t="s">
        <v>2836</v>
      </c>
      <c r="E4085" s="1" t="s">
        <v>2839</v>
      </c>
      <c r="F4085" s="1" t="s">
        <v>2851</v>
      </c>
      <c r="G4085" s="3">
        <v>1</v>
      </c>
      <c r="H4085" s="20" t="s">
        <v>3217</v>
      </c>
      <c r="J4085" s="20" t="s">
        <v>2860</v>
      </c>
      <c r="K4085" s="20" t="s">
        <v>10013</v>
      </c>
      <c r="L4085" s="3">
        <v>29</v>
      </c>
      <c r="M4085" s="3" t="s">
        <v>10397</v>
      </c>
      <c r="N4085" s="3" t="str">
        <f>HYPERLINK("http://ictvonline.org/taxonomyHistory.asp?taxnode_id=20164280","ICTVonline=20164280")</f>
        <v>ICTVonline=20164280</v>
      </c>
    </row>
    <row r="4086" spans="1:14" x14ac:dyDescent="0.15">
      <c r="A4086" s="3">
        <v>4085</v>
      </c>
      <c r="B4086" s="1" t="s">
        <v>926</v>
      </c>
      <c r="C4086" s="1" t="s">
        <v>2836</v>
      </c>
      <c r="E4086" s="1" t="s">
        <v>2840</v>
      </c>
      <c r="F4086" s="1" t="s">
        <v>6135</v>
      </c>
      <c r="G4086" s="3">
        <v>0</v>
      </c>
      <c r="H4086" s="20" t="s">
        <v>3219</v>
      </c>
      <c r="J4086" s="20" t="s">
        <v>2860</v>
      </c>
      <c r="K4086" s="20" t="s">
        <v>10021</v>
      </c>
      <c r="L4086" s="3">
        <v>30</v>
      </c>
      <c r="M4086" s="3" t="s">
        <v>10017</v>
      </c>
      <c r="N4086" s="3" t="str">
        <f>HYPERLINK("http://ictvonline.org/taxonomyHistory.asp?taxnode_id=20164282","ICTVonline=20164282")</f>
        <v>ICTVonline=20164282</v>
      </c>
    </row>
    <row r="4087" spans="1:14" x14ac:dyDescent="0.15">
      <c r="A4087" s="3">
        <v>4086</v>
      </c>
      <c r="B4087" s="1" t="s">
        <v>926</v>
      </c>
      <c r="C4087" s="1" t="s">
        <v>2836</v>
      </c>
      <c r="E4087" s="1" t="s">
        <v>2840</v>
      </c>
      <c r="F4087" s="1" t="s">
        <v>6136</v>
      </c>
      <c r="G4087" s="3">
        <v>1</v>
      </c>
      <c r="H4087" s="20" t="s">
        <v>3218</v>
      </c>
      <c r="J4087" s="20" t="s">
        <v>2860</v>
      </c>
      <c r="K4087" s="20" t="s">
        <v>10021</v>
      </c>
      <c r="L4087" s="3">
        <v>30</v>
      </c>
      <c r="M4087" s="3" t="s">
        <v>10017</v>
      </c>
      <c r="N4087" s="3" t="str">
        <f>HYPERLINK("http://ictvonline.org/taxonomyHistory.asp?taxnode_id=20164283","ICTVonline=20164283")</f>
        <v>ICTVonline=20164283</v>
      </c>
    </row>
    <row r="4088" spans="1:14" x14ac:dyDescent="0.15">
      <c r="A4088" s="3">
        <v>4087</v>
      </c>
      <c r="B4088" s="1" t="s">
        <v>926</v>
      </c>
      <c r="C4088" s="1" t="s">
        <v>2700</v>
      </c>
      <c r="E4088" s="1" t="s">
        <v>2701</v>
      </c>
      <c r="F4088" s="1" t="s">
        <v>2702</v>
      </c>
      <c r="G4088" s="3">
        <v>1</v>
      </c>
      <c r="H4088" s="20" t="s">
        <v>6137</v>
      </c>
      <c r="J4088" s="20" t="s">
        <v>5405</v>
      </c>
      <c r="K4088" s="20" t="s">
        <v>10013</v>
      </c>
      <c r="L4088" s="3">
        <v>28</v>
      </c>
      <c r="M4088" s="3" t="s">
        <v>10398</v>
      </c>
      <c r="N4088" s="3" t="str">
        <f>HYPERLINK("http://ictvonline.org/taxonomyHistory.asp?taxnode_id=20164287","ICTVonline=20164287")</f>
        <v>ICTVonline=20164287</v>
      </c>
    </row>
    <row r="4089" spans="1:14" x14ac:dyDescent="0.15">
      <c r="A4089" s="3">
        <v>4088</v>
      </c>
      <c r="B4089" s="1" t="s">
        <v>926</v>
      </c>
      <c r="C4089" s="1" t="s">
        <v>1639</v>
      </c>
      <c r="E4089" s="1" t="s">
        <v>1640</v>
      </c>
      <c r="F4089" s="1" t="s">
        <v>6138</v>
      </c>
      <c r="G4089" s="3">
        <v>0</v>
      </c>
      <c r="J4089" s="20" t="s">
        <v>2860</v>
      </c>
      <c r="K4089" s="20" t="s">
        <v>10021</v>
      </c>
      <c r="L4089" s="3">
        <v>30</v>
      </c>
      <c r="M4089" s="3" t="s">
        <v>10017</v>
      </c>
      <c r="N4089" s="3" t="str">
        <f>HYPERLINK("http://ictvonline.org/taxonomyHistory.asp?taxnode_id=20164291","ICTVonline=20164291")</f>
        <v>ICTVonline=20164291</v>
      </c>
    </row>
    <row r="4090" spans="1:14" x14ac:dyDescent="0.15">
      <c r="A4090" s="3">
        <v>4089</v>
      </c>
      <c r="B4090" s="1" t="s">
        <v>926</v>
      </c>
      <c r="C4090" s="1" t="s">
        <v>1639</v>
      </c>
      <c r="E4090" s="1" t="s">
        <v>1640</v>
      </c>
      <c r="F4090" s="1" t="s">
        <v>6139</v>
      </c>
      <c r="G4090" s="3">
        <v>0</v>
      </c>
      <c r="J4090" s="20" t="s">
        <v>2860</v>
      </c>
      <c r="K4090" s="20" t="s">
        <v>10021</v>
      </c>
      <c r="L4090" s="3">
        <v>30</v>
      </c>
      <c r="M4090" s="3" t="s">
        <v>10017</v>
      </c>
      <c r="N4090" s="3" t="str">
        <f>HYPERLINK("http://ictvonline.org/taxonomyHistory.asp?taxnode_id=20164292","ICTVonline=20164292")</f>
        <v>ICTVonline=20164292</v>
      </c>
    </row>
    <row r="4091" spans="1:14" x14ac:dyDescent="0.15">
      <c r="A4091" s="3">
        <v>4090</v>
      </c>
      <c r="B4091" s="1" t="s">
        <v>926</v>
      </c>
      <c r="C4091" s="1" t="s">
        <v>1639</v>
      </c>
      <c r="E4091" s="1" t="s">
        <v>1640</v>
      </c>
      <c r="F4091" s="1" t="s">
        <v>6140</v>
      </c>
      <c r="G4091" s="3">
        <v>1</v>
      </c>
      <c r="J4091" s="20" t="s">
        <v>2860</v>
      </c>
      <c r="K4091" s="20" t="s">
        <v>10021</v>
      </c>
      <c r="L4091" s="3">
        <v>30</v>
      </c>
      <c r="M4091" s="3" t="s">
        <v>10017</v>
      </c>
      <c r="N4091" s="3" t="str">
        <f>HYPERLINK("http://ictvonline.org/taxonomyHistory.asp?taxnode_id=20164293","ICTVonline=20164293")</f>
        <v>ICTVonline=20164293</v>
      </c>
    </row>
    <row r="4092" spans="1:14" x14ac:dyDescent="0.15">
      <c r="A4092" s="3">
        <v>4091</v>
      </c>
      <c r="B4092" s="1" t="s">
        <v>926</v>
      </c>
      <c r="C4092" s="1" t="s">
        <v>1639</v>
      </c>
      <c r="E4092" s="1" t="s">
        <v>1640</v>
      </c>
      <c r="F4092" s="1" t="s">
        <v>6141</v>
      </c>
      <c r="G4092" s="3">
        <v>0</v>
      </c>
      <c r="J4092" s="20" t="s">
        <v>2860</v>
      </c>
      <c r="K4092" s="20" t="s">
        <v>10021</v>
      </c>
      <c r="L4092" s="3">
        <v>30</v>
      </c>
      <c r="M4092" s="3" t="s">
        <v>10017</v>
      </c>
      <c r="N4092" s="3" t="str">
        <f>HYPERLINK("http://ictvonline.org/taxonomyHistory.asp?taxnode_id=20164294","ICTVonline=20164294")</f>
        <v>ICTVonline=20164294</v>
      </c>
    </row>
    <row r="4093" spans="1:14" x14ac:dyDescent="0.15">
      <c r="A4093" s="3">
        <v>4092</v>
      </c>
      <c r="B4093" s="1" t="s">
        <v>926</v>
      </c>
      <c r="C4093" s="1" t="s">
        <v>1639</v>
      </c>
      <c r="E4093" s="1" t="s">
        <v>926</v>
      </c>
      <c r="F4093" s="1" t="s">
        <v>6142</v>
      </c>
      <c r="G4093" s="3">
        <v>0</v>
      </c>
      <c r="J4093" s="20" t="s">
        <v>2860</v>
      </c>
      <c r="K4093" s="20" t="s">
        <v>10021</v>
      </c>
      <c r="L4093" s="3">
        <v>30</v>
      </c>
      <c r="M4093" s="3" t="s">
        <v>10017</v>
      </c>
      <c r="N4093" s="3" t="str">
        <f>HYPERLINK("http://ictvonline.org/taxonomyHistory.asp?taxnode_id=20164296","ICTVonline=20164296")</f>
        <v>ICTVonline=20164296</v>
      </c>
    </row>
    <row r="4094" spans="1:14" x14ac:dyDescent="0.15">
      <c r="A4094" s="3">
        <v>4093</v>
      </c>
      <c r="B4094" s="1" t="s">
        <v>926</v>
      </c>
      <c r="C4094" s="1" t="s">
        <v>865</v>
      </c>
      <c r="E4094" s="1" t="s">
        <v>866</v>
      </c>
      <c r="F4094" s="1" t="s">
        <v>867</v>
      </c>
      <c r="G4094" s="3">
        <v>0</v>
      </c>
      <c r="J4094" s="20" t="s">
        <v>3160</v>
      </c>
      <c r="K4094" s="20" t="s">
        <v>10016</v>
      </c>
      <c r="L4094" s="3">
        <v>2</v>
      </c>
      <c r="M4094" s="3" t="s">
        <v>10399</v>
      </c>
      <c r="N4094" s="3" t="str">
        <f>HYPERLINK("http://ictvonline.org/taxonomyHistory.asp?taxnode_id=20164300","ICTVonline=20164300")</f>
        <v>ICTVonline=20164300</v>
      </c>
    </row>
    <row r="4095" spans="1:14" x14ac:dyDescent="0.15">
      <c r="A4095" s="3">
        <v>4094</v>
      </c>
      <c r="B4095" s="1" t="s">
        <v>926</v>
      </c>
      <c r="C4095" s="1" t="s">
        <v>865</v>
      </c>
      <c r="E4095" s="1" t="s">
        <v>866</v>
      </c>
      <c r="F4095" s="1" t="s">
        <v>868</v>
      </c>
      <c r="G4095" s="3">
        <v>0</v>
      </c>
      <c r="J4095" s="20" t="s">
        <v>3160</v>
      </c>
      <c r="K4095" s="20" t="s">
        <v>10016</v>
      </c>
      <c r="L4095" s="3">
        <v>12</v>
      </c>
      <c r="M4095" s="3" t="s">
        <v>10281</v>
      </c>
      <c r="N4095" s="3" t="str">
        <f>HYPERLINK("http://ictvonline.org/taxonomyHistory.asp?taxnode_id=20164301","ICTVonline=20164301")</f>
        <v>ICTVonline=20164301</v>
      </c>
    </row>
    <row r="4096" spans="1:14" x14ac:dyDescent="0.15">
      <c r="A4096" s="3">
        <v>4095</v>
      </c>
      <c r="B4096" s="1" t="s">
        <v>926</v>
      </c>
      <c r="C4096" s="1" t="s">
        <v>865</v>
      </c>
      <c r="E4096" s="1" t="s">
        <v>866</v>
      </c>
      <c r="F4096" s="1" t="s">
        <v>869</v>
      </c>
      <c r="G4096" s="3">
        <v>0</v>
      </c>
      <c r="J4096" s="20" t="s">
        <v>3160</v>
      </c>
      <c r="K4096" s="20" t="s">
        <v>10013</v>
      </c>
      <c r="L4096" s="3">
        <v>4</v>
      </c>
      <c r="M4096" s="3" t="s">
        <v>10400</v>
      </c>
      <c r="N4096" s="3" t="str">
        <f>HYPERLINK("http://ictvonline.org/taxonomyHistory.asp?taxnode_id=20164302","ICTVonline=20164302")</f>
        <v>ICTVonline=20164302</v>
      </c>
    </row>
    <row r="4097" spans="1:14" x14ac:dyDescent="0.15">
      <c r="A4097" s="3">
        <v>4096</v>
      </c>
      <c r="B4097" s="1" t="s">
        <v>926</v>
      </c>
      <c r="C4097" s="1" t="s">
        <v>865</v>
      </c>
      <c r="E4097" s="1" t="s">
        <v>866</v>
      </c>
      <c r="F4097" s="1" t="s">
        <v>870</v>
      </c>
      <c r="G4097" s="3">
        <v>0</v>
      </c>
      <c r="J4097" s="20" t="s">
        <v>3160</v>
      </c>
      <c r="K4097" s="20" t="s">
        <v>10013</v>
      </c>
      <c r="L4097" s="3">
        <v>18</v>
      </c>
      <c r="M4097" s="3" t="s">
        <v>10101</v>
      </c>
      <c r="N4097" s="3" t="str">
        <f>HYPERLINK("http://ictvonline.org/taxonomyHistory.asp?taxnode_id=20164303","ICTVonline=20164303")</f>
        <v>ICTVonline=20164303</v>
      </c>
    </row>
    <row r="4098" spans="1:14" x14ac:dyDescent="0.15">
      <c r="A4098" s="3">
        <v>4097</v>
      </c>
      <c r="B4098" s="1" t="s">
        <v>926</v>
      </c>
      <c r="C4098" s="1" t="s">
        <v>865</v>
      </c>
      <c r="E4098" s="1" t="s">
        <v>866</v>
      </c>
      <c r="F4098" s="1" t="s">
        <v>871</v>
      </c>
      <c r="G4098" s="3">
        <v>0</v>
      </c>
      <c r="J4098" s="20" t="s">
        <v>3160</v>
      </c>
      <c r="K4098" s="20" t="s">
        <v>10016</v>
      </c>
      <c r="L4098" s="3">
        <v>2</v>
      </c>
      <c r="M4098" s="3" t="s">
        <v>10399</v>
      </c>
      <c r="N4098" s="3" t="str">
        <f>HYPERLINK("http://ictvonline.org/taxonomyHistory.asp?taxnode_id=20164304","ICTVonline=20164304")</f>
        <v>ICTVonline=20164304</v>
      </c>
    </row>
    <row r="4099" spans="1:14" x14ac:dyDescent="0.15">
      <c r="A4099" s="3">
        <v>4098</v>
      </c>
      <c r="B4099" s="1" t="s">
        <v>926</v>
      </c>
      <c r="C4099" s="1" t="s">
        <v>865</v>
      </c>
      <c r="E4099" s="1" t="s">
        <v>866</v>
      </c>
      <c r="F4099" s="1" t="s">
        <v>872</v>
      </c>
      <c r="G4099" s="3">
        <v>0</v>
      </c>
      <c r="J4099" s="20" t="s">
        <v>3160</v>
      </c>
      <c r="K4099" s="20" t="s">
        <v>10016</v>
      </c>
      <c r="L4099" s="3">
        <v>2</v>
      </c>
      <c r="M4099" s="3" t="s">
        <v>10399</v>
      </c>
      <c r="N4099" s="3" t="str">
        <f>HYPERLINK("http://ictvonline.org/taxonomyHistory.asp?taxnode_id=20164305","ICTVonline=20164305")</f>
        <v>ICTVonline=20164305</v>
      </c>
    </row>
    <row r="4100" spans="1:14" x14ac:dyDescent="0.15">
      <c r="A4100" s="3">
        <v>4099</v>
      </c>
      <c r="B4100" s="1" t="s">
        <v>926</v>
      </c>
      <c r="C4100" s="1" t="s">
        <v>865</v>
      </c>
      <c r="E4100" s="1" t="s">
        <v>866</v>
      </c>
      <c r="F4100" s="1" t="s">
        <v>2703</v>
      </c>
      <c r="G4100" s="3">
        <v>0</v>
      </c>
      <c r="J4100" s="20" t="s">
        <v>3160</v>
      </c>
      <c r="K4100" s="20" t="s">
        <v>10013</v>
      </c>
      <c r="L4100" s="3">
        <v>28</v>
      </c>
      <c r="M4100" s="3" t="s">
        <v>10401</v>
      </c>
      <c r="N4100" s="3" t="str">
        <f>HYPERLINK("http://ictvonline.org/taxonomyHistory.asp?taxnode_id=20164306","ICTVonline=20164306")</f>
        <v>ICTVonline=20164306</v>
      </c>
    </row>
    <row r="4101" spans="1:14" x14ac:dyDescent="0.15">
      <c r="A4101" s="3">
        <v>4100</v>
      </c>
      <c r="B4101" s="1" t="s">
        <v>926</v>
      </c>
      <c r="C4101" s="1" t="s">
        <v>865</v>
      </c>
      <c r="E4101" s="1" t="s">
        <v>866</v>
      </c>
      <c r="F4101" s="1" t="s">
        <v>873</v>
      </c>
      <c r="G4101" s="3">
        <v>0</v>
      </c>
      <c r="J4101" s="20" t="s">
        <v>3160</v>
      </c>
      <c r="K4101" s="20" t="s">
        <v>10013</v>
      </c>
      <c r="L4101" s="3">
        <v>4</v>
      </c>
      <c r="M4101" s="3" t="s">
        <v>10400</v>
      </c>
      <c r="N4101" s="3" t="str">
        <f>HYPERLINK("http://ictvonline.org/taxonomyHistory.asp?taxnode_id=20164307","ICTVonline=20164307")</f>
        <v>ICTVonline=20164307</v>
      </c>
    </row>
    <row r="4102" spans="1:14" x14ac:dyDescent="0.15">
      <c r="A4102" s="3">
        <v>4101</v>
      </c>
      <c r="B4102" s="1" t="s">
        <v>926</v>
      </c>
      <c r="C4102" s="1" t="s">
        <v>865</v>
      </c>
      <c r="E4102" s="1" t="s">
        <v>866</v>
      </c>
      <c r="F4102" s="1" t="s">
        <v>874</v>
      </c>
      <c r="G4102" s="3">
        <v>0</v>
      </c>
      <c r="J4102" s="20" t="s">
        <v>3160</v>
      </c>
      <c r="K4102" s="20" t="s">
        <v>10216</v>
      </c>
      <c r="L4102" s="3">
        <v>18</v>
      </c>
      <c r="M4102" s="3" t="s">
        <v>10101</v>
      </c>
      <c r="N4102" s="3" t="str">
        <f>HYPERLINK("http://ictvonline.org/taxonomyHistory.asp?taxnode_id=20164308","ICTVonline=20164308")</f>
        <v>ICTVonline=20164308</v>
      </c>
    </row>
    <row r="4103" spans="1:14" x14ac:dyDescent="0.15">
      <c r="A4103" s="3">
        <v>4102</v>
      </c>
      <c r="B4103" s="1" t="s">
        <v>926</v>
      </c>
      <c r="C4103" s="1" t="s">
        <v>865</v>
      </c>
      <c r="E4103" s="1" t="s">
        <v>866</v>
      </c>
      <c r="F4103" s="1" t="s">
        <v>875</v>
      </c>
      <c r="G4103" s="3">
        <v>0</v>
      </c>
      <c r="J4103" s="20" t="s">
        <v>3160</v>
      </c>
      <c r="K4103" s="20" t="s">
        <v>10016</v>
      </c>
      <c r="L4103" s="3">
        <v>2</v>
      </c>
      <c r="M4103" s="3" t="s">
        <v>10399</v>
      </c>
      <c r="N4103" s="3" t="str">
        <f>HYPERLINK("http://ictvonline.org/taxonomyHistory.asp?taxnode_id=20164309","ICTVonline=20164309")</f>
        <v>ICTVonline=20164309</v>
      </c>
    </row>
    <row r="4104" spans="1:14" x14ac:dyDescent="0.15">
      <c r="A4104" s="3">
        <v>4103</v>
      </c>
      <c r="B4104" s="1" t="s">
        <v>926</v>
      </c>
      <c r="C4104" s="1" t="s">
        <v>865</v>
      </c>
      <c r="E4104" s="1" t="s">
        <v>866</v>
      </c>
      <c r="F4104" s="1" t="s">
        <v>876</v>
      </c>
      <c r="G4104" s="3">
        <v>0</v>
      </c>
      <c r="J4104" s="20" t="s">
        <v>3160</v>
      </c>
      <c r="K4104" s="20" t="s">
        <v>10013</v>
      </c>
      <c r="L4104" s="3">
        <v>12</v>
      </c>
      <c r="M4104" s="3" t="s">
        <v>10281</v>
      </c>
      <c r="N4104" s="3" t="str">
        <f>HYPERLINK("http://ictvonline.org/taxonomyHistory.asp?taxnode_id=20164310","ICTVonline=20164310")</f>
        <v>ICTVonline=20164310</v>
      </c>
    </row>
    <row r="4105" spans="1:14" x14ac:dyDescent="0.15">
      <c r="A4105" s="3">
        <v>4104</v>
      </c>
      <c r="B4105" s="1" t="s">
        <v>926</v>
      </c>
      <c r="C4105" s="1" t="s">
        <v>865</v>
      </c>
      <c r="E4105" s="1" t="s">
        <v>866</v>
      </c>
      <c r="F4105" s="1" t="s">
        <v>2364</v>
      </c>
      <c r="G4105" s="3">
        <v>0</v>
      </c>
      <c r="J4105" s="20" t="s">
        <v>3160</v>
      </c>
      <c r="K4105" s="20" t="s">
        <v>10013</v>
      </c>
      <c r="L4105" s="3">
        <v>27</v>
      </c>
      <c r="M4105" s="3" t="s">
        <v>10402</v>
      </c>
      <c r="N4105" s="3" t="str">
        <f>HYPERLINK("http://ictvonline.org/taxonomyHistory.asp?taxnode_id=20164311","ICTVonline=20164311")</f>
        <v>ICTVonline=20164311</v>
      </c>
    </row>
    <row r="4106" spans="1:14" x14ac:dyDescent="0.15">
      <c r="A4106" s="3">
        <v>4105</v>
      </c>
      <c r="B4106" s="1" t="s">
        <v>926</v>
      </c>
      <c r="C4106" s="1" t="s">
        <v>865</v>
      </c>
      <c r="E4106" s="1" t="s">
        <v>866</v>
      </c>
      <c r="F4106" s="1" t="s">
        <v>877</v>
      </c>
      <c r="G4106" s="3">
        <v>0</v>
      </c>
      <c r="J4106" s="20" t="s">
        <v>3160</v>
      </c>
      <c r="K4106" s="20" t="s">
        <v>10016</v>
      </c>
      <c r="L4106" s="3">
        <v>2</v>
      </c>
      <c r="M4106" s="3" t="s">
        <v>10399</v>
      </c>
      <c r="N4106" s="3" t="str">
        <f>HYPERLINK("http://ictvonline.org/taxonomyHistory.asp?taxnode_id=20164312","ICTVonline=20164312")</f>
        <v>ICTVonline=20164312</v>
      </c>
    </row>
    <row r="4107" spans="1:14" x14ac:dyDescent="0.15">
      <c r="A4107" s="3">
        <v>4106</v>
      </c>
      <c r="B4107" s="1" t="s">
        <v>926</v>
      </c>
      <c r="C4107" s="1" t="s">
        <v>865</v>
      </c>
      <c r="E4107" s="1" t="s">
        <v>866</v>
      </c>
      <c r="F4107" s="1" t="s">
        <v>878</v>
      </c>
      <c r="G4107" s="3">
        <v>0</v>
      </c>
      <c r="J4107" s="20" t="s">
        <v>3160</v>
      </c>
      <c r="K4107" s="20" t="s">
        <v>10021</v>
      </c>
      <c r="L4107" s="3">
        <v>6</v>
      </c>
      <c r="M4107" s="3" t="s">
        <v>10384</v>
      </c>
      <c r="N4107" s="3" t="str">
        <f>HYPERLINK("http://ictvonline.org/taxonomyHistory.asp?taxnode_id=20164313","ICTVonline=20164313")</f>
        <v>ICTVonline=20164313</v>
      </c>
    </row>
    <row r="4108" spans="1:14" x14ac:dyDescent="0.15">
      <c r="A4108" s="3">
        <v>4107</v>
      </c>
      <c r="B4108" s="1" t="s">
        <v>926</v>
      </c>
      <c r="C4108" s="1" t="s">
        <v>865</v>
      </c>
      <c r="E4108" s="1" t="s">
        <v>866</v>
      </c>
      <c r="F4108" s="1" t="s">
        <v>3229</v>
      </c>
      <c r="G4108" s="3">
        <v>0</v>
      </c>
      <c r="J4108" s="20" t="s">
        <v>3160</v>
      </c>
      <c r="K4108" s="20" t="s">
        <v>10013</v>
      </c>
      <c r="L4108" s="3">
        <v>23</v>
      </c>
      <c r="M4108" s="3" t="s">
        <v>10229</v>
      </c>
      <c r="N4108" s="3" t="str">
        <f>HYPERLINK("http://ictvonline.org/taxonomyHistory.asp?taxnode_id=20164314","ICTVonline=20164314")</f>
        <v>ICTVonline=20164314</v>
      </c>
    </row>
    <row r="4109" spans="1:14" x14ac:dyDescent="0.15">
      <c r="A4109" s="3">
        <v>4108</v>
      </c>
      <c r="B4109" s="1" t="s">
        <v>926</v>
      </c>
      <c r="C4109" s="1" t="s">
        <v>865</v>
      </c>
      <c r="E4109" s="1" t="s">
        <v>866</v>
      </c>
      <c r="F4109" s="1" t="s">
        <v>879</v>
      </c>
      <c r="G4109" s="3">
        <v>0</v>
      </c>
      <c r="J4109" s="20" t="s">
        <v>3160</v>
      </c>
      <c r="K4109" s="20" t="s">
        <v>10016</v>
      </c>
      <c r="L4109" s="3">
        <v>2</v>
      </c>
      <c r="M4109" s="3" t="s">
        <v>10399</v>
      </c>
      <c r="N4109" s="3" t="str">
        <f>HYPERLINK("http://ictvonline.org/taxonomyHistory.asp?taxnode_id=20164315","ICTVonline=20164315")</f>
        <v>ICTVonline=20164315</v>
      </c>
    </row>
    <row r="4110" spans="1:14" x14ac:dyDescent="0.15">
      <c r="A4110" s="3">
        <v>4109</v>
      </c>
      <c r="B4110" s="1" t="s">
        <v>926</v>
      </c>
      <c r="C4110" s="1" t="s">
        <v>865</v>
      </c>
      <c r="E4110" s="1" t="s">
        <v>866</v>
      </c>
      <c r="F4110" s="1" t="s">
        <v>880</v>
      </c>
      <c r="G4110" s="3">
        <v>0</v>
      </c>
      <c r="J4110" s="20" t="s">
        <v>3160</v>
      </c>
      <c r="K4110" s="20" t="s">
        <v>10013</v>
      </c>
      <c r="L4110" s="3">
        <v>4</v>
      </c>
      <c r="M4110" s="3" t="s">
        <v>10400</v>
      </c>
      <c r="N4110" s="3" t="str">
        <f>HYPERLINK("http://ictvonline.org/taxonomyHistory.asp?taxnode_id=20164316","ICTVonline=20164316")</f>
        <v>ICTVonline=20164316</v>
      </c>
    </row>
    <row r="4111" spans="1:14" x14ac:dyDescent="0.15">
      <c r="A4111" s="3">
        <v>4110</v>
      </c>
      <c r="B4111" s="1" t="s">
        <v>926</v>
      </c>
      <c r="C4111" s="1" t="s">
        <v>865</v>
      </c>
      <c r="E4111" s="1" t="s">
        <v>866</v>
      </c>
      <c r="F4111" s="1" t="s">
        <v>1874</v>
      </c>
      <c r="G4111" s="3">
        <v>0</v>
      </c>
      <c r="J4111" s="20" t="s">
        <v>3160</v>
      </c>
      <c r="K4111" s="20" t="s">
        <v>10016</v>
      </c>
      <c r="L4111" s="3">
        <v>2</v>
      </c>
      <c r="M4111" s="3" t="s">
        <v>10399</v>
      </c>
      <c r="N4111" s="3" t="str">
        <f>HYPERLINK("http://ictvonline.org/taxonomyHistory.asp?taxnode_id=20164317","ICTVonline=20164317")</f>
        <v>ICTVonline=20164317</v>
      </c>
    </row>
    <row r="4112" spans="1:14" x14ac:dyDescent="0.15">
      <c r="A4112" s="3">
        <v>4111</v>
      </c>
      <c r="B4112" s="1" t="s">
        <v>926</v>
      </c>
      <c r="C4112" s="1" t="s">
        <v>865</v>
      </c>
      <c r="E4112" s="1" t="s">
        <v>866</v>
      </c>
      <c r="F4112" s="1" t="s">
        <v>881</v>
      </c>
      <c r="G4112" s="3">
        <v>0</v>
      </c>
      <c r="J4112" s="20" t="s">
        <v>3160</v>
      </c>
      <c r="K4112" s="20" t="s">
        <v>10016</v>
      </c>
      <c r="L4112" s="3">
        <v>2</v>
      </c>
      <c r="M4112" s="3" t="s">
        <v>10399</v>
      </c>
      <c r="N4112" s="3" t="str">
        <f>HYPERLINK("http://ictvonline.org/taxonomyHistory.asp?taxnode_id=20164318","ICTVonline=20164318")</f>
        <v>ICTVonline=20164318</v>
      </c>
    </row>
    <row r="4113" spans="1:14" x14ac:dyDescent="0.15">
      <c r="A4113" s="3">
        <v>4112</v>
      </c>
      <c r="B4113" s="1" t="s">
        <v>926</v>
      </c>
      <c r="C4113" s="1" t="s">
        <v>865</v>
      </c>
      <c r="E4113" s="1" t="s">
        <v>866</v>
      </c>
      <c r="F4113" s="1" t="s">
        <v>1351</v>
      </c>
      <c r="G4113" s="3">
        <v>0</v>
      </c>
      <c r="J4113" s="20" t="s">
        <v>3160</v>
      </c>
      <c r="K4113" s="20" t="s">
        <v>10021</v>
      </c>
      <c r="L4113" s="3">
        <v>23</v>
      </c>
      <c r="M4113" s="3" t="s">
        <v>10229</v>
      </c>
      <c r="N4113" s="3" t="str">
        <f>HYPERLINK("http://ictvonline.org/taxonomyHistory.asp?taxnode_id=20164319","ICTVonline=20164319")</f>
        <v>ICTVonline=20164319</v>
      </c>
    </row>
    <row r="4114" spans="1:14" x14ac:dyDescent="0.15">
      <c r="A4114" s="3">
        <v>4113</v>
      </c>
      <c r="B4114" s="1" t="s">
        <v>926</v>
      </c>
      <c r="C4114" s="1" t="s">
        <v>865</v>
      </c>
      <c r="E4114" s="1" t="s">
        <v>866</v>
      </c>
      <c r="F4114" s="1" t="s">
        <v>1352</v>
      </c>
      <c r="G4114" s="3">
        <v>0</v>
      </c>
      <c r="J4114" s="20" t="s">
        <v>3160</v>
      </c>
      <c r="K4114" s="20" t="s">
        <v>10216</v>
      </c>
      <c r="L4114" s="3">
        <v>18</v>
      </c>
      <c r="M4114" s="3" t="s">
        <v>10101</v>
      </c>
      <c r="N4114" s="3" t="str">
        <f>HYPERLINK("http://ictvonline.org/taxonomyHistory.asp?taxnode_id=20164320","ICTVonline=20164320")</f>
        <v>ICTVonline=20164320</v>
      </c>
    </row>
    <row r="4115" spans="1:14" x14ac:dyDescent="0.15">
      <c r="A4115" s="3">
        <v>4114</v>
      </c>
      <c r="B4115" s="1" t="s">
        <v>926</v>
      </c>
      <c r="C4115" s="1" t="s">
        <v>865</v>
      </c>
      <c r="E4115" s="1" t="s">
        <v>866</v>
      </c>
      <c r="F4115" s="1" t="s">
        <v>1353</v>
      </c>
      <c r="G4115" s="3">
        <v>0</v>
      </c>
      <c r="J4115" s="20" t="s">
        <v>3160</v>
      </c>
      <c r="K4115" s="20" t="s">
        <v>10013</v>
      </c>
      <c r="L4115" s="3">
        <v>20</v>
      </c>
      <c r="M4115" s="3" t="s">
        <v>10115</v>
      </c>
      <c r="N4115" s="3" t="str">
        <f>HYPERLINK("http://ictvonline.org/taxonomyHistory.asp?taxnode_id=20164321","ICTVonline=20164321")</f>
        <v>ICTVonline=20164321</v>
      </c>
    </row>
    <row r="4116" spans="1:14" x14ac:dyDescent="0.15">
      <c r="A4116" s="3">
        <v>4115</v>
      </c>
      <c r="B4116" s="1" t="s">
        <v>926</v>
      </c>
      <c r="C4116" s="1" t="s">
        <v>865</v>
      </c>
      <c r="E4116" s="1" t="s">
        <v>866</v>
      </c>
      <c r="F4116" s="1" t="s">
        <v>1354</v>
      </c>
      <c r="G4116" s="3">
        <v>0</v>
      </c>
      <c r="J4116" s="20" t="s">
        <v>3160</v>
      </c>
      <c r="K4116" s="20" t="s">
        <v>10016</v>
      </c>
      <c r="L4116" s="3">
        <v>2</v>
      </c>
      <c r="M4116" s="3" t="s">
        <v>10399</v>
      </c>
      <c r="N4116" s="3" t="str">
        <f>HYPERLINK("http://ictvonline.org/taxonomyHistory.asp?taxnode_id=20164322","ICTVonline=20164322")</f>
        <v>ICTVonline=20164322</v>
      </c>
    </row>
    <row r="4117" spans="1:14" x14ac:dyDescent="0.15">
      <c r="A4117" s="3">
        <v>4116</v>
      </c>
      <c r="B4117" s="1" t="s">
        <v>926</v>
      </c>
      <c r="C4117" s="1" t="s">
        <v>865</v>
      </c>
      <c r="E4117" s="1" t="s">
        <v>866</v>
      </c>
      <c r="F4117" s="1" t="s">
        <v>1355</v>
      </c>
      <c r="G4117" s="3">
        <v>1</v>
      </c>
      <c r="J4117" s="20" t="s">
        <v>3160</v>
      </c>
      <c r="K4117" s="20" t="s">
        <v>10300</v>
      </c>
      <c r="L4117" s="3">
        <v>18</v>
      </c>
      <c r="M4117" s="3" t="s">
        <v>10101</v>
      </c>
      <c r="N4117" s="3" t="str">
        <f>HYPERLINK("http://ictvonline.org/taxonomyHistory.asp?taxnode_id=20164323","ICTVonline=20164323")</f>
        <v>ICTVonline=20164323</v>
      </c>
    </row>
    <row r="4118" spans="1:14" x14ac:dyDescent="0.15">
      <c r="A4118" s="3">
        <v>4117</v>
      </c>
      <c r="B4118" s="1" t="s">
        <v>926</v>
      </c>
      <c r="C4118" s="1" t="s">
        <v>865</v>
      </c>
      <c r="E4118" s="1" t="s">
        <v>866</v>
      </c>
      <c r="F4118" s="1" t="s">
        <v>1356</v>
      </c>
      <c r="G4118" s="3">
        <v>0</v>
      </c>
      <c r="J4118" s="20" t="s">
        <v>3160</v>
      </c>
      <c r="K4118" s="20" t="s">
        <v>10013</v>
      </c>
      <c r="L4118" s="3">
        <v>23</v>
      </c>
      <c r="M4118" s="3" t="s">
        <v>10229</v>
      </c>
      <c r="N4118" s="3" t="str">
        <f>HYPERLINK("http://ictvonline.org/taxonomyHistory.asp?taxnode_id=20164324","ICTVonline=20164324")</f>
        <v>ICTVonline=20164324</v>
      </c>
    </row>
    <row r="4119" spans="1:14" x14ac:dyDescent="0.15">
      <c r="A4119" s="3">
        <v>4118</v>
      </c>
      <c r="B4119" s="1" t="s">
        <v>926</v>
      </c>
      <c r="C4119" s="1" t="s">
        <v>865</v>
      </c>
      <c r="E4119" s="1" t="s">
        <v>866</v>
      </c>
      <c r="F4119" s="1" t="s">
        <v>788</v>
      </c>
      <c r="G4119" s="3">
        <v>0</v>
      </c>
      <c r="J4119" s="20" t="s">
        <v>3160</v>
      </c>
      <c r="K4119" s="20" t="s">
        <v>10013</v>
      </c>
      <c r="L4119" s="3">
        <v>23</v>
      </c>
      <c r="M4119" s="3" t="s">
        <v>10229</v>
      </c>
      <c r="N4119" s="3" t="str">
        <f>HYPERLINK("http://ictvonline.org/taxonomyHistory.asp?taxnode_id=20164325","ICTVonline=20164325")</f>
        <v>ICTVonline=20164325</v>
      </c>
    </row>
    <row r="4120" spans="1:14" x14ac:dyDescent="0.15">
      <c r="A4120" s="3">
        <v>4119</v>
      </c>
      <c r="B4120" s="1" t="s">
        <v>926</v>
      </c>
      <c r="C4120" s="1" t="s">
        <v>865</v>
      </c>
      <c r="E4120" s="1" t="s">
        <v>866</v>
      </c>
      <c r="F4120" s="1" t="s">
        <v>789</v>
      </c>
      <c r="G4120" s="3">
        <v>0</v>
      </c>
      <c r="J4120" s="20" t="s">
        <v>3160</v>
      </c>
      <c r="K4120" s="20" t="s">
        <v>10013</v>
      </c>
      <c r="L4120" s="3">
        <v>20</v>
      </c>
      <c r="M4120" s="3" t="s">
        <v>10115</v>
      </c>
      <c r="N4120" s="3" t="str">
        <f>HYPERLINK("http://ictvonline.org/taxonomyHistory.asp?taxnode_id=20164326","ICTVonline=20164326")</f>
        <v>ICTVonline=20164326</v>
      </c>
    </row>
    <row r="4121" spans="1:14" x14ac:dyDescent="0.15">
      <c r="A4121" s="3">
        <v>4120</v>
      </c>
      <c r="B4121" s="1" t="s">
        <v>926</v>
      </c>
      <c r="C4121" s="1" t="s">
        <v>865</v>
      </c>
      <c r="E4121" s="1" t="s">
        <v>866</v>
      </c>
      <c r="F4121" s="1" t="s">
        <v>790</v>
      </c>
      <c r="G4121" s="3">
        <v>0</v>
      </c>
      <c r="J4121" s="20" t="s">
        <v>3160</v>
      </c>
      <c r="K4121" s="20" t="s">
        <v>10016</v>
      </c>
      <c r="L4121" s="3">
        <v>2</v>
      </c>
      <c r="M4121" s="3" t="s">
        <v>10399</v>
      </c>
      <c r="N4121" s="3" t="str">
        <f>HYPERLINK("http://ictvonline.org/taxonomyHistory.asp?taxnode_id=20164327","ICTVonline=20164327")</f>
        <v>ICTVonline=20164327</v>
      </c>
    </row>
    <row r="4122" spans="1:14" x14ac:dyDescent="0.15">
      <c r="A4122" s="3">
        <v>4121</v>
      </c>
      <c r="B4122" s="1" t="s">
        <v>926</v>
      </c>
      <c r="C4122" s="1" t="s">
        <v>865</v>
      </c>
      <c r="E4122" s="1" t="s">
        <v>866</v>
      </c>
      <c r="F4122" s="1" t="s">
        <v>1878</v>
      </c>
      <c r="G4122" s="3">
        <v>0</v>
      </c>
      <c r="J4122" s="20" t="s">
        <v>3160</v>
      </c>
      <c r="K4122" s="20" t="s">
        <v>10016</v>
      </c>
      <c r="L4122" s="3">
        <v>2</v>
      </c>
      <c r="M4122" s="3" t="s">
        <v>10399</v>
      </c>
      <c r="N4122" s="3" t="str">
        <f>HYPERLINK("http://ictvonline.org/taxonomyHistory.asp?taxnode_id=20164328","ICTVonline=20164328")</f>
        <v>ICTVonline=20164328</v>
      </c>
    </row>
    <row r="4123" spans="1:14" x14ac:dyDescent="0.15">
      <c r="A4123" s="3">
        <v>4122</v>
      </c>
      <c r="B4123" s="1" t="s">
        <v>926</v>
      </c>
      <c r="C4123" s="1" t="s">
        <v>865</v>
      </c>
      <c r="E4123" s="1" t="s">
        <v>866</v>
      </c>
      <c r="F4123" s="1" t="s">
        <v>1879</v>
      </c>
      <c r="G4123" s="3">
        <v>0</v>
      </c>
      <c r="J4123" s="20" t="s">
        <v>3160</v>
      </c>
      <c r="K4123" s="20" t="s">
        <v>10016</v>
      </c>
      <c r="L4123" s="3">
        <v>2</v>
      </c>
      <c r="M4123" s="3" t="s">
        <v>10399</v>
      </c>
      <c r="N4123" s="3" t="str">
        <f>HYPERLINK("http://ictvonline.org/taxonomyHistory.asp?taxnode_id=20164329","ICTVonline=20164329")</f>
        <v>ICTVonline=20164329</v>
      </c>
    </row>
    <row r="4124" spans="1:14" x14ac:dyDescent="0.15">
      <c r="A4124" s="3">
        <v>4123</v>
      </c>
      <c r="B4124" s="1" t="s">
        <v>926</v>
      </c>
      <c r="C4124" s="1" t="s">
        <v>865</v>
      </c>
      <c r="E4124" s="1" t="s">
        <v>866</v>
      </c>
      <c r="F4124" s="1" t="s">
        <v>1880</v>
      </c>
      <c r="G4124" s="3">
        <v>0</v>
      </c>
      <c r="J4124" s="20" t="s">
        <v>3160</v>
      </c>
      <c r="K4124" s="20" t="s">
        <v>10016</v>
      </c>
      <c r="L4124" s="3">
        <v>2</v>
      </c>
      <c r="M4124" s="3" t="s">
        <v>10399</v>
      </c>
      <c r="N4124" s="3" t="str">
        <f>HYPERLINK("http://ictvonline.org/taxonomyHistory.asp?taxnode_id=20164330","ICTVonline=20164330")</f>
        <v>ICTVonline=20164330</v>
      </c>
    </row>
    <row r="4125" spans="1:14" x14ac:dyDescent="0.15">
      <c r="A4125" s="3">
        <v>4124</v>
      </c>
      <c r="B4125" s="1" t="s">
        <v>926</v>
      </c>
      <c r="C4125" s="1" t="s">
        <v>865</v>
      </c>
      <c r="E4125" s="1" t="s">
        <v>1881</v>
      </c>
      <c r="F4125" s="1" t="s">
        <v>1882</v>
      </c>
      <c r="G4125" s="3">
        <v>1</v>
      </c>
      <c r="J4125" s="20" t="s">
        <v>3160</v>
      </c>
      <c r="K4125" s="20" t="s">
        <v>10072</v>
      </c>
      <c r="L4125" s="3">
        <v>3</v>
      </c>
      <c r="M4125" s="3" t="s">
        <v>10403</v>
      </c>
      <c r="N4125" s="3" t="str">
        <f>HYPERLINK("http://ictvonline.org/taxonomyHistory.asp?taxnode_id=20164332","ICTVonline=20164332")</f>
        <v>ICTVonline=20164332</v>
      </c>
    </row>
    <row r="4126" spans="1:14" x14ac:dyDescent="0.15">
      <c r="A4126" s="3">
        <v>4125</v>
      </c>
      <c r="B4126" s="1" t="s">
        <v>926</v>
      </c>
      <c r="C4126" s="1" t="s">
        <v>9756</v>
      </c>
      <c r="E4126" s="1" t="s">
        <v>9757</v>
      </c>
      <c r="F4126" s="1" t="s">
        <v>9758</v>
      </c>
      <c r="G4126" s="3">
        <v>0</v>
      </c>
      <c r="H4126" s="20" t="s">
        <v>9759</v>
      </c>
      <c r="I4126" s="20" t="s">
        <v>9760</v>
      </c>
      <c r="J4126" s="20" t="s">
        <v>3165</v>
      </c>
      <c r="K4126" s="20" t="s">
        <v>10013</v>
      </c>
      <c r="L4126" s="3">
        <v>31</v>
      </c>
      <c r="M4126" s="3" t="s">
        <v>9761</v>
      </c>
      <c r="N4126" s="3" t="str">
        <f>HYPERLINK("http://ictvonline.org/taxonomyHistory.asp?taxnode_id=20165430","ICTVonline=20165430")</f>
        <v>ICTVonline=20165430</v>
      </c>
    </row>
    <row r="4127" spans="1:14" x14ac:dyDescent="0.15">
      <c r="A4127" s="3">
        <v>4126</v>
      </c>
      <c r="B4127" s="1" t="s">
        <v>926</v>
      </c>
      <c r="C4127" s="1" t="s">
        <v>9756</v>
      </c>
      <c r="E4127" s="1" t="s">
        <v>9757</v>
      </c>
      <c r="F4127" s="1" t="s">
        <v>9762</v>
      </c>
      <c r="G4127" s="3">
        <v>0</v>
      </c>
      <c r="H4127" s="20" t="s">
        <v>9763</v>
      </c>
      <c r="I4127" s="20" t="s">
        <v>9764</v>
      </c>
      <c r="J4127" s="20" t="s">
        <v>3165</v>
      </c>
      <c r="K4127" s="20" t="s">
        <v>10013</v>
      </c>
      <c r="L4127" s="3">
        <v>31</v>
      </c>
      <c r="M4127" s="3" t="s">
        <v>9761</v>
      </c>
      <c r="N4127" s="3" t="str">
        <f>HYPERLINK("http://ictvonline.org/taxonomyHistory.asp?taxnode_id=20165431","ICTVonline=20165431")</f>
        <v>ICTVonline=20165431</v>
      </c>
    </row>
    <row r="4128" spans="1:14" x14ac:dyDescent="0.15">
      <c r="A4128" s="3">
        <v>4127</v>
      </c>
      <c r="B4128" s="1" t="s">
        <v>926</v>
      </c>
      <c r="C4128" s="1" t="s">
        <v>9756</v>
      </c>
      <c r="E4128" s="1" t="s">
        <v>9757</v>
      </c>
      <c r="F4128" s="1" t="s">
        <v>9765</v>
      </c>
      <c r="G4128" s="3">
        <v>0</v>
      </c>
      <c r="H4128" s="20" t="s">
        <v>9766</v>
      </c>
      <c r="I4128" s="20" t="s">
        <v>9767</v>
      </c>
      <c r="J4128" s="20" t="s">
        <v>3165</v>
      </c>
      <c r="K4128" s="20" t="s">
        <v>10013</v>
      </c>
      <c r="L4128" s="3">
        <v>31</v>
      </c>
      <c r="M4128" s="3" t="s">
        <v>9761</v>
      </c>
      <c r="N4128" s="3" t="str">
        <f>HYPERLINK("http://ictvonline.org/taxonomyHistory.asp?taxnode_id=20165432","ICTVonline=20165432")</f>
        <v>ICTVonline=20165432</v>
      </c>
    </row>
    <row r="4129" spans="1:14" x14ac:dyDescent="0.15">
      <c r="A4129" s="3">
        <v>4128</v>
      </c>
      <c r="B4129" s="1" t="s">
        <v>926</v>
      </c>
      <c r="C4129" s="1" t="s">
        <v>9756</v>
      </c>
      <c r="E4129" s="1" t="s">
        <v>9757</v>
      </c>
      <c r="F4129" s="1" t="s">
        <v>9768</v>
      </c>
      <c r="G4129" s="3">
        <v>1</v>
      </c>
      <c r="H4129" s="20" t="s">
        <v>9769</v>
      </c>
      <c r="I4129" s="20" t="s">
        <v>9770</v>
      </c>
      <c r="J4129" s="20" t="s">
        <v>3165</v>
      </c>
      <c r="K4129" s="20" t="s">
        <v>10013</v>
      </c>
      <c r="L4129" s="3">
        <v>31</v>
      </c>
      <c r="M4129" s="3" t="s">
        <v>9761</v>
      </c>
      <c r="N4129" s="3" t="str">
        <f>HYPERLINK("http://ictvonline.org/taxonomyHistory.asp?taxnode_id=20165433","ICTVonline=20165433")</f>
        <v>ICTVonline=20165433</v>
      </c>
    </row>
    <row r="4130" spans="1:14" x14ac:dyDescent="0.15">
      <c r="A4130" s="3">
        <v>4129</v>
      </c>
      <c r="B4130" s="1" t="s">
        <v>926</v>
      </c>
      <c r="C4130" s="1" t="s">
        <v>9756</v>
      </c>
      <c r="E4130" s="1" t="s">
        <v>9757</v>
      </c>
      <c r="F4130" s="1" t="s">
        <v>9771</v>
      </c>
      <c r="G4130" s="3">
        <v>0</v>
      </c>
      <c r="H4130" s="20" t="s">
        <v>9772</v>
      </c>
      <c r="I4130" s="20" t="s">
        <v>9773</v>
      </c>
      <c r="J4130" s="20" t="s">
        <v>3165</v>
      </c>
      <c r="K4130" s="20" t="s">
        <v>10013</v>
      </c>
      <c r="L4130" s="3">
        <v>31</v>
      </c>
      <c r="M4130" s="3" t="s">
        <v>9761</v>
      </c>
      <c r="N4130" s="3" t="str">
        <f>HYPERLINK("http://ictvonline.org/taxonomyHistory.asp?taxnode_id=20165434","ICTVonline=20165434")</f>
        <v>ICTVonline=20165434</v>
      </c>
    </row>
    <row r="4131" spans="1:14" x14ac:dyDescent="0.15">
      <c r="A4131" s="3">
        <v>4130</v>
      </c>
      <c r="B4131" s="1" t="s">
        <v>926</v>
      </c>
      <c r="C4131" s="1" t="s">
        <v>9756</v>
      </c>
      <c r="E4131" s="1" t="s">
        <v>9757</v>
      </c>
      <c r="F4131" s="1" t="s">
        <v>9774</v>
      </c>
      <c r="G4131" s="3">
        <v>0</v>
      </c>
      <c r="H4131" s="20" t="s">
        <v>9775</v>
      </c>
      <c r="I4131" s="20" t="s">
        <v>9776</v>
      </c>
      <c r="J4131" s="20" t="s">
        <v>3165</v>
      </c>
      <c r="K4131" s="20" t="s">
        <v>10013</v>
      </c>
      <c r="L4131" s="3">
        <v>31</v>
      </c>
      <c r="M4131" s="3" t="s">
        <v>9761</v>
      </c>
      <c r="N4131" s="3" t="str">
        <f>HYPERLINK("http://ictvonline.org/taxonomyHistory.asp?taxnode_id=20165435","ICTVonline=20165435")</f>
        <v>ICTVonline=20165435</v>
      </c>
    </row>
    <row r="4132" spans="1:14" x14ac:dyDescent="0.15">
      <c r="A4132" s="3">
        <v>4131</v>
      </c>
      <c r="B4132" s="1" t="s">
        <v>926</v>
      </c>
      <c r="C4132" s="1" t="s">
        <v>9756</v>
      </c>
      <c r="E4132" s="1" t="s">
        <v>9757</v>
      </c>
      <c r="F4132" s="1" t="s">
        <v>9777</v>
      </c>
      <c r="G4132" s="3">
        <v>0</v>
      </c>
      <c r="H4132" s="20" t="s">
        <v>9778</v>
      </c>
      <c r="I4132" s="20" t="s">
        <v>9779</v>
      </c>
      <c r="J4132" s="20" t="s">
        <v>3165</v>
      </c>
      <c r="K4132" s="20" t="s">
        <v>10013</v>
      </c>
      <c r="L4132" s="3">
        <v>31</v>
      </c>
      <c r="M4132" s="3" t="s">
        <v>9761</v>
      </c>
      <c r="N4132" s="3" t="str">
        <f>HYPERLINK("http://ictvonline.org/taxonomyHistory.asp?taxnode_id=20165436","ICTVonline=20165436")</f>
        <v>ICTVonline=20165436</v>
      </c>
    </row>
    <row r="4133" spans="1:14" x14ac:dyDescent="0.15">
      <c r="A4133" s="3">
        <v>4132</v>
      </c>
      <c r="B4133" s="1" t="s">
        <v>926</v>
      </c>
      <c r="C4133" s="1" t="s">
        <v>9756</v>
      </c>
      <c r="E4133" s="1" t="s">
        <v>9757</v>
      </c>
      <c r="F4133" s="1" t="s">
        <v>9780</v>
      </c>
      <c r="G4133" s="3">
        <v>0</v>
      </c>
      <c r="H4133" s="20" t="s">
        <v>9781</v>
      </c>
      <c r="I4133" s="20" t="s">
        <v>9782</v>
      </c>
      <c r="J4133" s="20" t="s">
        <v>3165</v>
      </c>
      <c r="K4133" s="20" t="s">
        <v>10013</v>
      </c>
      <c r="L4133" s="3">
        <v>31</v>
      </c>
      <c r="M4133" s="3" t="s">
        <v>9761</v>
      </c>
      <c r="N4133" s="3" t="str">
        <f>HYPERLINK("http://ictvonline.org/taxonomyHistory.asp?taxnode_id=20165437","ICTVonline=20165437")</f>
        <v>ICTVonline=20165437</v>
      </c>
    </row>
    <row r="4134" spans="1:14" x14ac:dyDescent="0.15">
      <c r="A4134" s="3">
        <v>4133</v>
      </c>
      <c r="B4134" s="1" t="s">
        <v>926</v>
      </c>
      <c r="C4134" s="1" t="s">
        <v>9756</v>
      </c>
      <c r="E4134" s="1" t="s">
        <v>9757</v>
      </c>
      <c r="F4134" s="1" t="s">
        <v>9783</v>
      </c>
      <c r="G4134" s="3">
        <v>0</v>
      </c>
      <c r="H4134" s="20" t="s">
        <v>9784</v>
      </c>
      <c r="I4134" s="20" t="s">
        <v>9785</v>
      </c>
      <c r="J4134" s="20" t="s">
        <v>3165</v>
      </c>
      <c r="K4134" s="20" t="s">
        <v>10013</v>
      </c>
      <c r="L4134" s="3">
        <v>31</v>
      </c>
      <c r="M4134" s="3" t="s">
        <v>9761</v>
      </c>
      <c r="N4134" s="3" t="str">
        <f>HYPERLINK("http://ictvonline.org/taxonomyHistory.asp?taxnode_id=20165438","ICTVonline=20165438")</f>
        <v>ICTVonline=20165438</v>
      </c>
    </row>
    <row r="4135" spans="1:14" x14ac:dyDescent="0.15">
      <c r="A4135" s="3">
        <v>4134</v>
      </c>
      <c r="B4135" s="1" t="s">
        <v>926</v>
      </c>
      <c r="C4135" s="1" t="s">
        <v>9756</v>
      </c>
      <c r="E4135" s="1" t="s">
        <v>9757</v>
      </c>
      <c r="F4135" s="1" t="s">
        <v>9786</v>
      </c>
      <c r="G4135" s="3">
        <v>0</v>
      </c>
      <c r="H4135" s="20" t="s">
        <v>9787</v>
      </c>
      <c r="I4135" s="20" t="s">
        <v>9788</v>
      </c>
      <c r="J4135" s="20" t="s">
        <v>3165</v>
      </c>
      <c r="K4135" s="20" t="s">
        <v>10013</v>
      </c>
      <c r="L4135" s="3">
        <v>31</v>
      </c>
      <c r="M4135" s="3" t="s">
        <v>9761</v>
      </c>
      <c r="N4135" s="3" t="str">
        <f>HYPERLINK("http://ictvonline.org/taxonomyHistory.asp?taxnode_id=20165439","ICTVonline=20165439")</f>
        <v>ICTVonline=20165439</v>
      </c>
    </row>
    <row r="4136" spans="1:14" x14ac:dyDescent="0.15">
      <c r="A4136" s="3">
        <v>4135</v>
      </c>
      <c r="B4136" s="1" t="s">
        <v>926</v>
      </c>
      <c r="C4136" s="1" t="s">
        <v>9756</v>
      </c>
      <c r="E4136" s="1" t="s">
        <v>9757</v>
      </c>
      <c r="F4136" s="1" t="s">
        <v>9789</v>
      </c>
      <c r="G4136" s="3">
        <v>0</v>
      </c>
      <c r="H4136" s="20" t="s">
        <v>9790</v>
      </c>
      <c r="I4136" s="20" t="s">
        <v>9791</v>
      </c>
      <c r="J4136" s="20" t="s">
        <v>3165</v>
      </c>
      <c r="K4136" s="20" t="s">
        <v>10013</v>
      </c>
      <c r="L4136" s="3">
        <v>31</v>
      </c>
      <c r="M4136" s="3" t="s">
        <v>9761</v>
      </c>
      <c r="N4136" s="3" t="str">
        <f>HYPERLINK("http://ictvonline.org/taxonomyHistory.asp?taxnode_id=20165440","ICTVonline=20165440")</f>
        <v>ICTVonline=20165440</v>
      </c>
    </row>
    <row r="4137" spans="1:14" x14ac:dyDescent="0.15">
      <c r="A4137" s="3">
        <v>4136</v>
      </c>
      <c r="B4137" s="1" t="s">
        <v>926</v>
      </c>
      <c r="C4137" s="1" t="s">
        <v>9756</v>
      </c>
      <c r="E4137" s="1" t="s">
        <v>9757</v>
      </c>
      <c r="F4137" s="1" t="s">
        <v>9792</v>
      </c>
      <c r="G4137" s="3">
        <v>0</v>
      </c>
      <c r="H4137" s="20" t="s">
        <v>9793</v>
      </c>
      <c r="I4137" s="20" t="s">
        <v>9794</v>
      </c>
      <c r="J4137" s="20" t="s">
        <v>3165</v>
      </c>
      <c r="K4137" s="20" t="s">
        <v>10013</v>
      </c>
      <c r="L4137" s="3">
        <v>31</v>
      </c>
      <c r="M4137" s="3" t="s">
        <v>9761</v>
      </c>
      <c r="N4137" s="3" t="str">
        <f>HYPERLINK("http://ictvonline.org/taxonomyHistory.asp?taxnode_id=20165441","ICTVonline=20165441")</f>
        <v>ICTVonline=20165441</v>
      </c>
    </row>
    <row r="4138" spans="1:14" x14ac:dyDescent="0.15">
      <c r="A4138" s="3">
        <v>4137</v>
      </c>
      <c r="B4138" s="1" t="s">
        <v>926</v>
      </c>
      <c r="C4138" s="1" t="s">
        <v>9756</v>
      </c>
      <c r="E4138" s="1" t="s">
        <v>9757</v>
      </c>
      <c r="F4138" s="1" t="s">
        <v>9795</v>
      </c>
      <c r="G4138" s="3">
        <v>0</v>
      </c>
      <c r="H4138" s="20" t="s">
        <v>9796</v>
      </c>
      <c r="I4138" s="20" t="s">
        <v>9797</v>
      </c>
      <c r="J4138" s="20" t="s">
        <v>3165</v>
      </c>
      <c r="K4138" s="20" t="s">
        <v>10013</v>
      </c>
      <c r="L4138" s="3">
        <v>31</v>
      </c>
      <c r="M4138" s="3" t="s">
        <v>9761</v>
      </c>
      <c r="N4138" s="3" t="str">
        <f>HYPERLINK("http://ictvonline.org/taxonomyHistory.asp?taxnode_id=20165442","ICTVonline=20165442")</f>
        <v>ICTVonline=20165442</v>
      </c>
    </row>
    <row r="4139" spans="1:14" x14ac:dyDescent="0.15">
      <c r="A4139" s="3">
        <v>4138</v>
      </c>
      <c r="B4139" s="1" t="s">
        <v>926</v>
      </c>
      <c r="C4139" s="1" t="s">
        <v>9756</v>
      </c>
      <c r="E4139" s="1" t="s">
        <v>9757</v>
      </c>
      <c r="F4139" s="1" t="s">
        <v>9798</v>
      </c>
      <c r="G4139" s="3">
        <v>0</v>
      </c>
      <c r="H4139" s="20" t="s">
        <v>9799</v>
      </c>
      <c r="I4139" s="20" t="s">
        <v>9800</v>
      </c>
      <c r="J4139" s="20" t="s">
        <v>3165</v>
      </c>
      <c r="K4139" s="20" t="s">
        <v>10013</v>
      </c>
      <c r="L4139" s="3">
        <v>31</v>
      </c>
      <c r="M4139" s="3" t="s">
        <v>9761</v>
      </c>
      <c r="N4139" s="3" t="str">
        <f>HYPERLINK("http://ictvonline.org/taxonomyHistory.asp?taxnode_id=20165443","ICTVonline=20165443")</f>
        <v>ICTVonline=20165443</v>
      </c>
    </row>
    <row r="4140" spans="1:14" x14ac:dyDescent="0.15">
      <c r="A4140" s="3">
        <v>4139</v>
      </c>
      <c r="B4140" s="1" t="s">
        <v>926</v>
      </c>
      <c r="C4140" s="1" t="s">
        <v>9756</v>
      </c>
      <c r="E4140" s="1" t="s">
        <v>9757</v>
      </c>
      <c r="F4140" s="1" t="s">
        <v>9801</v>
      </c>
      <c r="G4140" s="3">
        <v>0</v>
      </c>
      <c r="H4140" s="20" t="s">
        <v>9802</v>
      </c>
      <c r="I4140" s="20" t="s">
        <v>9803</v>
      </c>
      <c r="J4140" s="20" t="s">
        <v>3165</v>
      </c>
      <c r="K4140" s="20" t="s">
        <v>10013</v>
      </c>
      <c r="L4140" s="3">
        <v>31</v>
      </c>
      <c r="M4140" s="3" t="s">
        <v>9761</v>
      </c>
      <c r="N4140" s="3" t="str">
        <f>HYPERLINK("http://ictvonline.org/taxonomyHistory.asp?taxnode_id=20165444","ICTVonline=20165444")</f>
        <v>ICTVonline=20165444</v>
      </c>
    </row>
    <row r="4141" spans="1:14" x14ac:dyDescent="0.15">
      <c r="A4141" s="3">
        <v>4140</v>
      </c>
      <c r="B4141" s="1" t="s">
        <v>926</v>
      </c>
      <c r="C4141" s="1" t="s">
        <v>9756</v>
      </c>
      <c r="E4141" s="1" t="s">
        <v>9757</v>
      </c>
      <c r="F4141" s="1" t="s">
        <v>9804</v>
      </c>
      <c r="G4141" s="3">
        <v>0</v>
      </c>
      <c r="H4141" s="20" t="s">
        <v>9805</v>
      </c>
      <c r="I4141" s="20" t="s">
        <v>9806</v>
      </c>
      <c r="J4141" s="20" t="s">
        <v>3165</v>
      </c>
      <c r="K4141" s="20" t="s">
        <v>10013</v>
      </c>
      <c r="L4141" s="3">
        <v>31</v>
      </c>
      <c r="M4141" s="3" t="s">
        <v>9761</v>
      </c>
      <c r="N4141" s="3" t="str">
        <f>HYPERLINK("http://ictvonline.org/taxonomyHistory.asp?taxnode_id=20165445","ICTVonline=20165445")</f>
        <v>ICTVonline=20165445</v>
      </c>
    </row>
    <row r="4142" spans="1:14" x14ac:dyDescent="0.15">
      <c r="A4142" s="3">
        <v>4141</v>
      </c>
      <c r="B4142" s="1" t="s">
        <v>926</v>
      </c>
      <c r="C4142" s="1" t="s">
        <v>9756</v>
      </c>
      <c r="E4142" s="1" t="s">
        <v>9757</v>
      </c>
      <c r="F4142" s="1" t="s">
        <v>9807</v>
      </c>
      <c r="G4142" s="3">
        <v>0</v>
      </c>
      <c r="H4142" s="20" t="s">
        <v>9808</v>
      </c>
      <c r="I4142" s="20" t="s">
        <v>9809</v>
      </c>
      <c r="J4142" s="20" t="s">
        <v>3165</v>
      </c>
      <c r="K4142" s="20" t="s">
        <v>10013</v>
      </c>
      <c r="L4142" s="3">
        <v>31</v>
      </c>
      <c r="M4142" s="3" t="s">
        <v>9761</v>
      </c>
      <c r="N4142" s="3" t="str">
        <f>HYPERLINK("http://ictvonline.org/taxonomyHistory.asp?taxnode_id=20165446","ICTVonline=20165446")</f>
        <v>ICTVonline=20165446</v>
      </c>
    </row>
    <row r="4143" spans="1:14" x14ac:dyDescent="0.15">
      <c r="A4143" s="3">
        <v>4142</v>
      </c>
      <c r="B4143" s="1" t="s">
        <v>926</v>
      </c>
      <c r="C4143" s="1" t="s">
        <v>9756</v>
      </c>
      <c r="E4143" s="1" t="s">
        <v>9757</v>
      </c>
      <c r="F4143" s="1" t="s">
        <v>9810</v>
      </c>
      <c r="G4143" s="3">
        <v>0</v>
      </c>
      <c r="H4143" s="20" t="s">
        <v>9811</v>
      </c>
      <c r="I4143" s="20" t="s">
        <v>9812</v>
      </c>
      <c r="J4143" s="20" t="s">
        <v>3165</v>
      </c>
      <c r="K4143" s="20" t="s">
        <v>10013</v>
      </c>
      <c r="L4143" s="3">
        <v>31</v>
      </c>
      <c r="M4143" s="3" t="s">
        <v>9761</v>
      </c>
      <c r="N4143" s="3" t="str">
        <f>HYPERLINK("http://ictvonline.org/taxonomyHistory.asp?taxnode_id=20165447","ICTVonline=20165447")</f>
        <v>ICTVonline=20165447</v>
      </c>
    </row>
    <row r="4144" spans="1:14" x14ac:dyDescent="0.15">
      <c r="A4144" s="3">
        <v>4143</v>
      </c>
      <c r="B4144" s="1" t="s">
        <v>926</v>
      </c>
      <c r="C4144" s="1" t="s">
        <v>9756</v>
      </c>
      <c r="E4144" s="1" t="s">
        <v>9757</v>
      </c>
      <c r="F4144" s="1" t="s">
        <v>9813</v>
      </c>
      <c r="G4144" s="3">
        <v>0</v>
      </c>
      <c r="H4144" s="20" t="s">
        <v>9814</v>
      </c>
      <c r="I4144" s="20" t="s">
        <v>9815</v>
      </c>
      <c r="J4144" s="20" t="s">
        <v>3165</v>
      </c>
      <c r="K4144" s="20" t="s">
        <v>10013</v>
      </c>
      <c r="L4144" s="3">
        <v>31</v>
      </c>
      <c r="M4144" s="3" t="s">
        <v>9761</v>
      </c>
      <c r="N4144" s="3" t="str">
        <f>HYPERLINK("http://ictvonline.org/taxonomyHistory.asp?taxnode_id=20165448","ICTVonline=20165448")</f>
        <v>ICTVonline=20165448</v>
      </c>
    </row>
    <row r="4145" spans="1:14" x14ac:dyDescent="0.15">
      <c r="A4145" s="3">
        <v>4144</v>
      </c>
      <c r="B4145" s="1" t="s">
        <v>926</v>
      </c>
      <c r="C4145" s="1" t="s">
        <v>9756</v>
      </c>
      <c r="E4145" s="1" t="s">
        <v>9757</v>
      </c>
      <c r="F4145" s="1" t="s">
        <v>9816</v>
      </c>
      <c r="G4145" s="3">
        <v>0</v>
      </c>
      <c r="H4145" s="20" t="s">
        <v>9817</v>
      </c>
      <c r="I4145" s="20" t="s">
        <v>9818</v>
      </c>
      <c r="J4145" s="20" t="s">
        <v>3165</v>
      </c>
      <c r="K4145" s="20" t="s">
        <v>10013</v>
      </c>
      <c r="L4145" s="3">
        <v>31</v>
      </c>
      <c r="M4145" s="3" t="s">
        <v>9761</v>
      </c>
      <c r="N4145" s="3" t="str">
        <f>HYPERLINK("http://ictvonline.org/taxonomyHistory.asp?taxnode_id=20165449","ICTVonline=20165449")</f>
        <v>ICTVonline=20165449</v>
      </c>
    </row>
    <row r="4146" spans="1:14" x14ac:dyDescent="0.15">
      <c r="A4146" s="3">
        <v>4145</v>
      </c>
      <c r="B4146" s="1" t="s">
        <v>926</v>
      </c>
      <c r="C4146" s="1" t="s">
        <v>9756</v>
      </c>
      <c r="E4146" s="1" t="s">
        <v>9757</v>
      </c>
      <c r="F4146" s="1" t="s">
        <v>9819</v>
      </c>
      <c r="G4146" s="3">
        <v>0</v>
      </c>
      <c r="H4146" s="20" t="s">
        <v>9820</v>
      </c>
      <c r="I4146" s="20" t="s">
        <v>9821</v>
      </c>
      <c r="J4146" s="20" t="s">
        <v>3165</v>
      </c>
      <c r="K4146" s="20" t="s">
        <v>10013</v>
      </c>
      <c r="L4146" s="3">
        <v>31</v>
      </c>
      <c r="M4146" s="3" t="s">
        <v>9761</v>
      </c>
      <c r="N4146" s="3" t="str">
        <f>HYPERLINK("http://ictvonline.org/taxonomyHistory.asp?taxnode_id=20165450","ICTVonline=20165450")</f>
        <v>ICTVonline=20165450</v>
      </c>
    </row>
    <row r="4147" spans="1:14" x14ac:dyDescent="0.15">
      <c r="A4147" s="3">
        <v>4146</v>
      </c>
      <c r="B4147" s="1" t="s">
        <v>926</v>
      </c>
      <c r="C4147" s="1" t="s">
        <v>9756</v>
      </c>
      <c r="E4147" s="1" t="s">
        <v>9757</v>
      </c>
      <c r="F4147" s="1" t="s">
        <v>9822</v>
      </c>
      <c r="G4147" s="3">
        <v>0</v>
      </c>
      <c r="H4147" s="20" t="s">
        <v>9823</v>
      </c>
      <c r="I4147" s="20" t="s">
        <v>9824</v>
      </c>
      <c r="J4147" s="20" t="s">
        <v>3165</v>
      </c>
      <c r="K4147" s="20" t="s">
        <v>10013</v>
      </c>
      <c r="L4147" s="3">
        <v>31</v>
      </c>
      <c r="M4147" s="3" t="s">
        <v>9761</v>
      </c>
      <c r="N4147" s="3" t="str">
        <f>HYPERLINK("http://ictvonline.org/taxonomyHistory.asp?taxnode_id=20165451","ICTVonline=20165451")</f>
        <v>ICTVonline=20165451</v>
      </c>
    </row>
    <row r="4148" spans="1:14" x14ac:dyDescent="0.15">
      <c r="A4148" s="3">
        <v>4147</v>
      </c>
      <c r="B4148" s="1" t="s">
        <v>926</v>
      </c>
      <c r="C4148" s="1" t="s">
        <v>9756</v>
      </c>
      <c r="E4148" s="1" t="s">
        <v>9757</v>
      </c>
      <c r="F4148" s="1" t="s">
        <v>9825</v>
      </c>
      <c r="G4148" s="3">
        <v>0</v>
      </c>
      <c r="H4148" s="20" t="s">
        <v>9826</v>
      </c>
      <c r="I4148" s="20" t="s">
        <v>9827</v>
      </c>
      <c r="J4148" s="20" t="s">
        <v>3165</v>
      </c>
      <c r="K4148" s="20" t="s">
        <v>10013</v>
      </c>
      <c r="L4148" s="3">
        <v>31</v>
      </c>
      <c r="M4148" s="3" t="s">
        <v>9761</v>
      </c>
      <c r="N4148" s="3" t="str">
        <f>HYPERLINK("http://ictvonline.org/taxonomyHistory.asp?taxnode_id=20165452","ICTVonline=20165452")</f>
        <v>ICTVonline=20165452</v>
      </c>
    </row>
    <row r="4149" spans="1:14" x14ac:dyDescent="0.15">
      <c r="A4149" s="3">
        <v>4148</v>
      </c>
      <c r="B4149" s="1" t="s">
        <v>926</v>
      </c>
      <c r="C4149" s="1" t="s">
        <v>9756</v>
      </c>
      <c r="E4149" s="1" t="s">
        <v>9757</v>
      </c>
      <c r="F4149" s="1" t="s">
        <v>9828</v>
      </c>
      <c r="G4149" s="3">
        <v>0</v>
      </c>
      <c r="H4149" s="20" t="s">
        <v>9829</v>
      </c>
      <c r="I4149" s="20" t="s">
        <v>9830</v>
      </c>
      <c r="J4149" s="20" t="s">
        <v>3165</v>
      </c>
      <c r="K4149" s="20" t="s">
        <v>10013</v>
      </c>
      <c r="L4149" s="3">
        <v>31</v>
      </c>
      <c r="M4149" s="3" t="s">
        <v>9761</v>
      </c>
      <c r="N4149" s="3" t="str">
        <f>HYPERLINK("http://ictvonline.org/taxonomyHistory.asp?taxnode_id=20165453","ICTVonline=20165453")</f>
        <v>ICTVonline=20165453</v>
      </c>
    </row>
    <row r="4150" spans="1:14" x14ac:dyDescent="0.15">
      <c r="A4150" s="3">
        <v>4149</v>
      </c>
      <c r="B4150" s="1" t="s">
        <v>926</v>
      </c>
      <c r="C4150" s="1" t="s">
        <v>9756</v>
      </c>
      <c r="E4150" s="1" t="s">
        <v>9757</v>
      </c>
      <c r="F4150" s="1" t="s">
        <v>9831</v>
      </c>
      <c r="G4150" s="3">
        <v>0</v>
      </c>
      <c r="H4150" s="20" t="s">
        <v>9832</v>
      </c>
      <c r="I4150" s="20" t="s">
        <v>9833</v>
      </c>
      <c r="J4150" s="20" t="s">
        <v>3165</v>
      </c>
      <c r="K4150" s="20" t="s">
        <v>10013</v>
      </c>
      <c r="L4150" s="3">
        <v>31</v>
      </c>
      <c r="M4150" s="3" t="s">
        <v>9761</v>
      </c>
      <c r="N4150" s="3" t="str">
        <f>HYPERLINK("http://ictvonline.org/taxonomyHistory.asp?taxnode_id=20165454","ICTVonline=20165454")</f>
        <v>ICTVonline=20165454</v>
      </c>
    </row>
    <row r="4151" spans="1:14" x14ac:dyDescent="0.15">
      <c r="A4151" s="3">
        <v>4150</v>
      </c>
      <c r="B4151" s="1" t="s">
        <v>926</v>
      </c>
      <c r="C4151" s="1" t="s">
        <v>9756</v>
      </c>
      <c r="E4151" s="1" t="s">
        <v>9757</v>
      </c>
      <c r="F4151" s="1" t="s">
        <v>9834</v>
      </c>
      <c r="G4151" s="3">
        <v>0</v>
      </c>
      <c r="H4151" s="20" t="s">
        <v>9835</v>
      </c>
      <c r="I4151" s="20" t="s">
        <v>9836</v>
      </c>
      <c r="J4151" s="20" t="s">
        <v>3165</v>
      </c>
      <c r="K4151" s="20" t="s">
        <v>10013</v>
      </c>
      <c r="L4151" s="3">
        <v>31</v>
      </c>
      <c r="M4151" s="3" t="s">
        <v>9761</v>
      </c>
      <c r="N4151" s="3" t="str">
        <f>HYPERLINK("http://ictvonline.org/taxonomyHistory.asp?taxnode_id=20165455","ICTVonline=20165455")</f>
        <v>ICTVonline=20165455</v>
      </c>
    </row>
    <row r="4152" spans="1:14" x14ac:dyDescent="0.15">
      <c r="A4152" s="3">
        <v>4151</v>
      </c>
      <c r="B4152" s="1" t="s">
        <v>926</v>
      </c>
      <c r="C4152" s="1" t="s">
        <v>9756</v>
      </c>
      <c r="E4152" s="1" t="s">
        <v>9757</v>
      </c>
      <c r="F4152" s="1" t="s">
        <v>9837</v>
      </c>
      <c r="G4152" s="3">
        <v>0</v>
      </c>
      <c r="H4152" s="20" t="s">
        <v>9838</v>
      </c>
      <c r="I4152" s="20" t="s">
        <v>9839</v>
      </c>
      <c r="J4152" s="20" t="s">
        <v>3165</v>
      </c>
      <c r="K4152" s="20" t="s">
        <v>10013</v>
      </c>
      <c r="L4152" s="3">
        <v>31</v>
      </c>
      <c r="M4152" s="3" t="s">
        <v>9761</v>
      </c>
      <c r="N4152" s="3" t="str">
        <f>HYPERLINK("http://ictvonline.org/taxonomyHistory.asp?taxnode_id=20165456","ICTVonline=20165456")</f>
        <v>ICTVonline=20165456</v>
      </c>
    </row>
    <row r="4153" spans="1:14" x14ac:dyDescent="0.15">
      <c r="A4153" s="3">
        <v>4152</v>
      </c>
      <c r="B4153" s="1" t="s">
        <v>926</v>
      </c>
      <c r="C4153" s="1" t="s">
        <v>9756</v>
      </c>
      <c r="E4153" s="1" t="s">
        <v>9757</v>
      </c>
      <c r="F4153" s="1" t="s">
        <v>9840</v>
      </c>
      <c r="G4153" s="3">
        <v>0</v>
      </c>
      <c r="H4153" s="20" t="s">
        <v>9841</v>
      </c>
      <c r="I4153" s="20" t="s">
        <v>9842</v>
      </c>
      <c r="J4153" s="20" t="s">
        <v>3165</v>
      </c>
      <c r="K4153" s="20" t="s">
        <v>10013</v>
      </c>
      <c r="L4153" s="3">
        <v>31</v>
      </c>
      <c r="M4153" s="3" t="s">
        <v>9761</v>
      </c>
      <c r="N4153" s="3" t="str">
        <f>HYPERLINK("http://ictvonline.org/taxonomyHistory.asp?taxnode_id=20165457","ICTVonline=20165457")</f>
        <v>ICTVonline=20165457</v>
      </c>
    </row>
    <row r="4154" spans="1:14" x14ac:dyDescent="0.15">
      <c r="A4154" s="3">
        <v>4153</v>
      </c>
      <c r="B4154" s="1" t="s">
        <v>926</v>
      </c>
      <c r="C4154" s="1" t="s">
        <v>9756</v>
      </c>
      <c r="E4154" s="1" t="s">
        <v>9757</v>
      </c>
      <c r="F4154" s="1" t="s">
        <v>9843</v>
      </c>
      <c r="G4154" s="3">
        <v>0</v>
      </c>
      <c r="H4154" s="20" t="s">
        <v>9844</v>
      </c>
      <c r="I4154" s="20" t="s">
        <v>9845</v>
      </c>
      <c r="J4154" s="20" t="s">
        <v>3165</v>
      </c>
      <c r="K4154" s="20" t="s">
        <v>10013</v>
      </c>
      <c r="L4154" s="3">
        <v>31</v>
      </c>
      <c r="M4154" s="3" t="s">
        <v>9761</v>
      </c>
      <c r="N4154" s="3" t="str">
        <f>HYPERLINK("http://ictvonline.org/taxonomyHistory.asp?taxnode_id=20165458","ICTVonline=20165458")</f>
        <v>ICTVonline=20165458</v>
      </c>
    </row>
    <row r="4155" spans="1:14" x14ac:dyDescent="0.15">
      <c r="A4155" s="3">
        <v>4154</v>
      </c>
      <c r="B4155" s="1" t="s">
        <v>926</v>
      </c>
      <c r="C4155" s="1" t="s">
        <v>9756</v>
      </c>
      <c r="E4155" s="1" t="s">
        <v>9757</v>
      </c>
      <c r="F4155" s="1" t="s">
        <v>9846</v>
      </c>
      <c r="G4155" s="3">
        <v>0</v>
      </c>
      <c r="H4155" s="20" t="s">
        <v>9847</v>
      </c>
      <c r="I4155" s="20" t="s">
        <v>9848</v>
      </c>
      <c r="J4155" s="20" t="s">
        <v>3165</v>
      </c>
      <c r="K4155" s="20" t="s">
        <v>10013</v>
      </c>
      <c r="L4155" s="3">
        <v>31</v>
      </c>
      <c r="M4155" s="3" t="s">
        <v>9761</v>
      </c>
      <c r="N4155" s="3" t="str">
        <f>HYPERLINK("http://ictvonline.org/taxonomyHistory.asp?taxnode_id=20165459","ICTVonline=20165459")</f>
        <v>ICTVonline=20165459</v>
      </c>
    </row>
    <row r="4156" spans="1:14" x14ac:dyDescent="0.15">
      <c r="A4156" s="3">
        <v>4155</v>
      </c>
      <c r="B4156" s="1" t="s">
        <v>926</v>
      </c>
      <c r="C4156" s="1" t="s">
        <v>9756</v>
      </c>
      <c r="E4156" s="1" t="s">
        <v>9757</v>
      </c>
      <c r="F4156" s="1" t="s">
        <v>9849</v>
      </c>
      <c r="G4156" s="3">
        <v>0</v>
      </c>
      <c r="H4156" s="20" t="s">
        <v>9850</v>
      </c>
      <c r="I4156" s="20" t="s">
        <v>9851</v>
      </c>
      <c r="J4156" s="20" t="s">
        <v>3165</v>
      </c>
      <c r="K4156" s="20" t="s">
        <v>10013</v>
      </c>
      <c r="L4156" s="3">
        <v>31</v>
      </c>
      <c r="M4156" s="3" t="s">
        <v>9761</v>
      </c>
      <c r="N4156" s="3" t="str">
        <f>HYPERLINK("http://ictvonline.org/taxonomyHistory.asp?taxnode_id=20165460","ICTVonline=20165460")</f>
        <v>ICTVonline=20165460</v>
      </c>
    </row>
    <row r="4157" spans="1:14" x14ac:dyDescent="0.15">
      <c r="A4157" s="3">
        <v>4156</v>
      </c>
      <c r="B4157" s="1" t="s">
        <v>926</v>
      </c>
      <c r="C4157" s="1" t="s">
        <v>9756</v>
      </c>
      <c r="E4157" s="1" t="s">
        <v>9757</v>
      </c>
      <c r="F4157" s="1" t="s">
        <v>9852</v>
      </c>
      <c r="G4157" s="3">
        <v>0</v>
      </c>
      <c r="H4157" s="20" t="s">
        <v>9853</v>
      </c>
      <c r="I4157" s="20" t="s">
        <v>9854</v>
      </c>
      <c r="J4157" s="20" t="s">
        <v>3165</v>
      </c>
      <c r="K4157" s="20" t="s">
        <v>10013</v>
      </c>
      <c r="L4157" s="3">
        <v>31</v>
      </c>
      <c r="M4157" s="3" t="s">
        <v>9761</v>
      </c>
      <c r="N4157" s="3" t="str">
        <f>HYPERLINK("http://ictvonline.org/taxonomyHistory.asp?taxnode_id=20165461","ICTVonline=20165461")</f>
        <v>ICTVonline=20165461</v>
      </c>
    </row>
    <row r="4158" spans="1:14" x14ac:dyDescent="0.15">
      <c r="A4158" s="3">
        <v>4157</v>
      </c>
      <c r="B4158" s="1" t="s">
        <v>926</v>
      </c>
      <c r="C4158" s="1" t="s">
        <v>9756</v>
      </c>
      <c r="E4158" s="1" t="s">
        <v>9757</v>
      </c>
      <c r="F4158" s="1" t="s">
        <v>9855</v>
      </c>
      <c r="G4158" s="3">
        <v>0</v>
      </c>
      <c r="H4158" s="20" t="s">
        <v>9856</v>
      </c>
      <c r="I4158" s="20" t="s">
        <v>9857</v>
      </c>
      <c r="J4158" s="20" t="s">
        <v>3165</v>
      </c>
      <c r="K4158" s="20" t="s">
        <v>10013</v>
      </c>
      <c r="L4158" s="3">
        <v>31</v>
      </c>
      <c r="M4158" s="3" t="s">
        <v>9761</v>
      </c>
      <c r="N4158" s="3" t="str">
        <f>HYPERLINK("http://ictvonline.org/taxonomyHistory.asp?taxnode_id=20165462","ICTVonline=20165462")</f>
        <v>ICTVonline=20165462</v>
      </c>
    </row>
    <row r="4159" spans="1:14" x14ac:dyDescent="0.15">
      <c r="A4159" s="3">
        <v>4158</v>
      </c>
      <c r="B4159" s="1" t="s">
        <v>926</v>
      </c>
      <c r="C4159" s="1" t="s">
        <v>9756</v>
      </c>
      <c r="E4159" s="1" t="s">
        <v>9757</v>
      </c>
      <c r="F4159" s="1" t="s">
        <v>9858</v>
      </c>
      <c r="G4159" s="3">
        <v>0</v>
      </c>
      <c r="H4159" s="20" t="s">
        <v>9859</v>
      </c>
      <c r="I4159" s="20" t="s">
        <v>9860</v>
      </c>
      <c r="J4159" s="20" t="s">
        <v>3165</v>
      </c>
      <c r="K4159" s="20" t="s">
        <v>10013</v>
      </c>
      <c r="L4159" s="3">
        <v>31</v>
      </c>
      <c r="M4159" s="3" t="s">
        <v>9761</v>
      </c>
      <c r="N4159" s="3" t="str">
        <f>HYPERLINK("http://ictvonline.org/taxonomyHistory.asp?taxnode_id=20165463","ICTVonline=20165463")</f>
        <v>ICTVonline=20165463</v>
      </c>
    </row>
    <row r="4160" spans="1:14" x14ac:dyDescent="0.15">
      <c r="A4160" s="3">
        <v>4159</v>
      </c>
      <c r="B4160" s="1" t="s">
        <v>926</v>
      </c>
      <c r="C4160" s="1" t="s">
        <v>9756</v>
      </c>
      <c r="E4160" s="1" t="s">
        <v>9757</v>
      </c>
      <c r="F4160" s="1" t="s">
        <v>9861</v>
      </c>
      <c r="G4160" s="3">
        <v>0</v>
      </c>
      <c r="H4160" s="20" t="s">
        <v>9862</v>
      </c>
      <c r="I4160" s="20" t="s">
        <v>9863</v>
      </c>
      <c r="J4160" s="20" t="s">
        <v>3165</v>
      </c>
      <c r="K4160" s="20" t="s">
        <v>10013</v>
      </c>
      <c r="L4160" s="3">
        <v>31</v>
      </c>
      <c r="M4160" s="3" t="s">
        <v>9761</v>
      </c>
      <c r="N4160" s="3" t="str">
        <f>HYPERLINK("http://ictvonline.org/taxonomyHistory.asp?taxnode_id=20165464","ICTVonline=20165464")</f>
        <v>ICTVonline=20165464</v>
      </c>
    </row>
    <row r="4161" spans="1:14" x14ac:dyDescent="0.15">
      <c r="A4161" s="3">
        <v>4160</v>
      </c>
      <c r="B4161" s="1" t="s">
        <v>926</v>
      </c>
      <c r="C4161" s="1" t="s">
        <v>9756</v>
      </c>
      <c r="E4161" s="1" t="s">
        <v>9757</v>
      </c>
      <c r="F4161" s="1" t="s">
        <v>9864</v>
      </c>
      <c r="G4161" s="3">
        <v>0</v>
      </c>
      <c r="H4161" s="20" t="s">
        <v>9865</v>
      </c>
      <c r="I4161" s="20" t="s">
        <v>9866</v>
      </c>
      <c r="J4161" s="20" t="s">
        <v>3165</v>
      </c>
      <c r="K4161" s="20" t="s">
        <v>10013</v>
      </c>
      <c r="L4161" s="3">
        <v>31</v>
      </c>
      <c r="M4161" s="3" t="s">
        <v>9761</v>
      </c>
      <c r="N4161" s="3" t="str">
        <f>HYPERLINK("http://ictvonline.org/taxonomyHistory.asp?taxnode_id=20165465","ICTVonline=20165465")</f>
        <v>ICTVonline=20165465</v>
      </c>
    </row>
    <row r="4162" spans="1:14" x14ac:dyDescent="0.15">
      <c r="A4162" s="3">
        <v>4161</v>
      </c>
      <c r="B4162" s="1" t="s">
        <v>926</v>
      </c>
      <c r="C4162" s="1" t="s">
        <v>9756</v>
      </c>
      <c r="E4162" s="1" t="s">
        <v>9757</v>
      </c>
      <c r="F4162" s="1" t="s">
        <v>9867</v>
      </c>
      <c r="G4162" s="3">
        <v>0</v>
      </c>
      <c r="H4162" s="20" t="s">
        <v>9868</v>
      </c>
      <c r="I4162" s="20" t="s">
        <v>9869</v>
      </c>
      <c r="J4162" s="20" t="s">
        <v>3165</v>
      </c>
      <c r="K4162" s="20" t="s">
        <v>10013</v>
      </c>
      <c r="L4162" s="3">
        <v>31</v>
      </c>
      <c r="M4162" s="3" t="s">
        <v>9761</v>
      </c>
      <c r="N4162" s="3" t="str">
        <f>HYPERLINK("http://ictvonline.org/taxonomyHistory.asp?taxnode_id=20165466","ICTVonline=20165466")</f>
        <v>ICTVonline=20165466</v>
      </c>
    </row>
    <row r="4163" spans="1:14" x14ac:dyDescent="0.15">
      <c r="A4163" s="3">
        <v>4162</v>
      </c>
      <c r="B4163" s="1" t="s">
        <v>926</v>
      </c>
      <c r="C4163" s="1" t="s">
        <v>9756</v>
      </c>
      <c r="E4163" s="1" t="s">
        <v>9757</v>
      </c>
      <c r="F4163" s="1" t="s">
        <v>9870</v>
      </c>
      <c r="G4163" s="3">
        <v>0</v>
      </c>
      <c r="H4163" s="20" t="s">
        <v>9871</v>
      </c>
      <c r="I4163" s="20" t="s">
        <v>9872</v>
      </c>
      <c r="J4163" s="20" t="s">
        <v>3165</v>
      </c>
      <c r="K4163" s="20" t="s">
        <v>10013</v>
      </c>
      <c r="L4163" s="3">
        <v>31</v>
      </c>
      <c r="M4163" s="3" t="s">
        <v>9761</v>
      </c>
      <c r="N4163" s="3" t="str">
        <f>HYPERLINK("http://ictvonline.org/taxonomyHistory.asp?taxnode_id=20165467","ICTVonline=20165467")</f>
        <v>ICTVonline=20165467</v>
      </c>
    </row>
    <row r="4164" spans="1:14" x14ac:dyDescent="0.15">
      <c r="A4164" s="3">
        <v>4163</v>
      </c>
      <c r="B4164" s="1" t="s">
        <v>926</v>
      </c>
      <c r="C4164" s="1" t="s">
        <v>9756</v>
      </c>
      <c r="E4164" s="1" t="s">
        <v>9757</v>
      </c>
      <c r="F4164" s="1" t="s">
        <v>9873</v>
      </c>
      <c r="G4164" s="3">
        <v>0</v>
      </c>
      <c r="H4164" s="20" t="s">
        <v>9874</v>
      </c>
      <c r="I4164" s="20" t="s">
        <v>9875</v>
      </c>
      <c r="J4164" s="20" t="s">
        <v>3165</v>
      </c>
      <c r="K4164" s="20" t="s">
        <v>10013</v>
      </c>
      <c r="L4164" s="3">
        <v>31</v>
      </c>
      <c r="M4164" s="3" t="s">
        <v>9761</v>
      </c>
      <c r="N4164" s="3" t="str">
        <f>HYPERLINK("http://ictvonline.org/taxonomyHistory.asp?taxnode_id=20165468","ICTVonline=20165468")</f>
        <v>ICTVonline=20165468</v>
      </c>
    </row>
    <row r="4165" spans="1:14" x14ac:dyDescent="0.15">
      <c r="A4165" s="3">
        <v>4164</v>
      </c>
      <c r="B4165" s="1" t="s">
        <v>926</v>
      </c>
      <c r="C4165" s="1" t="s">
        <v>9756</v>
      </c>
      <c r="E4165" s="1" t="s">
        <v>9757</v>
      </c>
      <c r="F4165" s="1" t="s">
        <v>9876</v>
      </c>
      <c r="G4165" s="3">
        <v>0</v>
      </c>
      <c r="H4165" s="20" t="s">
        <v>9877</v>
      </c>
      <c r="I4165" s="20" t="s">
        <v>9878</v>
      </c>
      <c r="J4165" s="20" t="s">
        <v>3165</v>
      </c>
      <c r="K4165" s="20" t="s">
        <v>10013</v>
      </c>
      <c r="L4165" s="3">
        <v>31</v>
      </c>
      <c r="M4165" s="3" t="s">
        <v>9761</v>
      </c>
      <c r="N4165" s="3" t="str">
        <f>HYPERLINK("http://ictvonline.org/taxonomyHistory.asp?taxnode_id=20165469","ICTVonline=20165469")</f>
        <v>ICTVonline=20165469</v>
      </c>
    </row>
    <row r="4166" spans="1:14" x14ac:dyDescent="0.15">
      <c r="A4166" s="3">
        <v>4165</v>
      </c>
      <c r="B4166" s="1" t="s">
        <v>926</v>
      </c>
      <c r="C4166" s="1" t="s">
        <v>9756</v>
      </c>
      <c r="E4166" s="1" t="s">
        <v>9757</v>
      </c>
      <c r="F4166" s="1" t="s">
        <v>9879</v>
      </c>
      <c r="G4166" s="3">
        <v>0</v>
      </c>
      <c r="H4166" s="20" t="s">
        <v>9880</v>
      </c>
      <c r="I4166" s="20" t="s">
        <v>9881</v>
      </c>
      <c r="J4166" s="20" t="s">
        <v>3165</v>
      </c>
      <c r="K4166" s="20" t="s">
        <v>10013</v>
      </c>
      <c r="L4166" s="3">
        <v>31</v>
      </c>
      <c r="M4166" s="3" t="s">
        <v>9761</v>
      </c>
      <c r="N4166" s="3" t="str">
        <f>HYPERLINK("http://ictvonline.org/taxonomyHistory.asp?taxnode_id=20165470","ICTVonline=20165470")</f>
        <v>ICTVonline=20165470</v>
      </c>
    </row>
    <row r="4167" spans="1:14" x14ac:dyDescent="0.15">
      <c r="A4167" s="3">
        <v>4166</v>
      </c>
      <c r="B4167" s="1" t="s">
        <v>926</v>
      </c>
      <c r="C4167" s="1" t="s">
        <v>9756</v>
      </c>
      <c r="E4167" s="1" t="s">
        <v>9757</v>
      </c>
      <c r="F4167" s="1" t="s">
        <v>9882</v>
      </c>
      <c r="G4167" s="3">
        <v>0</v>
      </c>
      <c r="H4167" s="20" t="s">
        <v>9883</v>
      </c>
      <c r="I4167" s="20" t="s">
        <v>9884</v>
      </c>
      <c r="J4167" s="20" t="s">
        <v>3165</v>
      </c>
      <c r="K4167" s="20" t="s">
        <v>10013</v>
      </c>
      <c r="L4167" s="3">
        <v>31</v>
      </c>
      <c r="M4167" s="3" t="s">
        <v>9761</v>
      </c>
      <c r="N4167" s="3" t="str">
        <f>HYPERLINK("http://ictvonline.org/taxonomyHistory.asp?taxnode_id=20165471","ICTVonline=20165471")</f>
        <v>ICTVonline=20165471</v>
      </c>
    </row>
    <row r="4168" spans="1:14" x14ac:dyDescent="0.15">
      <c r="A4168" s="3">
        <v>4167</v>
      </c>
      <c r="B4168" s="1" t="s">
        <v>926</v>
      </c>
      <c r="C4168" s="1" t="s">
        <v>9756</v>
      </c>
      <c r="E4168" s="1" t="s">
        <v>9757</v>
      </c>
      <c r="F4168" s="1" t="s">
        <v>9885</v>
      </c>
      <c r="G4168" s="3">
        <v>0</v>
      </c>
      <c r="H4168" s="20" t="s">
        <v>9886</v>
      </c>
      <c r="I4168" s="20" t="s">
        <v>9887</v>
      </c>
      <c r="J4168" s="20" t="s">
        <v>3165</v>
      </c>
      <c r="K4168" s="20" t="s">
        <v>10013</v>
      </c>
      <c r="L4168" s="3">
        <v>31</v>
      </c>
      <c r="M4168" s="3" t="s">
        <v>9761</v>
      </c>
      <c r="N4168" s="3" t="str">
        <f>HYPERLINK("http://ictvonline.org/taxonomyHistory.asp?taxnode_id=20165472","ICTVonline=20165472")</f>
        <v>ICTVonline=20165472</v>
      </c>
    </row>
    <row r="4169" spans="1:14" x14ac:dyDescent="0.15">
      <c r="A4169" s="3">
        <v>4168</v>
      </c>
      <c r="B4169" s="1" t="s">
        <v>926</v>
      </c>
      <c r="C4169" s="1" t="s">
        <v>9756</v>
      </c>
      <c r="E4169" s="1" t="s">
        <v>9757</v>
      </c>
      <c r="F4169" s="1" t="s">
        <v>9888</v>
      </c>
      <c r="G4169" s="3">
        <v>0</v>
      </c>
      <c r="H4169" s="20" t="s">
        <v>9889</v>
      </c>
      <c r="I4169" s="20" t="s">
        <v>9890</v>
      </c>
      <c r="J4169" s="20" t="s">
        <v>3165</v>
      </c>
      <c r="K4169" s="20" t="s">
        <v>10013</v>
      </c>
      <c r="L4169" s="3">
        <v>31</v>
      </c>
      <c r="M4169" s="3" t="s">
        <v>9761</v>
      </c>
      <c r="N4169" s="3" t="str">
        <f>HYPERLINK("http://ictvonline.org/taxonomyHistory.asp?taxnode_id=20165473","ICTVonline=20165473")</f>
        <v>ICTVonline=20165473</v>
      </c>
    </row>
    <row r="4170" spans="1:14" x14ac:dyDescent="0.15">
      <c r="A4170" s="3">
        <v>4169</v>
      </c>
      <c r="B4170" s="1" t="s">
        <v>926</v>
      </c>
      <c r="C4170" s="1" t="s">
        <v>9756</v>
      </c>
      <c r="E4170" s="1" t="s">
        <v>9757</v>
      </c>
      <c r="F4170" s="1" t="s">
        <v>9891</v>
      </c>
      <c r="G4170" s="3">
        <v>0</v>
      </c>
      <c r="H4170" s="20" t="s">
        <v>9892</v>
      </c>
      <c r="I4170" s="20" t="s">
        <v>9893</v>
      </c>
      <c r="J4170" s="20" t="s">
        <v>3165</v>
      </c>
      <c r="K4170" s="20" t="s">
        <v>10013</v>
      </c>
      <c r="L4170" s="3">
        <v>31</v>
      </c>
      <c r="M4170" s="3" t="s">
        <v>9761</v>
      </c>
      <c r="N4170" s="3" t="str">
        <f>HYPERLINK("http://ictvonline.org/taxonomyHistory.asp?taxnode_id=20165474","ICTVonline=20165474")</f>
        <v>ICTVonline=20165474</v>
      </c>
    </row>
    <row r="4171" spans="1:14" x14ac:dyDescent="0.15">
      <c r="A4171" s="3">
        <v>4170</v>
      </c>
      <c r="B4171" s="1" t="s">
        <v>926</v>
      </c>
      <c r="C4171" s="1" t="s">
        <v>9756</v>
      </c>
      <c r="E4171" s="1" t="s">
        <v>9757</v>
      </c>
      <c r="F4171" s="1" t="s">
        <v>9894</v>
      </c>
      <c r="G4171" s="3">
        <v>0</v>
      </c>
      <c r="H4171" s="20" t="s">
        <v>9895</v>
      </c>
      <c r="I4171" s="20" t="s">
        <v>9896</v>
      </c>
      <c r="J4171" s="20" t="s">
        <v>3165</v>
      </c>
      <c r="K4171" s="20" t="s">
        <v>10013</v>
      </c>
      <c r="L4171" s="3">
        <v>31</v>
      </c>
      <c r="M4171" s="3" t="s">
        <v>9761</v>
      </c>
      <c r="N4171" s="3" t="str">
        <f>HYPERLINK("http://ictvonline.org/taxonomyHistory.asp?taxnode_id=20165475","ICTVonline=20165475")</f>
        <v>ICTVonline=20165475</v>
      </c>
    </row>
    <row r="4172" spans="1:14" x14ac:dyDescent="0.15">
      <c r="A4172" s="3">
        <v>4171</v>
      </c>
      <c r="B4172" s="1" t="s">
        <v>926</v>
      </c>
      <c r="C4172" s="1" t="s">
        <v>9756</v>
      </c>
      <c r="E4172" s="1" t="s">
        <v>9757</v>
      </c>
      <c r="F4172" s="1" t="s">
        <v>9897</v>
      </c>
      <c r="G4172" s="3">
        <v>0</v>
      </c>
      <c r="H4172" s="20" t="s">
        <v>9898</v>
      </c>
      <c r="I4172" s="20" t="s">
        <v>9899</v>
      </c>
      <c r="J4172" s="20" t="s">
        <v>3165</v>
      </c>
      <c r="K4172" s="20" t="s">
        <v>10013</v>
      </c>
      <c r="L4172" s="3">
        <v>31</v>
      </c>
      <c r="M4172" s="3" t="s">
        <v>9761</v>
      </c>
      <c r="N4172" s="3" t="str">
        <f>HYPERLINK("http://ictvonline.org/taxonomyHistory.asp?taxnode_id=20165476","ICTVonline=20165476")</f>
        <v>ICTVonline=20165476</v>
      </c>
    </row>
    <row r="4173" spans="1:14" x14ac:dyDescent="0.15">
      <c r="A4173" s="3">
        <v>4172</v>
      </c>
      <c r="B4173" s="1" t="s">
        <v>926</v>
      </c>
      <c r="C4173" s="1" t="s">
        <v>9756</v>
      </c>
      <c r="E4173" s="1" t="s">
        <v>9757</v>
      </c>
      <c r="F4173" s="1" t="s">
        <v>9900</v>
      </c>
      <c r="G4173" s="3">
        <v>0</v>
      </c>
      <c r="H4173" s="20" t="s">
        <v>9901</v>
      </c>
      <c r="I4173" s="20" t="s">
        <v>9902</v>
      </c>
      <c r="J4173" s="20" t="s">
        <v>3165</v>
      </c>
      <c r="K4173" s="20" t="s">
        <v>10013</v>
      </c>
      <c r="L4173" s="3">
        <v>31</v>
      </c>
      <c r="M4173" s="3" t="s">
        <v>9761</v>
      </c>
      <c r="N4173" s="3" t="str">
        <f>HYPERLINK("http://ictvonline.org/taxonomyHistory.asp?taxnode_id=20165477","ICTVonline=20165477")</f>
        <v>ICTVonline=20165477</v>
      </c>
    </row>
    <row r="4174" spans="1:14" x14ac:dyDescent="0.15">
      <c r="A4174" s="3">
        <v>4173</v>
      </c>
      <c r="B4174" s="1" t="s">
        <v>926</v>
      </c>
      <c r="C4174" s="1" t="s">
        <v>9756</v>
      </c>
      <c r="E4174" s="1" t="s">
        <v>9757</v>
      </c>
      <c r="F4174" s="1" t="s">
        <v>9903</v>
      </c>
      <c r="G4174" s="3">
        <v>0</v>
      </c>
      <c r="H4174" s="20" t="s">
        <v>9904</v>
      </c>
      <c r="I4174" s="20" t="s">
        <v>9905</v>
      </c>
      <c r="J4174" s="20" t="s">
        <v>3165</v>
      </c>
      <c r="K4174" s="20" t="s">
        <v>10013</v>
      </c>
      <c r="L4174" s="3">
        <v>31</v>
      </c>
      <c r="M4174" s="3" t="s">
        <v>9761</v>
      </c>
      <c r="N4174" s="3" t="str">
        <f>HYPERLINK("http://ictvonline.org/taxonomyHistory.asp?taxnode_id=20165478","ICTVonline=20165478")</f>
        <v>ICTVonline=20165478</v>
      </c>
    </row>
    <row r="4175" spans="1:14" x14ac:dyDescent="0.15">
      <c r="A4175" s="3">
        <v>4174</v>
      </c>
      <c r="B4175" s="1" t="s">
        <v>926</v>
      </c>
      <c r="C4175" s="1" t="s">
        <v>9756</v>
      </c>
      <c r="E4175" s="1" t="s">
        <v>9757</v>
      </c>
      <c r="F4175" s="1" t="s">
        <v>9906</v>
      </c>
      <c r="G4175" s="3">
        <v>0</v>
      </c>
      <c r="H4175" s="20" t="s">
        <v>9907</v>
      </c>
      <c r="I4175" s="20" t="s">
        <v>9908</v>
      </c>
      <c r="J4175" s="20" t="s">
        <v>3165</v>
      </c>
      <c r="K4175" s="20" t="s">
        <v>10013</v>
      </c>
      <c r="L4175" s="3">
        <v>31</v>
      </c>
      <c r="M4175" s="3" t="s">
        <v>9761</v>
      </c>
      <c r="N4175" s="3" t="str">
        <f>HYPERLINK("http://ictvonline.org/taxonomyHistory.asp?taxnode_id=20165479","ICTVonline=20165479")</f>
        <v>ICTVonline=20165479</v>
      </c>
    </row>
    <row r="4176" spans="1:14" x14ac:dyDescent="0.15">
      <c r="A4176" s="3">
        <v>4175</v>
      </c>
      <c r="B4176" s="1" t="s">
        <v>926</v>
      </c>
      <c r="C4176" s="1" t="s">
        <v>9756</v>
      </c>
      <c r="E4176" s="1" t="s">
        <v>9757</v>
      </c>
      <c r="F4176" s="1" t="s">
        <v>9909</v>
      </c>
      <c r="G4176" s="3">
        <v>0</v>
      </c>
      <c r="H4176" s="20" t="s">
        <v>9910</v>
      </c>
      <c r="I4176" s="20" t="s">
        <v>9911</v>
      </c>
      <c r="J4176" s="20" t="s">
        <v>3165</v>
      </c>
      <c r="K4176" s="20" t="s">
        <v>10013</v>
      </c>
      <c r="L4176" s="3">
        <v>31</v>
      </c>
      <c r="M4176" s="3" t="s">
        <v>9761</v>
      </c>
      <c r="N4176" s="3" t="str">
        <f>HYPERLINK("http://ictvonline.org/taxonomyHistory.asp?taxnode_id=20165480","ICTVonline=20165480")</f>
        <v>ICTVonline=20165480</v>
      </c>
    </row>
    <row r="4177" spans="1:14" x14ac:dyDescent="0.15">
      <c r="A4177" s="3">
        <v>4176</v>
      </c>
      <c r="B4177" s="1" t="s">
        <v>926</v>
      </c>
      <c r="C4177" s="1" t="s">
        <v>9756</v>
      </c>
      <c r="E4177" s="1" t="s">
        <v>9757</v>
      </c>
      <c r="F4177" s="1" t="s">
        <v>9912</v>
      </c>
      <c r="G4177" s="3">
        <v>0</v>
      </c>
      <c r="H4177" s="20" t="s">
        <v>9913</v>
      </c>
      <c r="I4177" s="20" t="s">
        <v>9914</v>
      </c>
      <c r="J4177" s="20" t="s">
        <v>3165</v>
      </c>
      <c r="K4177" s="20" t="s">
        <v>10013</v>
      </c>
      <c r="L4177" s="3">
        <v>31</v>
      </c>
      <c r="M4177" s="3" t="s">
        <v>9761</v>
      </c>
      <c r="N4177" s="3" t="str">
        <f>HYPERLINK("http://ictvonline.org/taxonomyHistory.asp?taxnode_id=20165481","ICTVonline=20165481")</f>
        <v>ICTVonline=20165481</v>
      </c>
    </row>
    <row r="4178" spans="1:14" x14ac:dyDescent="0.15">
      <c r="A4178" s="3">
        <v>4177</v>
      </c>
      <c r="B4178" s="1" t="s">
        <v>926</v>
      </c>
      <c r="C4178" s="1" t="s">
        <v>9756</v>
      </c>
      <c r="E4178" s="1" t="s">
        <v>9757</v>
      </c>
      <c r="F4178" s="1" t="s">
        <v>9915</v>
      </c>
      <c r="G4178" s="3">
        <v>0</v>
      </c>
      <c r="H4178" s="20" t="s">
        <v>9916</v>
      </c>
      <c r="I4178" s="20" t="s">
        <v>9917</v>
      </c>
      <c r="J4178" s="20" t="s">
        <v>3165</v>
      </c>
      <c r="K4178" s="20" t="s">
        <v>10013</v>
      </c>
      <c r="L4178" s="3">
        <v>31</v>
      </c>
      <c r="M4178" s="3" t="s">
        <v>9761</v>
      </c>
      <c r="N4178" s="3" t="str">
        <f>HYPERLINK("http://ictvonline.org/taxonomyHistory.asp?taxnode_id=20165482","ICTVonline=20165482")</f>
        <v>ICTVonline=20165482</v>
      </c>
    </row>
    <row r="4179" spans="1:14" x14ac:dyDescent="0.15">
      <c r="A4179" s="3">
        <v>4178</v>
      </c>
      <c r="B4179" s="1" t="s">
        <v>926</v>
      </c>
      <c r="C4179" s="1" t="s">
        <v>9756</v>
      </c>
      <c r="E4179" s="1" t="s">
        <v>9757</v>
      </c>
      <c r="F4179" s="1" t="s">
        <v>9918</v>
      </c>
      <c r="G4179" s="3">
        <v>0</v>
      </c>
      <c r="H4179" s="20" t="s">
        <v>9919</v>
      </c>
      <c r="I4179" s="20" t="s">
        <v>9920</v>
      </c>
      <c r="J4179" s="20" t="s">
        <v>3165</v>
      </c>
      <c r="K4179" s="20" t="s">
        <v>10013</v>
      </c>
      <c r="L4179" s="3">
        <v>31</v>
      </c>
      <c r="M4179" s="3" t="s">
        <v>9761</v>
      </c>
      <c r="N4179" s="3" t="str">
        <f>HYPERLINK("http://ictvonline.org/taxonomyHistory.asp?taxnode_id=20165483","ICTVonline=20165483")</f>
        <v>ICTVonline=20165483</v>
      </c>
    </row>
    <row r="4180" spans="1:14" x14ac:dyDescent="0.15">
      <c r="A4180" s="3">
        <v>4179</v>
      </c>
      <c r="B4180" s="1" t="s">
        <v>926</v>
      </c>
      <c r="C4180" s="1" t="s">
        <v>9756</v>
      </c>
      <c r="E4180" s="1" t="s">
        <v>9757</v>
      </c>
      <c r="F4180" s="1" t="s">
        <v>9921</v>
      </c>
      <c r="G4180" s="3">
        <v>0</v>
      </c>
      <c r="H4180" s="20" t="s">
        <v>9922</v>
      </c>
      <c r="I4180" s="20" t="s">
        <v>9923</v>
      </c>
      <c r="J4180" s="20" t="s">
        <v>3165</v>
      </c>
      <c r="K4180" s="20" t="s">
        <v>10013</v>
      </c>
      <c r="L4180" s="3">
        <v>31</v>
      </c>
      <c r="M4180" s="3" t="s">
        <v>9761</v>
      </c>
      <c r="N4180" s="3" t="str">
        <f>HYPERLINK("http://ictvonline.org/taxonomyHistory.asp?taxnode_id=20165484","ICTVonline=20165484")</f>
        <v>ICTVonline=20165484</v>
      </c>
    </row>
    <row r="4181" spans="1:14" x14ac:dyDescent="0.15">
      <c r="A4181" s="3">
        <v>4180</v>
      </c>
      <c r="B4181" s="1" t="s">
        <v>926</v>
      </c>
      <c r="C4181" s="1" t="s">
        <v>9756</v>
      </c>
      <c r="E4181" s="1" t="s">
        <v>9757</v>
      </c>
      <c r="F4181" s="1" t="s">
        <v>9924</v>
      </c>
      <c r="G4181" s="3">
        <v>0</v>
      </c>
      <c r="H4181" s="20" t="s">
        <v>9925</v>
      </c>
      <c r="I4181" s="20" t="s">
        <v>9926</v>
      </c>
      <c r="J4181" s="20" t="s">
        <v>3165</v>
      </c>
      <c r="K4181" s="20" t="s">
        <v>10013</v>
      </c>
      <c r="L4181" s="3">
        <v>31</v>
      </c>
      <c r="M4181" s="3" t="s">
        <v>9761</v>
      </c>
      <c r="N4181" s="3" t="str">
        <f>HYPERLINK("http://ictvonline.org/taxonomyHistory.asp?taxnode_id=20165485","ICTVonline=20165485")</f>
        <v>ICTVonline=20165485</v>
      </c>
    </row>
    <row r="4182" spans="1:14" x14ac:dyDescent="0.15">
      <c r="A4182" s="3">
        <v>4181</v>
      </c>
      <c r="B4182" s="1" t="s">
        <v>926</v>
      </c>
      <c r="C4182" s="1" t="s">
        <v>9756</v>
      </c>
      <c r="E4182" s="1" t="s">
        <v>9757</v>
      </c>
      <c r="F4182" s="1" t="s">
        <v>9927</v>
      </c>
      <c r="G4182" s="3">
        <v>0</v>
      </c>
      <c r="H4182" s="20" t="s">
        <v>9928</v>
      </c>
      <c r="I4182" s="20" t="s">
        <v>9929</v>
      </c>
      <c r="J4182" s="20" t="s">
        <v>3165</v>
      </c>
      <c r="K4182" s="20" t="s">
        <v>10013</v>
      </c>
      <c r="L4182" s="3">
        <v>31</v>
      </c>
      <c r="M4182" s="3" t="s">
        <v>9761</v>
      </c>
      <c r="N4182" s="3" t="str">
        <f>HYPERLINK("http://ictvonline.org/taxonomyHistory.asp?taxnode_id=20165486","ICTVonline=20165486")</f>
        <v>ICTVonline=20165486</v>
      </c>
    </row>
    <row r="4183" spans="1:14" x14ac:dyDescent="0.15">
      <c r="A4183" s="3">
        <v>4182</v>
      </c>
      <c r="B4183" s="1" t="s">
        <v>926</v>
      </c>
      <c r="C4183" s="1" t="s">
        <v>9756</v>
      </c>
      <c r="E4183" s="1" t="s">
        <v>9757</v>
      </c>
      <c r="F4183" s="1" t="s">
        <v>9930</v>
      </c>
      <c r="G4183" s="3">
        <v>0</v>
      </c>
      <c r="H4183" s="20" t="s">
        <v>9931</v>
      </c>
      <c r="I4183" s="20" t="s">
        <v>9932</v>
      </c>
      <c r="J4183" s="20" t="s">
        <v>3165</v>
      </c>
      <c r="K4183" s="20" t="s">
        <v>10013</v>
      </c>
      <c r="L4183" s="3">
        <v>31</v>
      </c>
      <c r="M4183" s="3" t="s">
        <v>9761</v>
      </c>
      <c r="N4183" s="3" t="str">
        <f>HYPERLINK("http://ictvonline.org/taxonomyHistory.asp?taxnode_id=20165487","ICTVonline=20165487")</f>
        <v>ICTVonline=20165487</v>
      </c>
    </row>
    <row r="4184" spans="1:14" x14ac:dyDescent="0.15">
      <c r="A4184" s="3">
        <v>4183</v>
      </c>
      <c r="B4184" s="1" t="s">
        <v>926</v>
      </c>
      <c r="C4184" s="1" t="s">
        <v>9756</v>
      </c>
      <c r="E4184" s="1" t="s">
        <v>9757</v>
      </c>
      <c r="F4184" s="1" t="s">
        <v>9933</v>
      </c>
      <c r="G4184" s="3">
        <v>0</v>
      </c>
      <c r="H4184" s="20" t="s">
        <v>9934</v>
      </c>
      <c r="I4184" s="20" t="s">
        <v>9935</v>
      </c>
      <c r="J4184" s="20" t="s">
        <v>3165</v>
      </c>
      <c r="K4184" s="20" t="s">
        <v>10013</v>
      </c>
      <c r="L4184" s="3">
        <v>31</v>
      </c>
      <c r="M4184" s="3" t="s">
        <v>9761</v>
      </c>
      <c r="N4184" s="3" t="str">
        <f>HYPERLINK("http://ictvonline.org/taxonomyHistory.asp?taxnode_id=20165488","ICTVonline=20165488")</f>
        <v>ICTVonline=20165488</v>
      </c>
    </row>
    <row r="4185" spans="1:14" x14ac:dyDescent="0.15">
      <c r="A4185" s="3">
        <v>4184</v>
      </c>
      <c r="B4185" s="1" t="s">
        <v>926</v>
      </c>
      <c r="C4185" s="1" t="s">
        <v>9756</v>
      </c>
      <c r="E4185" s="1" t="s">
        <v>9757</v>
      </c>
      <c r="F4185" s="1" t="s">
        <v>9936</v>
      </c>
      <c r="G4185" s="3">
        <v>0</v>
      </c>
      <c r="H4185" s="20" t="s">
        <v>9937</v>
      </c>
      <c r="I4185" s="20" t="s">
        <v>9938</v>
      </c>
      <c r="J4185" s="20" t="s">
        <v>3165</v>
      </c>
      <c r="K4185" s="20" t="s">
        <v>10013</v>
      </c>
      <c r="L4185" s="3">
        <v>31</v>
      </c>
      <c r="M4185" s="3" t="s">
        <v>9761</v>
      </c>
      <c r="N4185" s="3" t="str">
        <f>HYPERLINK("http://ictvonline.org/taxonomyHistory.asp?taxnode_id=20165489","ICTVonline=20165489")</f>
        <v>ICTVonline=20165489</v>
      </c>
    </row>
    <row r="4186" spans="1:14" x14ac:dyDescent="0.15">
      <c r="A4186" s="3">
        <v>4185</v>
      </c>
      <c r="B4186" s="1" t="s">
        <v>926</v>
      </c>
      <c r="C4186" s="1" t="s">
        <v>9756</v>
      </c>
      <c r="E4186" s="1" t="s">
        <v>9757</v>
      </c>
      <c r="F4186" s="1" t="s">
        <v>9939</v>
      </c>
      <c r="G4186" s="3">
        <v>0</v>
      </c>
      <c r="H4186" s="20" t="s">
        <v>9940</v>
      </c>
      <c r="I4186" s="20" t="s">
        <v>9941</v>
      </c>
      <c r="J4186" s="20" t="s">
        <v>3165</v>
      </c>
      <c r="K4186" s="20" t="s">
        <v>10013</v>
      </c>
      <c r="L4186" s="3">
        <v>31</v>
      </c>
      <c r="M4186" s="3" t="s">
        <v>9761</v>
      </c>
      <c r="N4186" s="3" t="str">
        <f>HYPERLINK("http://ictvonline.org/taxonomyHistory.asp?taxnode_id=20165490","ICTVonline=20165490")</f>
        <v>ICTVonline=20165490</v>
      </c>
    </row>
    <row r="4187" spans="1:14" x14ac:dyDescent="0.15">
      <c r="A4187" s="3">
        <v>4186</v>
      </c>
      <c r="B4187" s="1" t="s">
        <v>926</v>
      </c>
      <c r="C4187" s="1" t="s">
        <v>9756</v>
      </c>
      <c r="E4187" s="1" t="s">
        <v>9942</v>
      </c>
      <c r="F4187" s="1" t="s">
        <v>9943</v>
      </c>
      <c r="G4187" s="3">
        <v>0</v>
      </c>
      <c r="H4187" s="20" t="s">
        <v>9944</v>
      </c>
      <c r="I4187" s="20" t="s">
        <v>9945</v>
      </c>
      <c r="J4187" s="20" t="s">
        <v>3165</v>
      </c>
      <c r="K4187" s="20" t="s">
        <v>10013</v>
      </c>
      <c r="L4187" s="3">
        <v>31</v>
      </c>
      <c r="M4187" s="3" t="s">
        <v>9761</v>
      </c>
      <c r="N4187" s="3" t="str">
        <f>HYPERLINK("http://ictvonline.org/taxonomyHistory.asp?taxnode_id=20165491","ICTVonline=20165491")</f>
        <v>ICTVonline=20165491</v>
      </c>
    </row>
    <row r="4188" spans="1:14" x14ac:dyDescent="0.15">
      <c r="A4188" s="3">
        <v>4187</v>
      </c>
      <c r="B4188" s="1" t="s">
        <v>926</v>
      </c>
      <c r="C4188" s="1" t="s">
        <v>9756</v>
      </c>
      <c r="E4188" s="1" t="s">
        <v>9942</v>
      </c>
      <c r="F4188" s="1" t="s">
        <v>9946</v>
      </c>
      <c r="G4188" s="3">
        <v>0</v>
      </c>
      <c r="H4188" s="20" t="s">
        <v>9947</v>
      </c>
      <c r="I4188" s="20" t="s">
        <v>9948</v>
      </c>
      <c r="J4188" s="20" t="s">
        <v>3165</v>
      </c>
      <c r="K4188" s="20" t="s">
        <v>10013</v>
      </c>
      <c r="L4188" s="3">
        <v>31</v>
      </c>
      <c r="M4188" s="3" t="s">
        <v>9761</v>
      </c>
      <c r="N4188" s="3" t="str">
        <f>HYPERLINK("http://ictvonline.org/taxonomyHistory.asp?taxnode_id=20165492","ICTVonline=20165492")</f>
        <v>ICTVonline=20165492</v>
      </c>
    </row>
    <row r="4189" spans="1:14" x14ac:dyDescent="0.15">
      <c r="A4189" s="3">
        <v>4188</v>
      </c>
      <c r="B4189" s="1" t="s">
        <v>926</v>
      </c>
      <c r="C4189" s="1" t="s">
        <v>9756</v>
      </c>
      <c r="E4189" s="1" t="s">
        <v>9942</v>
      </c>
      <c r="F4189" s="1" t="s">
        <v>9949</v>
      </c>
      <c r="G4189" s="3">
        <v>0</v>
      </c>
      <c r="H4189" s="20" t="s">
        <v>9950</v>
      </c>
      <c r="I4189" s="20" t="s">
        <v>9951</v>
      </c>
      <c r="J4189" s="20" t="s">
        <v>3165</v>
      </c>
      <c r="K4189" s="20" t="s">
        <v>10013</v>
      </c>
      <c r="L4189" s="3">
        <v>31</v>
      </c>
      <c r="M4189" s="3" t="s">
        <v>9761</v>
      </c>
      <c r="N4189" s="3" t="str">
        <f>HYPERLINK("http://ictvonline.org/taxonomyHistory.asp?taxnode_id=20165493","ICTVonline=20165493")</f>
        <v>ICTVonline=20165493</v>
      </c>
    </row>
    <row r="4190" spans="1:14" x14ac:dyDescent="0.15">
      <c r="A4190" s="3">
        <v>4189</v>
      </c>
      <c r="B4190" s="1" t="s">
        <v>926</v>
      </c>
      <c r="C4190" s="1" t="s">
        <v>9756</v>
      </c>
      <c r="E4190" s="1" t="s">
        <v>9942</v>
      </c>
      <c r="F4190" s="1" t="s">
        <v>9952</v>
      </c>
      <c r="G4190" s="3">
        <v>0</v>
      </c>
      <c r="H4190" s="20" t="s">
        <v>9953</v>
      </c>
      <c r="I4190" s="20" t="s">
        <v>9954</v>
      </c>
      <c r="J4190" s="20" t="s">
        <v>3165</v>
      </c>
      <c r="K4190" s="20" t="s">
        <v>10013</v>
      </c>
      <c r="L4190" s="3">
        <v>31</v>
      </c>
      <c r="M4190" s="3" t="s">
        <v>9761</v>
      </c>
      <c r="N4190" s="3" t="str">
        <f>HYPERLINK("http://ictvonline.org/taxonomyHistory.asp?taxnode_id=20165494","ICTVonline=20165494")</f>
        <v>ICTVonline=20165494</v>
      </c>
    </row>
    <row r="4191" spans="1:14" x14ac:dyDescent="0.15">
      <c r="A4191" s="3">
        <v>4190</v>
      </c>
      <c r="B4191" s="1" t="s">
        <v>926</v>
      </c>
      <c r="C4191" s="1" t="s">
        <v>9756</v>
      </c>
      <c r="E4191" s="1" t="s">
        <v>9942</v>
      </c>
      <c r="F4191" s="1" t="s">
        <v>9955</v>
      </c>
      <c r="G4191" s="3">
        <v>0</v>
      </c>
      <c r="H4191" s="20" t="s">
        <v>9956</v>
      </c>
      <c r="I4191" s="20" t="s">
        <v>9957</v>
      </c>
      <c r="J4191" s="20" t="s">
        <v>3165</v>
      </c>
      <c r="K4191" s="20" t="s">
        <v>10013</v>
      </c>
      <c r="L4191" s="3">
        <v>31</v>
      </c>
      <c r="M4191" s="3" t="s">
        <v>9761</v>
      </c>
      <c r="N4191" s="3" t="str">
        <f>HYPERLINK("http://ictvonline.org/taxonomyHistory.asp?taxnode_id=20165495","ICTVonline=20165495")</f>
        <v>ICTVonline=20165495</v>
      </c>
    </row>
    <row r="4192" spans="1:14" x14ac:dyDescent="0.15">
      <c r="A4192" s="3">
        <v>4191</v>
      </c>
      <c r="B4192" s="1" t="s">
        <v>926</v>
      </c>
      <c r="C4192" s="1" t="s">
        <v>9756</v>
      </c>
      <c r="E4192" s="1" t="s">
        <v>9942</v>
      </c>
      <c r="F4192" s="1" t="s">
        <v>9958</v>
      </c>
      <c r="G4192" s="3">
        <v>0</v>
      </c>
      <c r="H4192" s="20" t="s">
        <v>9959</v>
      </c>
      <c r="I4192" s="20" t="s">
        <v>9960</v>
      </c>
      <c r="J4192" s="20" t="s">
        <v>3165</v>
      </c>
      <c r="K4192" s="20" t="s">
        <v>10013</v>
      </c>
      <c r="L4192" s="3">
        <v>31</v>
      </c>
      <c r="M4192" s="3" t="s">
        <v>9761</v>
      </c>
      <c r="N4192" s="3" t="str">
        <f>HYPERLINK("http://ictvonline.org/taxonomyHistory.asp?taxnode_id=20165496","ICTVonline=20165496")</f>
        <v>ICTVonline=20165496</v>
      </c>
    </row>
    <row r="4193" spans="1:14" x14ac:dyDescent="0.15">
      <c r="A4193" s="3">
        <v>4192</v>
      </c>
      <c r="B4193" s="1" t="s">
        <v>926</v>
      </c>
      <c r="C4193" s="1" t="s">
        <v>9756</v>
      </c>
      <c r="E4193" s="1" t="s">
        <v>9942</v>
      </c>
      <c r="F4193" s="1" t="s">
        <v>9961</v>
      </c>
      <c r="G4193" s="3">
        <v>0</v>
      </c>
      <c r="H4193" s="20" t="s">
        <v>9962</v>
      </c>
      <c r="I4193" s="20" t="s">
        <v>9963</v>
      </c>
      <c r="J4193" s="20" t="s">
        <v>3165</v>
      </c>
      <c r="K4193" s="20" t="s">
        <v>10013</v>
      </c>
      <c r="L4193" s="3">
        <v>31</v>
      </c>
      <c r="M4193" s="3" t="s">
        <v>9761</v>
      </c>
      <c r="N4193" s="3" t="str">
        <f>HYPERLINK("http://ictvonline.org/taxonomyHistory.asp?taxnode_id=20165497","ICTVonline=20165497")</f>
        <v>ICTVonline=20165497</v>
      </c>
    </row>
    <row r="4194" spans="1:14" x14ac:dyDescent="0.15">
      <c r="A4194" s="3">
        <v>4193</v>
      </c>
      <c r="B4194" s="1" t="s">
        <v>926</v>
      </c>
      <c r="C4194" s="1" t="s">
        <v>9756</v>
      </c>
      <c r="E4194" s="1" t="s">
        <v>9942</v>
      </c>
      <c r="F4194" s="1" t="s">
        <v>9964</v>
      </c>
      <c r="G4194" s="3">
        <v>0</v>
      </c>
      <c r="H4194" s="20" t="s">
        <v>9965</v>
      </c>
      <c r="I4194" s="20" t="s">
        <v>9966</v>
      </c>
      <c r="J4194" s="20" t="s">
        <v>3165</v>
      </c>
      <c r="K4194" s="20" t="s">
        <v>10013</v>
      </c>
      <c r="L4194" s="3">
        <v>31</v>
      </c>
      <c r="M4194" s="3" t="s">
        <v>9761</v>
      </c>
      <c r="N4194" s="3" t="str">
        <f>HYPERLINK("http://ictvonline.org/taxonomyHistory.asp?taxnode_id=20165498","ICTVonline=20165498")</f>
        <v>ICTVonline=20165498</v>
      </c>
    </row>
    <row r="4195" spans="1:14" x14ac:dyDescent="0.15">
      <c r="A4195" s="3">
        <v>4194</v>
      </c>
      <c r="B4195" s="1" t="s">
        <v>926</v>
      </c>
      <c r="C4195" s="1" t="s">
        <v>9756</v>
      </c>
      <c r="E4195" s="1" t="s">
        <v>9942</v>
      </c>
      <c r="F4195" s="1" t="s">
        <v>9967</v>
      </c>
      <c r="G4195" s="3">
        <v>1</v>
      </c>
      <c r="H4195" s="20" t="s">
        <v>9968</v>
      </c>
      <c r="I4195" s="20" t="s">
        <v>9969</v>
      </c>
      <c r="J4195" s="20" t="s">
        <v>3165</v>
      </c>
      <c r="K4195" s="20" t="s">
        <v>10013</v>
      </c>
      <c r="L4195" s="3">
        <v>31</v>
      </c>
      <c r="M4195" s="3" t="s">
        <v>9761</v>
      </c>
      <c r="N4195" s="3" t="str">
        <f>HYPERLINK("http://ictvonline.org/taxonomyHistory.asp?taxnode_id=20165499","ICTVonline=20165499")</f>
        <v>ICTVonline=20165499</v>
      </c>
    </row>
    <row r="4196" spans="1:14" x14ac:dyDescent="0.15">
      <c r="A4196" s="3">
        <v>4195</v>
      </c>
      <c r="B4196" s="1" t="s">
        <v>926</v>
      </c>
      <c r="C4196" s="1" t="s">
        <v>9756</v>
      </c>
      <c r="E4196" s="1" t="s">
        <v>9942</v>
      </c>
      <c r="F4196" s="1" t="s">
        <v>9970</v>
      </c>
      <c r="G4196" s="3">
        <v>0</v>
      </c>
      <c r="H4196" s="20" t="s">
        <v>9971</v>
      </c>
      <c r="I4196" s="20" t="s">
        <v>9972</v>
      </c>
      <c r="J4196" s="20" t="s">
        <v>3165</v>
      </c>
      <c r="K4196" s="20" t="s">
        <v>10013</v>
      </c>
      <c r="L4196" s="3">
        <v>31</v>
      </c>
      <c r="M4196" s="3" t="s">
        <v>9761</v>
      </c>
      <c r="N4196" s="3" t="str">
        <f>HYPERLINK("http://ictvonline.org/taxonomyHistory.asp?taxnode_id=20165500","ICTVonline=20165500")</f>
        <v>ICTVonline=20165500</v>
      </c>
    </row>
    <row r="4197" spans="1:14" x14ac:dyDescent="0.15">
      <c r="A4197" s="3">
        <v>4196</v>
      </c>
      <c r="B4197" s="1" t="s">
        <v>926</v>
      </c>
      <c r="C4197" s="1" t="s">
        <v>9756</v>
      </c>
      <c r="E4197" s="1" t="s">
        <v>9942</v>
      </c>
      <c r="F4197" s="1" t="s">
        <v>9973</v>
      </c>
      <c r="G4197" s="3">
        <v>0</v>
      </c>
      <c r="H4197" s="20" t="s">
        <v>9974</v>
      </c>
      <c r="I4197" s="20" t="s">
        <v>9975</v>
      </c>
      <c r="J4197" s="20" t="s">
        <v>3165</v>
      </c>
      <c r="K4197" s="20" t="s">
        <v>10013</v>
      </c>
      <c r="L4197" s="3">
        <v>31</v>
      </c>
      <c r="M4197" s="3" t="s">
        <v>9761</v>
      </c>
      <c r="N4197" s="3" t="str">
        <f>HYPERLINK("http://ictvonline.org/taxonomyHistory.asp?taxnode_id=20165501","ICTVonline=20165501")</f>
        <v>ICTVonline=20165501</v>
      </c>
    </row>
    <row r="4198" spans="1:14" x14ac:dyDescent="0.15">
      <c r="A4198" s="3">
        <v>4197</v>
      </c>
      <c r="B4198" s="1" t="s">
        <v>926</v>
      </c>
      <c r="C4198" s="1" t="s">
        <v>796</v>
      </c>
      <c r="E4198" s="1" t="s">
        <v>6143</v>
      </c>
      <c r="F4198" s="1" t="s">
        <v>803</v>
      </c>
      <c r="G4198" s="3">
        <v>0</v>
      </c>
      <c r="H4198" s="20" t="s">
        <v>6144</v>
      </c>
      <c r="I4198" s="20" t="s">
        <v>5278</v>
      </c>
      <c r="J4198" s="20" t="s">
        <v>3160</v>
      </c>
      <c r="K4198" s="20" t="s">
        <v>10016</v>
      </c>
      <c r="L4198" s="3">
        <v>30</v>
      </c>
      <c r="M4198" s="3" t="s">
        <v>10404</v>
      </c>
      <c r="N4198" s="3" t="str">
        <f>HYPERLINK("http://ictvonline.org/taxonomyHistory.asp?taxnode_id=20164336","ICTVonline=20164336")</f>
        <v>ICTVonline=20164336</v>
      </c>
    </row>
    <row r="4199" spans="1:14" x14ac:dyDescent="0.15">
      <c r="A4199" s="3">
        <v>4198</v>
      </c>
      <c r="B4199" s="1" t="s">
        <v>926</v>
      </c>
      <c r="C4199" s="1" t="s">
        <v>796</v>
      </c>
      <c r="E4199" s="1" t="s">
        <v>6143</v>
      </c>
      <c r="F4199" s="1" t="s">
        <v>206</v>
      </c>
      <c r="G4199" s="3">
        <v>0</v>
      </c>
      <c r="H4199" s="20" t="s">
        <v>6145</v>
      </c>
      <c r="I4199" s="20" t="s">
        <v>5274</v>
      </c>
      <c r="J4199" s="20" t="s">
        <v>3160</v>
      </c>
      <c r="K4199" s="20" t="s">
        <v>10016</v>
      </c>
      <c r="L4199" s="3">
        <v>30</v>
      </c>
      <c r="M4199" s="3" t="s">
        <v>10404</v>
      </c>
      <c r="N4199" s="3" t="str">
        <f>HYPERLINK("http://ictvonline.org/taxonomyHistory.asp?taxnode_id=20164337","ICTVonline=20164337")</f>
        <v>ICTVonline=20164337</v>
      </c>
    </row>
    <row r="4200" spans="1:14" x14ac:dyDescent="0.15">
      <c r="A4200" s="3">
        <v>4199</v>
      </c>
      <c r="B4200" s="1" t="s">
        <v>926</v>
      </c>
      <c r="C4200" s="1" t="s">
        <v>796</v>
      </c>
      <c r="E4200" s="1" t="s">
        <v>6143</v>
      </c>
      <c r="F4200" s="1" t="s">
        <v>806</v>
      </c>
      <c r="G4200" s="3">
        <v>1</v>
      </c>
      <c r="H4200" s="20" t="s">
        <v>6146</v>
      </c>
      <c r="I4200" s="20" t="s">
        <v>6147</v>
      </c>
      <c r="J4200" s="20" t="s">
        <v>3160</v>
      </c>
      <c r="K4200" s="20" t="s">
        <v>10016</v>
      </c>
      <c r="L4200" s="3">
        <v>30</v>
      </c>
      <c r="M4200" s="3" t="s">
        <v>10404</v>
      </c>
      <c r="N4200" s="3" t="str">
        <f>HYPERLINK("http://ictvonline.org/taxonomyHistory.asp?taxnode_id=20164338","ICTVonline=20164338")</f>
        <v>ICTVonline=20164338</v>
      </c>
    </row>
    <row r="4201" spans="1:14" x14ac:dyDescent="0.15">
      <c r="A4201" s="3">
        <v>4200</v>
      </c>
      <c r="B4201" s="1" t="s">
        <v>926</v>
      </c>
      <c r="C4201" s="1" t="s">
        <v>796</v>
      </c>
      <c r="E4201" s="1" t="s">
        <v>6143</v>
      </c>
      <c r="F4201" s="1" t="s">
        <v>207</v>
      </c>
      <c r="G4201" s="3">
        <v>0</v>
      </c>
      <c r="H4201" s="20" t="s">
        <v>6148</v>
      </c>
      <c r="I4201" s="20" t="s">
        <v>5274</v>
      </c>
      <c r="J4201" s="20" t="s">
        <v>3160</v>
      </c>
      <c r="K4201" s="20" t="s">
        <v>10016</v>
      </c>
      <c r="L4201" s="3">
        <v>30</v>
      </c>
      <c r="M4201" s="3" t="s">
        <v>10404</v>
      </c>
      <c r="N4201" s="3" t="str">
        <f>HYPERLINK("http://ictvonline.org/taxonomyHistory.asp?taxnode_id=20164339","ICTVonline=20164339")</f>
        <v>ICTVonline=20164339</v>
      </c>
    </row>
    <row r="4202" spans="1:14" x14ac:dyDescent="0.15">
      <c r="A4202" s="3">
        <v>4201</v>
      </c>
      <c r="B4202" s="1" t="s">
        <v>926</v>
      </c>
      <c r="C4202" s="1" t="s">
        <v>796</v>
      </c>
      <c r="E4202" s="1" t="s">
        <v>6143</v>
      </c>
      <c r="F4202" s="1" t="s">
        <v>575</v>
      </c>
      <c r="G4202" s="3">
        <v>0</v>
      </c>
      <c r="H4202" s="20" t="s">
        <v>6149</v>
      </c>
      <c r="I4202" s="20" t="s">
        <v>6150</v>
      </c>
      <c r="J4202" s="20" t="s">
        <v>3160</v>
      </c>
      <c r="K4202" s="20" t="s">
        <v>10016</v>
      </c>
      <c r="L4202" s="3">
        <v>30</v>
      </c>
      <c r="M4202" s="3" t="s">
        <v>10404</v>
      </c>
      <c r="N4202" s="3" t="str">
        <f>HYPERLINK("http://ictvonline.org/taxonomyHistory.asp?taxnode_id=20164340","ICTVonline=20164340")</f>
        <v>ICTVonline=20164340</v>
      </c>
    </row>
    <row r="4203" spans="1:14" x14ac:dyDescent="0.15">
      <c r="A4203" s="3">
        <v>4202</v>
      </c>
      <c r="B4203" s="1" t="s">
        <v>926</v>
      </c>
      <c r="C4203" s="1" t="s">
        <v>796</v>
      </c>
      <c r="E4203" s="1" t="s">
        <v>6143</v>
      </c>
      <c r="F4203" s="1" t="s">
        <v>1301</v>
      </c>
      <c r="G4203" s="3">
        <v>0</v>
      </c>
      <c r="H4203" s="20" t="s">
        <v>6151</v>
      </c>
      <c r="I4203" s="20" t="s">
        <v>6152</v>
      </c>
      <c r="J4203" s="20" t="s">
        <v>3160</v>
      </c>
      <c r="K4203" s="20" t="s">
        <v>10016</v>
      </c>
      <c r="L4203" s="3">
        <v>30</v>
      </c>
      <c r="M4203" s="3" t="s">
        <v>10404</v>
      </c>
      <c r="N4203" s="3" t="str">
        <f>HYPERLINK("http://ictvonline.org/taxonomyHistory.asp?taxnode_id=20164341","ICTVonline=20164341")</f>
        <v>ICTVonline=20164341</v>
      </c>
    </row>
    <row r="4204" spans="1:14" x14ac:dyDescent="0.15">
      <c r="A4204" s="3">
        <v>4203</v>
      </c>
      <c r="B4204" s="1" t="s">
        <v>926</v>
      </c>
      <c r="C4204" s="1" t="s">
        <v>796</v>
      </c>
      <c r="E4204" s="1" t="s">
        <v>6143</v>
      </c>
      <c r="F4204" s="1" t="s">
        <v>1302</v>
      </c>
      <c r="G4204" s="3">
        <v>0</v>
      </c>
      <c r="H4204" s="20" t="s">
        <v>6153</v>
      </c>
      <c r="I4204" s="20" t="s">
        <v>6154</v>
      </c>
      <c r="J4204" s="20" t="s">
        <v>3160</v>
      </c>
      <c r="K4204" s="20" t="s">
        <v>10016</v>
      </c>
      <c r="L4204" s="3">
        <v>30</v>
      </c>
      <c r="M4204" s="3" t="s">
        <v>10404</v>
      </c>
      <c r="N4204" s="3" t="str">
        <f>HYPERLINK("http://ictvonline.org/taxonomyHistory.asp?taxnode_id=20164342","ICTVonline=20164342")</f>
        <v>ICTVonline=20164342</v>
      </c>
    </row>
    <row r="4205" spans="1:14" x14ac:dyDescent="0.15">
      <c r="A4205" s="3">
        <v>4204</v>
      </c>
      <c r="B4205" s="1" t="s">
        <v>926</v>
      </c>
      <c r="C4205" s="1" t="s">
        <v>796</v>
      </c>
      <c r="E4205" s="1" t="s">
        <v>2365</v>
      </c>
      <c r="F4205" s="1" t="s">
        <v>893</v>
      </c>
      <c r="G4205" s="3">
        <v>0</v>
      </c>
      <c r="H4205" s="20" t="s">
        <v>6155</v>
      </c>
      <c r="I4205" s="20" t="s">
        <v>6156</v>
      </c>
      <c r="J4205" s="20" t="s">
        <v>3160</v>
      </c>
      <c r="K4205" s="20" t="s">
        <v>10016</v>
      </c>
      <c r="L4205" s="3">
        <v>27</v>
      </c>
      <c r="M4205" s="3" t="s">
        <v>10405</v>
      </c>
      <c r="N4205" s="3" t="str">
        <f>HYPERLINK("http://ictvonline.org/taxonomyHistory.asp?taxnode_id=20164344","ICTVonline=20164344")</f>
        <v>ICTVonline=20164344</v>
      </c>
    </row>
    <row r="4206" spans="1:14" x14ac:dyDescent="0.15">
      <c r="A4206" s="3">
        <v>4205</v>
      </c>
      <c r="B4206" s="1" t="s">
        <v>926</v>
      </c>
      <c r="C4206" s="1" t="s">
        <v>796</v>
      </c>
      <c r="E4206" s="1" t="s">
        <v>2365</v>
      </c>
      <c r="F4206" s="1" t="s">
        <v>894</v>
      </c>
      <c r="G4206" s="3">
        <v>0</v>
      </c>
      <c r="H4206" s="20" t="s">
        <v>6157</v>
      </c>
      <c r="I4206" s="20" t="s">
        <v>6158</v>
      </c>
      <c r="J4206" s="20" t="s">
        <v>3160</v>
      </c>
      <c r="K4206" s="20" t="s">
        <v>10016</v>
      </c>
      <c r="L4206" s="3">
        <v>27</v>
      </c>
      <c r="M4206" s="3" t="s">
        <v>10405</v>
      </c>
      <c r="N4206" s="3" t="str">
        <f>HYPERLINK("http://ictvonline.org/taxonomyHistory.asp?taxnode_id=20164345","ICTVonline=20164345")</f>
        <v>ICTVonline=20164345</v>
      </c>
    </row>
    <row r="4207" spans="1:14" x14ac:dyDescent="0.15">
      <c r="A4207" s="3">
        <v>4206</v>
      </c>
      <c r="B4207" s="1" t="s">
        <v>926</v>
      </c>
      <c r="C4207" s="1" t="s">
        <v>796</v>
      </c>
      <c r="E4207" s="1" t="s">
        <v>2365</v>
      </c>
      <c r="F4207" s="1" t="s">
        <v>895</v>
      </c>
      <c r="G4207" s="3">
        <v>1</v>
      </c>
      <c r="H4207" s="20" t="s">
        <v>6159</v>
      </c>
      <c r="I4207" s="20" t="s">
        <v>6160</v>
      </c>
      <c r="J4207" s="20" t="s">
        <v>3160</v>
      </c>
      <c r="K4207" s="20" t="s">
        <v>10016</v>
      </c>
      <c r="L4207" s="3">
        <v>27</v>
      </c>
      <c r="M4207" s="3" t="s">
        <v>10405</v>
      </c>
      <c r="N4207" s="3" t="str">
        <f>HYPERLINK("http://ictvonline.org/taxonomyHistory.asp?taxnode_id=20164346","ICTVonline=20164346")</f>
        <v>ICTVonline=20164346</v>
      </c>
    </row>
    <row r="4208" spans="1:14" x14ac:dyDescent="0.15">
      <c r="A4208" s="3">
        <v>4207</v>
      </c>
      <c r="B4208" s="1" t="s">
        <v>926</v>
      </c>
      <c r="C4208" s="1" t="s">
        <v>796</v>
      </c>
      <c r="E4208" s="1" t="s">
        <v>797</v>
      </c>
      <c r="F4208" s="1" t="s">
        <v>798</v>
      </c>
      <c r="G4208" s="3">
        <v>0</v>
      </c>
      <c r="H4208" s="20" t="s">
        <v>6161</v>
      </c>
      <c r="I4208" s="20" t="s">
        <v>6162</v>
      </c>
      <c r="J4208" s="20" t="s">
        <v>3160</v>
      </c>
      <c r="K4208" s="20" t="s">
        <v>10013</v>
      </c>
      <c r="L4208" s="3">
        <v>23</v>
      </c>
      <c r="M4208" s="3" t="s">
        <v>10229</v>
      </c>
      <c r="N4208" s="3" t="str">
        <f>HYPERLINK("http://ictvonline.org/taxonomyHistory.asp?taxnode_id=20164348","ICTVonline=20164348")</f>
        <v>ICTVonline=20164348</v>
      </c>
    </row>
    <row r="4209" spans="1:14" x14ac:dyDescent="0.15">
      <c r="A4209" s="3">
        <v>4208</v>
      </c>
      <c r="B4209" s="1" t="s">
        <v>926</v>
      </c>
      <c r="C4209" s="1" t="s">
        <v>796</v>
      </c>
      <c r="E4209" s="1" t="s">
        <v>797</v>
      </c>
      <c r="F4209" s="1" t="s">
        <v>2201</v>
      </c>
      <c r="G4209" s="3">
        <v>0</v>
      </c>
      <c r="H4209" s="20" t="s">
        <v>6163</v>
      </c>
      <c r="I4209" s="20" t="s">
        <v>6164</v>
      </c>
      <c r="J4209" s="20" t="s">
        <v>3160</v>
      </c>
      <c r="K4209" s="20" t="s">
        <v>10013</v>
      </c>
      <c r="L4209" s="3">
        <v>25</v>
      </c>
      <c r="M4209" s="3" t="s">
        <v>10406</v>
      </c>
      <c r="N4209" s="3" t="str">
        <f>HYPERLINK("http://ictvonline.org/taxonomyHistory.asp?taxnode_id=20164349","ICTVonline=20164349")</f>
        <v>ICTVonline=20164349</v>
      </c>
    </row>
    <row r="4210" spans="1:14" x14ac:dyDescent="0.15">
      <c r="A4210" s="3">
        <v>4209</v>
      </c>
      <c r="B4210" s="1" t="s">
        <v>926</v>
      </c>
      <c r="C4210" s="1" t="s">
        <v>796</v>
      </c>
      <c r="E4210" s="1" t="s">
        <v>797</v>
      </c>
      <c r="F4210" s="1" t="s">
        <v>1961</v>
      </c>
      <c r="G4210" s="3">
        <v>0</v>
      </c>
      <c r="H4210" s="20" t="s">
        <v>6165</v>
      </c>
      <c r="I4210" s="20" t="s">
        <v>5256</v>
      </c>
      <c r="J4210" s="20" t="s">
        <v>3160</v>
      </c>
      <c r="K4210" s="20" t="s">
        <v>10013</v>
      </c>
      <c r="L4210" s="3">
        <v>25</v>
      </c>
      <c r="M4210" s="3" t="s">
        <v>10406</v>
      </c>
      <c r="N4210" s="3" t="str">
        <f>HYPERLINK("http://ictvonline.org/taxonomyHistory.asp?taxnode_id=20164350","ICTVonline=20164350")</f>
        <v>ICTVonline=20164350</v>
      </c>
    </row>
    <row r="4211" spans="1:14" x14ac:dyDescent="0.15">
      <c r="A4211" s="3">
        <v>4210</v>
      </c>
      <c r="B4211" s="1" t="s">
        <v>926</v>
      </c>
      <c r="C4211" s="1" t="s">
        <v>796</v>
      </c>
      <c r="E4211" s="1" t="s">
        <v>797</v>
      </c>
      <c r="F4211" s="1" t="s">
        <v>799</v>
      </c>
      <c r="G4211" s="3">
        <v>1</v>
      </c>
      <c r="H4211" s="20" t="s">
        <v>6166</v>
      </c>
      <c r="I4211" s="20" t="s">
        <v>6167</v>
      </c>
      <c r="J4211" s="20" t="s">
        <v>3160</v>
      </c>
      <c r="K4211" s="20" t="s">
        <v>10072</v>
      </c>
      <c r="L4211" s="3">
        <v>17</v>
      </c>
      <c r="M4211" s="3" t="s">
        <v>10208</v>
      </c>
      <c r="N4211" s="3" t="str">
        <f>HYPERLINK("http://ictvonline.org/taxonomyHistory.asp?taxnode_id=20164351","ICTVonline=20164351")</f>
        <v>ICTVonline=20164351</v>
      </c>
    </row>
    <row r="4212" spans="1:14" x14ac:dyDescent="0.15">
      <c r="A4212" s="3">
        <v>4211</v>
      </c>
      <c r="B4212" s="1" t="s">
        <v>926</v>
      </c>
      <c r="C4212" s="1" t="s">
        <v>796</v>
      </c>
      <c r="E4212" s="1" t="s">
        <v>797</v>
      </c>
      <c r="F4212" s="1" t="s">
        <v>6168</v>
      </c>
      <c r="G4212" s="3">
        <v>0</v>
      </c>
      <c r="H4212" s="20" t="s">
        <v>7065</v>
      </c>
      <c r="I4212" s="20" t="s">
        <v>6169</v>
      </c>
      <c r="J4212" s="20" t="s">
        <v>3160</v>
      </c>
      <c r="K4212" s="20" t="s">
        <v>10013</v>
      </c>
      <c r="L4212" s="3">
        <v>30</v>
      </c>
      <c r="M4212" s="3" t="s">
        <v>10407</v>
      </c>
      <c r="N4212" s="3" t="str">
        <f>HYPERLINK("http://ictvonline.org/taxonomyHistory.asp?taxnode_id=20164352","ICTVonline=20164352")</f>
        <v>ICTVonline=20164352</v>
      </c>
    </row>
    <row r="4213" spans="1:14" x14ac:dyDescent="0.15">
      <c r="A4213" s="3">
        <v>4212</v>
      </c>
      <c r="B4213" s="1" t="s">
        <v>926</v>
      </c>
      <c r="C4213" s="1" t="s">
        <v>796</v>
      </c>
      <c r="E4213" s="1" t="s">
        <v>800</v>
      </c>
      <c r="F4213" s="1" t="s">
        <v>801</v>
      </c>
      <c r="G4213" s="3">
        <v>1</v>
      </c>
      <c r="H4213" s="20" t="s">
        <v>6170</v>
      </c>
      <c r="I4213" s="20" t="s">
        <v>6171</v>
      </c>
      <c r="J4213" s="20" t="s">
        <v>3160</v>
      </c>
      <c r="K4213" s="20" t="s">
        <v>10072</v>
      </c>
      <c r="L4213" s="3">
        <v>17</v>
      </c>
      <c r="M4213" s="3" t="s">
        <v>10208</v>
      </c>
      <c r="N4213" s="3" t="str">
        <f>HYPERLINK("http://ictvonline.org/taxonomyHistory.asp?taxnode_id=20164354","ICTVonline=20164354")</f>
        <v>ICTVonline=20164354</v>
      </c>
    </row>
    <row r="4214" spans="1:14" x14ac:dyDescent="0.15">
      <c r="A4214" s="3">
        <v>4213</v>
      </c>
      <c r="B4214" s="1" t="s">
        <v>926</v>
      </c>
      <c r="C4214" s="1" t="s">
        <v>796</v>
      </c>
      <c r="E4214" s="1" t="s">
        <v>6172</v>
      </c>
      <c r="F4214" s="1" t="s">
        <v>805</v>
      </c>
      <c r="G4214" s="3">
        <v>0</v>
      </c>
      <c r="H4214" s="20" t="s">
        <v>6173</v>
      </c>
      <c r="I4214" s="20" t="s">
        <v>6174</v>
      </c>
      <c r="J4214" s="20" t="s">
        <v>3160</v>
      </c>
      <c r="K4214" s="20" t="s">
        <v>10016</v>
      </c>
      <c r="L4214" s="3">
        <v>30</v>
      </c>
      <c r="M4214" s="3" t="s">
        <v>10404</v>
      </c>
      <c r="N4214" s="3" t="str">
        <f>HYPERLINK("http://ictvonline.org/taxonomyHistory.asp?taxnode_id=20164356","ICTVonline=20164356")</f>
        <v>ICTVonline=20164356</v>
      </c>
    </row>
    <row r="4215" spans="1:14" x14ac:dyDescent="0.15">
      <c r="A4215" s="3">
        <v>4214</v>
      </c>
      <c r="B4215" s="1" t="s">
        <v>926</v>
      </c>
      <c r="C4215" s="1" t="s">
        <v>796</v>
      </c>
      <c r="E4215" s="1" t="s">
        <v>6172</v>
      </c>
      <c r="F4215" s="1" t="s">
        <v>1428</v>
      </c>
      <c r="G4215" s="3">
        <v>0</v>
      </c>
      <c r="H4215" s="20" t="s">
        <v>6175</v>
      </c>
      <c r="I4215" s="20" t="s">
        <v>5128</v>
      </c>
      <c r="J4215" s="20" t="s">
        <v>3160</v>
      </c>
      <c r="K4215" s="20" t="s">
        <v>10016</v>
      </c>
      <c r="L4215" s="3">
        <v>30</v>
      </c>
      <c r="M4215" s="3" t="s">
        <v>10404</v>
      </c>
      <c r="N4215" s="3" t="str">
        <f>HYPERLINK("http://ictvonline.org/taxonomyHistory.asp?taxnode_id=20164357","ICTVonline=20164357")</f>
        <v>ICTVonline=20164357</v>
      </c>
    </row>
    <row r="4216" spans="1:14" x14ac:dyDescent="0.15">
      <c r="A4216" s="3">
        <v>4215</v>
      </c>
      <c r="B4216" s="1" t="s">
        <v>926</v>
      </c>
      <c r="C4216" s="1" t="s">
        <v>796</v>
      </c>
      <c r="E4216" s="1" t="s">
        <v>6172</v>
      </c>
      <c r="F4216" s="1" t="s">
        <v>694</v>
      </c>
      <c r="G4216" s="3">
        <v>0</v>
      </c>
      <c r="H4216" s="20" t="s">
        <v>6176</v>
      </c>
      <c r="I4216" s="20" t="s">
        <v>6177</v>
      </c>
      <c r="J4216" s="20" t="s">
        <v>3160</v>
      </c>
      <c r="K4216" s="20" t="s">
        <v>10016</v>
      </c>
      <c r="L4216" s="3">
        <v>30</v>
      </c>
      <c r="M4216" s="3" t="s">
        <v>10404</v>
      </c>
      <c r="N4216" s="3" t="str">
        <f>HYPERLINK("http://ictvonline.org/taxonomyHistory.asp?taxnode_id=20164358","ICTVonline=20164358")</f>
        <v>ICTVonline=20164358</v>
      </c>
    </row>
    <row r="4217" spans="1:14" x14ac:dyDescent="0.15">
      <c r="A4217" s="3">
        <v>4216</v>
      </c>
      <c r="B4217" s="1" t="s">
        <v>926</v>
      </c>
      <c r="C4217" s="1" t="s">
        <v>796</v>
      </c>
      <c r="E4217" s="1" t="s">
        <v>6172</v>
      </c>
      <c r="F4217" s="1" t="s">
        <v>1303</v>
      </c>
      <c r="G4217" s="3">
        <v>1</v>
      </c>
      <c r="H4217" s="20" t="s">
        <v>6178</v>
      </c>
      <c r="I4217" s="20" t="s">
        <v>6179</v>
      </c>
      <c r="J4217" s="20" t="s">
        <v>3160</v>
      </c>
      <c r="K4217" s="20" t="s">
        <v>10016</v>
      </c>
      <c r="L4217" s="3">
        <v>30</v>
      </c>
      <c r="M4217" s="3" t="s">
        <v>10404</v>
      </c>
      <c r="N4217" s="3" t="str">
        <f>HYPERLINK("http://ictvonline.org/taxonomyHistory.asp?taxnode_id=20164359","ICTVonline=20164359")</f>
        <v>ICTVonline=20164359</v>
      </c>
    </row>
    <row r="4218" spans="1:14" x14ac:dyDescent="0.15">
      <c r="A4218" s="3">
        <v>4217</v>
      </c>
      <c r="B4218" s="1" t="s">
        <v>926</v>
      </c>
      <c r="C4218" s="1" t="s">
        <v>796</v>
      </c>
      <c r="E4218" s="1" t="s">
        <v>2366</v>
      </c>
      <c r="F4218" s="1" t="s">
        <v>890</v>
      </c>
      <c r="G4218" s="3">
        <v>0</v>
      </c>
      <c r="H4218" s="20" t="s">
        <v>6180</v>
      </c>
      <c r="I4218" s="20" t="s">
        <v>6181</v>
      </c>
      <c r="J4218" s="20" t="s">
        <v>3160</v>
      </c>
      <c r="K4218" s="20" t="s">
        <v>10016</v>
      </c>
      <c r="L4218" s="3">
        <v>27</v>
      </c>
      <c r="M4218" s="3" t="s">
        <v>10405</v>
      </c>
      <c r="N4218" s="3" t="str">
        <f>HYPERLINK("http://ictvonline.org/taxonomyHistory.asp?taxnode_id=20164361","ICTVonline=20164361")</f>
        <v>ICTVonline=20164361</v>
      </c>
    </row>
    <row r="4219" spans="1:14" x14ac:dyDescent="0.15">
      <c r="A4219" s="3">
        <v>4218</v>
      </c>
      <c r="B4219" s="1" t="s">
        <v>926</v>
      </c>
      <c r="C4219" s="1" t="s">
        <v>796</v>
      </c>
      <c r="E4219" s="1" t="s">
        <v>2366</v>
      </c>
      <c r="F4219" s="1" t="s">
        <v>892</v>
      </c>
      <c r="G4219" s="3">
        <v>0</v>
      </c>
      <c r="H4219" s="20" t="s">
        <v>6182</v>
      </c>
      <c r="I4219" s="20" t="s">
        <v>6183</v>
      </c>
      <c r="J4219" s="20" t="s">
        <v>3160</v>
      </c>
      <c r="K4219" s="20" t="s">
        <v>10016</v>
      </c>
      <c r="L4219" s="3">
        <v>27</v>
      </c>
      <c r="M4219" s="3" t="s">
        <v>10405</v>
      </c>
      <c r="N4219" s="3" t="str">
        <f>HYPERLINK("http://ictvonline.org/taxonomyHistory.asp?taxnode_id=20164362","ICTVonline=20164362")</f>
        <v>ICTVonline=20164362</v>
      </c>
    </row>
    <row r="4220" spans="1:14" x14ac:dyDescent="0.15">
      <c r="A4220" s="3">
        <v>4219</v>
      </c>
      <c r="B4220" s="1" t="s">
        <v>926</v>
      </c>
      <c r="C4220" s="1" t="s">
        <v>796</v>
      </c>
      <c r="E4220" s="1" t="s">
        <v>2366</v>
      </c>
      <c r="F4220" s="1" t="s">
        <v>1966</v>
      </c>
      <c r="G4220" s="3">
        <v>1</v>
      </c>
      <c r="H4220" s="20" t="s">
        <v>6184</v>
      </c>
      <c r="I4220" s="20" t="s">
        <v>4726</v>
      </c>
      <c r="J4220" s="20" t="s">
        <v>3160</v>
      </c>
      <c r="K4220" s="20" t="s">
        <v>10076</v>
      </c>
      <c r="L4220" s="3">
        <v>27</v>
      </c>
      <c r="M4220" s="3" t="s">
        <v>10405</v>
      </c>
      <c r="N4220" s="3" t="str">
        <f>HYPERLINK("http://ictvonline.org/taxonomyHistory.asp?taxnode_id=20164363","ICTVonline=20164363")</f>
        <v>ICTVonline=20164363</v>
      </c>
    </row>
    <row r="4221" spans="1:14" x14ac:dyDescent="0.15">
      <c r="A4221" s="3">
        <v>4220</v>
      </c>
      <c r="B4221" s="1" t="s">
        <v>926</v>
      </c>
      <c r="C4221" s="1" t="s">
        <v>796</v>
      </c>
      <c r="E4221" s="1" t="s">
        <v>1305</v>
      </c>
      <c r="F4221" s="1" t="s">
        <v>1306</v>
      </c>
      <c r="G4221" s="3">
        <v>1</v>
      </c>
      <c r="H4221" s="20" t="s">
        <v>7264</v>
      </c>
      <c r="I4221" s="20" t="s">
        <v>6185</v>
      </c>
      <c r="J4221" s="20" t="s">
        <v>3160</v>
      </c>
      <c r="K4221" s="20" t="s">
        <v>10016</v>
      </c>
      <c r="L4221" s="3">
        <v>15</v>
      </c>
      <c r="M4221" s="3" t="s">
        <v>10268</v>
      </c>
      <c r="N4221" s="3" t="str">
        <f>HYPERLINK("http://ictvonline.org/taxonomyHistory.asp?taxnode_id=20164365","ICTVonline=20164365")</f>
        <v>ICTVonline=20164365</v>
      </c>
    </row>
    <row r="4222" spans="1:14" x14ac:dyDescent="0.15">
      <c r="A4222" s="3">
        <v>4221</v>
      </c>
      <c r="B4222" s="1" t="s">
        <v>926</v>
      </c>
      <c r="C4222" s="1" t="s">
        <v>796</v>
      </c>
      <c r="E4222" s="1" t="s">
        <v>1305</v>
      </c>
      <c r="F4222" s="1" t="s">
        <v>1307</v>
      </c>
      <c r="G4222" s="3">
        <v>0</v>
      </c>
      <c r="H4222" s="20" t="s">
        <v>7265</v>
      </c>
      <c r="I4222" s="20" t="s">
        <v>4747</v>
      </c>
      <c r="J4222" s="20" t="s">
        <v>3160</v>
      </c>
      <c r="K4222" s="20" t="s">
        <v>10016</v>
      </c>
      <c r="L4222" s="3">
        <v>15</v>
      </c>
      <c r="M4222" s="3" t="s">
        <v>10268</v>
      </c>
      <c r="N4222" s="3" t="str">
        <f>HYPERLINK("http://ictvonline.org/taxonomyHistory.asp?taxnode_id=20164366","ICTVonline=20164366")</f>
        <v>ICTVonline=20164366</v>
      </c>
    </row>
    <row r="4223" spans="1:14" x14ac:dyDescent="0.15">
      <c r="A4223" s="3">
        <v>4222</v>
      </c>
      <c r="B4223" s="1" t="s">
        <v>926</v>
      </c>
      <c r="C4223" s="1" t="s">
        <v>796</v>
      </c>
      <c r="E4223" s="1" t="s">
        <v>1305</v>
      </c>
      <c r="F4223" s="1" t="s">
        <v>1308</v>
      </c>
      <c r="G4223" s="3">
        <v>0</v>
      </c>
      <c r="H4223" s="20" t="s">
        <v>7266</v>
      </c>
      <c r="I4223" s="20" t="s">
        <v>6471</v>
      </c>
      <c r="J4223" s="20" t="s">
        <v>3160</v>
      </c>
      <c r="K4223" s="20" t="s">
        <v>10016</v>
      </c>
      <c r="L4223" s="3">
        <v>15</v>
      </c>
      <c r="M4223" s="3" t="s">
        <v>10268</v>
      </c>
      <c r="N4223" s="3" t="str">
        <f>HYPERLINK("http://ictvonline.org/taxonomyHistory.asp?taxnode_id=20164367","ICTVonline=20164367")</f>
        <v>ICTVonline=20164367</v>
      </c>
    </row>
    <row r="4224" spans="1:14" x14ac:dyDescent="0.15">
      <c r="A4224" s="3">
        <v>4223</v>
      </c>
      <c r="B4224" s="1" t="s">
        <v>926</v>
      </c>
      <c r="C4224" s="1" t="s">
        <v>796</v>
      </c>
      <c r="E4224" s="1" t="s">
        <v>2367</v>
      </c>
      <c r="F4224" s="1" t="s">
        <v>1427</v>
      </c>
      <c r="G4224" s="3">
        <v>1</v>
      </c>
      <c r="H4224" s="20" t="s">
        <v>6186</v>
      </c>
      <c r="I4224" s="20" t="s">
        <v>6187</v>
      </c>
      <c r="J4224" s="20" t="s">
        <v>3160</v>
      </c>
      <c r="K4224" s="20" t="s">
        <v>10076</v>
      </c>
      <c r="L4224" s="3">
        <v>27</v>
      </c>
      <c r="M4224" s="3" t="s">
        <v>10408</v>
      </c>
      <c r="N4224" s="3" t="str">
        <f>HYPERLINK("http://ictvonline.org/taxonomyHistory.asp?taxnode_id=20164369","ICTVonline=20164369")</f>
        <v>ICTVonline=20164369</v>
      </c>
    </row>
    <row r="4225" spans="1:14" x14ac:dyDescent="0.15">
      <c r="A4225" s="3">
        <v>4224</v>
      </c>
      <c r="B4225" s="1" t="s">
        <v>926</v>
      </c>
      <c r="C4225" s="1" t="s">
        <v>796</v>
      </c>
      <c r="E4225" s="1" t="s">
        <v>6188</v>
      </c>
      <c r="F4225" s="1" t="s">
        <v>1425</v>
      </c>
      <c r="G4225" s="3">
        <v>0</v>
      </c>
      <c r="H4225" s="20" t="s">
        <v>6189</v>
      </c>
      <c r="I4225" s="20" t="s">
        <v>6190</v>
      </c>
      <c r="J4225" s="20" t="s">
        <v>3160</v>
      </c>
      <c r="K4225" s="20" t="s">
        <v>10016</v>
      </c>
      <c r="L4225" s="3">
        <v>30</v>
      </c>
      <c r="M4225" s="3" t="s">
        <v>10404</v>
      </c>
      <c r="N4225" s="3" t="str">
        <f>HYPERLINK("http://ictvonline.org/taxonomyHistory.asp?taxnode_id=20164371","ICTVonline=20164371")</f>
        <v>ICTVonline=20164371</v>
      </c>
    </row>
    <row r="4226" spans="1:14" x14ac:dyDescent="0.15">
      <c r="A4226" s="3">
        <v>4225</v>
      </c>
      <c r="B4226" s="1" t="s">
        <v>926</v>
      </c>
      <c r="C4226" s="1" t="s">
        <v>796</v>
      </c>
      <c r="E4226" s="1" t="s">
        <v>6188</v>
      </c>
      <c r="F4226" s="1" t="s">
        <v>695</v>
      </c>
      <c r="G4226" s="3">
        <v>1</v>
      </c>
      <c r="H4226" s="20" t="s">
        <v>6191</v>
      </c>
      <c r="I4226" s="20" t="s">
        <v>6192</v>
      </c>
      <c r="J4226" s="20" t="s">
        <v>3160</v>
      </c>
      <c r="K4226" s="20" t="s">
        <v>10016</v>
      </c>
      <c r="L4226" s="3">
        <v>30</v>
      </c>
      <c r="M4226" s="3" t="s">
        <v>10404</v>
      </c>
      <c r="N4226" s="3" t="str">
        <f>HYPERLINK("http://ictvonline.org/taxonomyHistory.asp?taxnode_id=20164372","ICTVonline=20164372")</f>
        <v>ICTVonline=20164372</v>
      </c>
    </row>
    <row r="4227" spans="1:14" x14ac:dyDescent="0.15">
      <c r="A4227" s="3">
        <v>4226</v>
      </c>
      <c r="B4227" s="1" t="s">
        <v>926</v>
      </c>
      <c r="C4227" s="1" t="s">
        <v>796</v>
      </c>
      <c r="E4227" s="1" t="s">
        <v>6188</v>
      </c>
      <c r="F4227" s="1" t="s">
        <v>1300</v>
      </c>
      <c r="G4227" s="3">
        <v>0</v>
      </c>
      <c r="H4227" s="20" t="s">
        <v>6193</v>
      </c>
      <c r="I4227" s="20" t="s">
        <v>4576</v>
      </c>
      <c r="J4227" s="20" t="s">
        <v>3160</v>
      </c>
      <c r="K4227" s="20" t="s">
        <v>10016</v>
      </c>
      <c r="L4227" s="3">
        <v>30</v>
      </c>
      <c r="M4227" s="3" t="s">
        <v>10404</v>
      </c>
      <c r="N4227" s="3" t="str">
        <f>HYPERLINK("http://ictvonline.org/taxonomyHistory.asp?taxnode_id=20164373","ICTVonline=20164373")</f>
        <v>ICTVonline=20164373</v>
      </c>
    </row>
    <row r="4228" spans="1:14" x14ac:dyDescent="0.15">
      <c r="A4228" s="3">
        <v>4227</v>
      </c>
      <c r="B4228" s="1" t="s">
        <v>926</v>
      </c>
      <c r="C4228" s="1" t="s">
        <v>796</v>
      </c>
      <c r="E4228" s="1" t="s">
        <v>6188</v>
      </c>
      <c r="F4228" s="1" t="s">
        <v>208</v>
      </c>
      <c r="G4228" s="3">
        <v>0</v>
      </c>
      <c r="H4228" s="20" t="s">
        <v>6194</v>
      </c>
      <c r="I4228" s="20" t="s">
        <v>6195</v>
      </c>
      <c r="J4228" s="20" t="s">
        <v>3160</v>
      </c>
      <c r="K4228" s="20" t="s">
        <v>10016</v>
      </c>
      <c r="L4228" s="3">
        <v>30</v>
      </c>
      <c r="M4228" s="3" t="s">
        <v>10404</v>
      </c>
      <c r="N4228" s="3" t="str">
        <f>HYPERLINK("http://ictvonline.org/taxonomyHistory.asp?taxnode_id=20164374","ICTVonline=20164374")</f>
        <v>ICTVonline=20164374</v>
      </c>
    </row>
    <row r="4229" spans="1:14" x14ac:dyDescent="0.15">
      <c r="A4229" s="3">
        <v>4228</v>
      </c>
      <c r="B4229" s="1" t="s">
        <v>926</v>
      </c>
      <c r="C4229" s="1" t="s">
        <v>796</v>
      </c>
      <c r="E4229" s="1" t="s">
        <v>2368</v>
      </c>
      <c r="F4229" s="1" t="s">
        <v>2369</v>
      </c>
      <c r="G4229" s="3">
        <v>1</v>
      </c>
      <c r="H4229" s="20" t="s">
        <v>6196</v>
      </c>
      <c r="I4229" s="20" t="s">
        <v>6197</v>
      </c>
      <c r="J4229" s="20" t="s">
        <v>3160</v>
      </c>
      <c r="K4229" s="20" t="s">
        <v>10072</v>
      </c>
      <c r="L4229" s="3">
        <v>27</v>
      </c>
      <c r="M4229" s="3" t="s">
        <v>10409</v>
      </c>
      <c r="N4229" s="3" t="str">
        <f>HYPERLINK("http://ictvonline.org/taxonomyHistory.asp?taxnode_id=20164376","ICTVonline=20164376")</f>
        <v>ICTVonline=20164376</v>
      </c>
    </row>
    <row r="4230" spans="1:14" x14ac:dyDescent="0.15">
      <c r="A4230" s="3">
        <v>4229</v>
      </c>
      <c r="B4230" s="1" t="s">
        <v>926</v>
      </c>
      <c r="C4230" s="1" t="s">
        <v>796</v>
      </c>
      <c r="E4230" s="1" t="s">
        <v>1309</v>
      </c>
      <c r="F4230" s="1" t="s">
        <v>1310</v>
      </c>
      <c r="G4230" s="3">
        <v>1</v>
      </c>
      <c r="H4230" s="20" t="s">
        <v>6198</v>
      </c>
      <c r="I4230" s="20" t="s">
        <v>6199</v>
      </c>
      <c r="J4230" s="20" t="s">
        <v>3160</v>
      </c>
      <c r="K4230" s="20" t="s">
        <v>10016</v>
      </c>
      <c r="L4230" s="3">
        <v>15</v>
      </c>
      <c r="M4230" s="3" t="s">
        <v>10268</v>
      </c>
      <c r="N4230" s="3" t="str">
        <f>HYPERLINK("http://ictvonline.org/taxonomyHistory.asp?taxnode_id=20164378","ICTVonline=20164378")</f>
        <v>ICTVonline=20164378</v>
      </c>
    </row>
    <row r="4231" spans="1:14" x14ac:dyDescent="0.15">
      <c r="A4231" s="3">
        <v>4230</v>
      </c>
      <c r="B4231" s="1" t="s">
        <v>926</v>
      </c>
      <c r="C4231" s="1" t="s">
        <v>796</v>
      </c>
      <c r="E4231" s="1" t="s">
        <v>1967</v>
      </c>
      <c r="F4231" s="1" t="s">
        <v>209</v>
      </c>
      <c r="G4231" s="3">
        <v>0</v>
      </c>
      <c r="H4231" s="20" t="s">
        <v>6200</v>
      </c>
      <c r="I4231" s="20" t="s">
        <v>6201</v>
      </c>
      <c r="J4231" s="20" t="s">
        <v>3160</v>
      </c>
      <c r="K4231" s="20" t="s">
        <v>10013</v>
      </c>
      <c r="L4231" s="3">
        <v>26</v>
      </c>
      <c r="M4231" s="3" t="s">
        <v>10410</v>
      </c>
      <c r="N4231" s="3" t="str">
        <f>HYPERLINK("http://ictvonline.org/taxonomyHistory.asp?taxnode_id=20164380","ICTVonline=20164380")</f>
        <v>ICTVonline=20164380</v>
      </c>
    </row>
    <row r="4232" spans="1:14" x14ac:dyDescent="0.15">
      <c r="A4232" s="3">
        <v>4231</v>
      </c>
      <c r="B4232" s="1" t="s">
        <v>926</v>
      </c>
      <c r="C4232" s="1" t="s">
        <v>796</v>
      </c>
      <c r="E4232" s="1" t="s">
        <v>1967</v>
      </c>
      <c r="F4232" s="1" t="s">
        <v>1968</v>
      </c>
      <c r="G4232" s="3">
        <v>1</v>
      </c>
      <c r="H4232" s="20" t="s">
        <v>6202</v>
      </c>
      <c r="I4232" s="20" t="s">
        <v>6203</v>
      </c>
      <c r="J4232" s="20" t="s">
        <v>3160</v>
      </c>
      <c r="K4232" s="20" t="s">
        <v>10072</v>
      </c>
      <c r="L4232" s="3">
        <v>17</v>
      </c>
      <c r="M4232" s="3" t="s">
        <v>10208</v>
      </c>
      <c r="N4232" s="3" t="str">
        <f>HYPERLINK("http://ictvonline.org/taxonomyHistory.asp?taxnode_id=20164381","ICTVonline=20164381")</f>
        <v>ICTVonline=20164381</v>
      </c>
    </row>
    <row r="4233" spans="1:14" x14ac:dyDescent="0.15">
      <c r="A4233" s="3">
        <v>4232</v>
      </c>
      <c r="B4233" s="1" t="s">
        <v>926</v>
      </c>
      <c r="C4233" s="1" t="s">
        <v>796</v>
      </c>
      <c r="E4233" s="1" t="s">
        <v>1967</v>
      </c>
      <c r="F4233" s="1" t="s">
        <v>2841</v>
      </c>
      <c r="G4233" s="3">
        <v>0</v>
      </c>
      <c r="H4233" s="20" t="s">
        <v>3220</v>
      </c>
      <c r="I4233" s="20" t="s">
        <v>6204</v>
      </c>
      <c r="J4233" s="20" t="s">
        <v>3160</v>
      </c>
      <c r="K4233" s="20" t="s">
        <v>10013</v>
      </c>
      <c r="L4233" s="3">
        <v>29</v>
      </c>
      <c r="M4233" s="3" t="s">
        <v>10411</v>
      </c>
      <c r="N4233" s="3" t="str">
        <f>HYPERLINK("http://ictvonline.org/taxonomyHistory.asp?taxnode_id=20164382","ICTVonline=20164382")</f>
        <v>ICTVonline=20164382</v>
      </c>
    </row>
    <row r="4234" spans="1:14" x14ac:dyDescent="0.15">
      <c r="A4234" s="3">
        <v>4233</v>
      </c>
      <c r="B4234" s="1" t="s">
        <v>926</v>
      </c>
      <c r="C4234" s="1" t="s">
        <v>796</v>
      </c>
      <c r="E4234" s="1" t="s">
        <v>6205</v>
      </c>
      <c r="F4234" s="1" t="s">
        <v>2842</v>
      </c>
      <c r="G4234" s="3">
        <v>0</v>
      </c>
      <c r="H4234" s="20" t="s">
        <v>3221</v>
      </c>
      <c r="I4234" s="20" t="s">
        <v>6206</v>
      </c>
      <c r="J4234" s="20" t="s">
        <v>3160</v>
      </c>
      <c r="K4234" s="20" t="s">
        <v>10016</v>
      </c>
      <c r="L4234" s="3">
        <v>30</v>
      </c>
      <c r="M4234" s="3" t="s">
        <v>10412</v>
      </c>
      <c r="N4234" s="3" t="str">
        <f>HYPERLINK("http://ictvonline.org/taxonomyHistory.asp?taxnode_id=20164384","ICTVonline=20164384")</f>
        <v>ICTVonline=20164384</v>
      </c>
    </row>
    <row r="4235" spans="1:14" x14ac:dyDescent="0.15">
      <c r="A4235" s="3">
        <v>4234</v>
      </c>
      <c r="B4235" s="1" t="s">
        <v>926</v>
      </c>
      <c r="C4235" s="1" t="s">
        <v>796</v>
      </c>
      <c r="E4235" s="1" t="s">
        <v>6205</v>
      </c>
      <c r="F4235" s="1" t="s">
        <v>2843</v>
      </c>
      <c r="G4235" s="3">
        <v>0</v>
      </c>
      <c r="H4235" s="20" t="s">
        <v>3222</v>
      </c>
      <c r="I4235" s="20" t="s">
        <v>6207</v>
      </c>
      <c r="J4235" s="20" t="s">
        <v>3160</v>
      </c>
      <c r="K4235" s="20" t="s">
        <v>10016</v>
      </c>
      <c r="L4235" s="3">
        <v>30</v>
      </c>
      <c r="M4235" s="3" t="s">
        <v>10412</v>
      </c>
      <c r="N4235" s="3" t="str">
        <f>HYPERLINK("http://ictvonline.org/taxonomyHistory.asp?taxnode_id=20164385","ICTVonline=20164385")</f>
        <v>ICTVonline=20164385</v>
      </c>
    </row>
    <row r="4236" spans="1:14" x14ac:dyDescent="0.15">
      <c r="A4236" s="3">
        <v>4235</v>
      </c>
      <c r="B4236" s="1" t="s">
        <v>926</v>
      </c>
      <c r="C4236" s="1" t="s">
        <v>796</v>
      </c>
      <c r="E4236" s="1" t="s">
        <v>6205</v>
      </c>
      <c r="F4236" s="1" t="s">
        <v>2077</v>
      </c>
      <c r="G4236" s="3">
        <v>1</v>
      </c>
      <c r="H4236" s="20" t="s">
        <v>6208</v>
      </c>
      <c r="I4236" s="20" t="s">
        <v>6209</v>
      </c>
      <c r="J4236" s="20" t="s">
        <v>3160</v>
      </c>
      <c r="K4236" s="20" t="s">
        <v>10016</v>
      </c>
      <c r="L4236" s="3">
        <v>30</v>
      </c>
      <c r="M4236" s="3" t="s">
        <v>10412</v>
      </c>
      <c r="N4236" s="3" t="str">
        <f>HYPERLINK("http://ictvonline.org/taxonomyHistory.asp?taxnode_id=20164386","ICTVonline=20164386")</f>
        <v>ICTVonline=20164386</v>
      </c>
    </row>
    <row r="4237" spans="1:14" x14ac:dyDescent="0.15">
      <c r="A4237" s="3">
        <v>4236</v>
      </c>
      <c r="B4237" s="1" t="s">
        <v>926</v>
      </c>
      <c r="C4237" s="1" t="s">
        <v>796</v>
      </c>
      <c r="E4237" s="1" t="s">
        <v>6205</v>
      </c>
      <c r="F4237" s="1" t="s">
        <v>2844</v>
      </c>
      <c r="G4237" s="3">
        <v>0</v>
      </c>
      <c r="H4237" s="20" t="s">
        <v>3223</v>
      </c>
      <c r="I4237" s="20" t="s">
        <v>6210</v>
      </c>
      <c r="J4237" s="20" t="s">
        <v>3160</v>
      </c>
      <c r="K4237" s="20" t="s">
        <v>10016</v>
      </c>
      <c r="L4237" s="3">
        <v>30</v>
      </c>
      <c r="M4237" s="3" t="s">
        <v>10412</v>
      </c>
      <c r="N4237" s="3" t="str">
        <f>HYPERLINK("http://ictvonline.org/taxonomyHistory.asp?taxnode_id=20164387","ICTVonline=20164387")</f>
        <v>ICTVonline=20164387</v>
      </c>
    </row>
    <row r="4238" spans="1:14" x14ac:dyDescent="0.15">
      <c r="A4238" s="3">
        <v>4237</v>
      </c>
      <c r="B4238" s="1" t="s">
        <v>926</v>
      </c>
      <c r="C4238" s="1" t="s">
        <v>796</v>
      </c>
      <c r="E4238" s="1" t="s">
        <v>6205</v>
      </c>
      <c r="F4238" s="1" t="s">
        <v>2845</v>
      </c>
      <c r="G4238" s="3">
        <v>0</v>
      </c>
      <c r="H4238" s="20" t="s">
        <v>3224</v>
      </c>
      <c r="I4238" s="20" t="s">
        <v>6211</v>
      </c>
      <c r="J4238" s="20" t="s">
        <v>3160</v>
      </c>
      <c r="K4238" s="20" t="s">
        <v>10016</v>
      </c>
      <c r="L4238" s="3">
        <v>30</v>
      </c>
      <c r="M4238" s="3" t="s">
        <v>10412</v>
      </c>
      <c r="N4238" s="3" t="str">
        <f>HYPERLINK("http://ictvonline.org/taxonomyHistory.asp?taxnode_id=20164388","ICTVonline=20164388")</f>
        <v>ICTVonline=20164388</v>
      </c>
    </row>
    <row r="4239" spans="1:14" x14ac:dyDescent="0.15">
      <c r="A4239" s="3">
        <v>4238</v>
      </c>
      <c r="B4239" s="1" t="s">
        <v>926</v>
      </c>
      <c r="C4239" s="1" t="s">
        <v>796</v>
      </c>
      <c r="E4239" s="1" t="s">
        <v>1969</v>
      </c>
      <c r="F4239" s="1" t="s">
        <v>1970</v>
      </c>
      <c r="G4239" s="3">
        <v>0</v>
      </c>
      <c r="H4239" s="20" t="s">
        <v>6212</v>
      </c>
      <c r="I4239" s="20" t="s">
        <v>7066</v>
      </c>
      <c r="J4239" s="20" t="s">
        <v>3160</v>
      </c>
      <c r="K4239" s="20" t="s">
        <v>10016</v>
      </c>
      <c r="L4239" s="3">
        <v>13</v>
      </c>
      <c r="M4239" s="3" t="s">
        <v>10225</v>
      </c>
      <c r="N4239" s="3" t="str">
        <f>HYPERLINK("http://ictvonline.org/taxonomyHistory.asp?taxnode_id=20164390","ICTVonline=20164390")</f>
        <v>ICTVonline=20164390</v>
      </c>
    </row>
    <row r="4240" spans="1:14" x14ac:dyDescent="0.15">
      <c r="A4240" s="3">
        <v>4239</v>
      </c>
      <c r="B4240" s="1" t="s">
        <v>926</v>
      </c>
      <c r="C4240" s="1" t="s">
        <v>796</v>
      </c>
      <c r="E4240" s="1" t="s">
        <v>1969</v>
      </c>
      <c r="F4240" s="1" t="s">
        <v>1971</v>
      </c>
      <c r="G4240" s="3">
        <v>0</v>
      </c>
      <c r="H4240" s="20" t="s">
        <v>6213</v>
      </c>
      <c r="I4240" s="20" t="s">
        <v>6214</v>
      </c>
      <c r="J4240" s="20" t="s">
        <v>3160</v>
      </c>
      <c r="K4240" s="20" t="s">
        <v>10016</v>
      </c>
      <c r="L4240" s="3">
        <v>13</v>
      </c>
      <c r="M4240" s="3" t="s">
        <v>10225</v>
      </c>
      <c r="N4240" s="3" t="str">
        <f>HYPERLINK("http://ictvonline.org/taxonomyHistory.asp?taxnode_id=20164391","ICTVonline=20164391")</f>
        <v>ICTVonline=20164391</v>
      </c>
    </row>
    <row r="4241" spans="1:14" x14ac:dyDescent="0.15">
      <c r="A4241" s="3">
        <v>4240</v>
      </c>
      <c r="B4241" s="1" t="s">
        <v>926</v>
      </c>
      <c r="C4241" s="1" t="s">
        <v>796</v>
      </c>
      <c r="E4241" s="1" t="s">
        <v>1969</v>
      </c>
      <c r="F4241" s="1" t="s">
        <v>1972</v>
      </c>
      <c r="G4241" s="3">
        <v>0</v>
      </c>
      <c r="H4241" s="20" t="s">
        <v>6215</v>
      </c>
      <c r="I4241" s="20" t="s">
        <v>5950</v>
      </c>
      <c r="J4241" s="20" t="s">
        <v>3160</v>
      </c>
      <c r="K4241" s="20" t="s">
        <v>10013</v>
      </c>
      <c r="L4241" s="3">
        <v>22</v>
      </c>
      <c r="M4241" s="3" t="s">
        <v>10413</v>
      </c>
      <c r="N4241" s="3" t="str">
        <f>HYPERLINK("http://ictvonline.org/taxonomyHistory.asp?taxnode_id=20164392","ICTVonline=20164392")</f>
        <v>ICTVonline=20164392</v>
      </c>
    </row>
    <row r="4242" spans="1:14" x14ac:dyDescent="0.15">
      <c r="A4242" s="3">
        <v>4241</v>
      </c>
      <c r="B4242" s="1" t="s">
        <v>926</v>
      </c>
      <c r="C4242" s="1" t="s">
        <v>796</v>
      </c>
      <c r="E4242" s="1" t="s">
        <v>1969</v>
      </c>
      <c r="F4242" s="1" t="s">
        <v>1973</v>
      </c>
      <c r="G4242" s="3">
        <v>0</v>
      </c>
      <c r="H4242" s="20" t="s">
        <v>6216</v>
      </c>
      <c r="I4242" s="20" t="s">
        <v>6217</v>
      </c>
      <c r="J4242" s="20" t="s">
        <v>3160</v>
      </c>
      <c r="K4242" s="20" t="s">
        <v>10016</v>
      </c>
      <c r="L4242" s="3">
        <v>13</v>
      </c>
      <c r="M4242" s="3" t="s">
        <v>10225</v>
      </c>
      <c r="N4242" s="3" t="str">
        <f>HYPERLINK("http://ictvonline.org/taxonomyHistory.asp?taxnode_id=20164393","ICTVonline=20164393")</f>
        <v>ICTVonline=20164393</v>
      </c>
    </row>
    <row r="4243" spans="1:14" x14ac:dyDescent="0.15">
      <c r="A4243" s="3">
        <v>4242</v>
      </c>
      <c r="B4243" s="1" t="s">
        <v>926</v>
      </c>
      <c r="C4243" s="1" t="s">
        <v>796</v>
      </c>
      <c r="E4243" s="1" t="s">
        <v>1969</v>
      </c>
      <c r="F4243" s="1" t="s">
        <v>1974</v>
      </c>
      <c r="G4243" s="3">
        <v>0</v>
      </c>
      <c r="H4243" s="20" t="s">
        <v>6218</v>
      </c>
      <c r="I4243" s="20" t="s">
        <v>4982</v>
      </c>
      <c r="J4243" s="20" t="s">
        <v>3160</v>
      </c>
      <c r="K4243" s="20" t="s">
        <v>10016</v>
      </c>
      <c r="L4243" s="3">
        <v>13</v>
      </c>
      <c r="M4243" s="3" t="s">
        <v>10225</v>
      </c>
      <c r="N4243" s="3" t="str">
        <f>HYPERLINK("http://ictvonline.org/taxonomyHistory.asp?taxnode_id=20164394","ICTVonline=20164394")</f>
        <v>ICTVonline=20164394</v>
      </c>
    </row>
    <row r="4244" spans="1:14" x14ac:dyDescent="0.15">
      <c r="A4244" s="3">
        <v>4243</v>
      </c>
      <c r="B4244" s="1" t="s">
        <v>926</v>
      </c>
      <c r="C4244" s="1" t="s">
        <v>796</v>
      </c>
      <c r="E4244" s="1" t="s">
        <v>1969</v>
      </c>
      <c r="F4244" s="1" t="s">
        <v>1975</v>
      </c>
      <c r="G4244" s="3">
        <v>0</v>
      </c>
      <c r="H4244" s="20" t="s">
        <v>6219</v>
      </c>
      <c r="I4244" s="20" t="s">
        <v>6220</v>
      </c>
      <c r="J4244" s="20" t="s">
        <v>3160</v>
      </c>
      <c r="K4244" s="20" t="s">
        <v>10216</v>
      </c>
      <c r="L4244" s="3">
        <v>24</v>
      </c>
      <c r="M4244" s="3" t="s">
        <v>10414</v>
      </c>
      <c r="N4244" s="3" t="str">
        <f>HYPERLINK("http://ictvonline.org/taxonomyHistory.asp?taxnode_id=20164395","ICTVonline=20164395")</f>
        <v>ICTVonline=20164395</v>
      </c>
    </row>
    <row r="4245" spans="1:14" x14ac:dyDescent="0.15">
      <c r="A4245" s="3">
        <v>4244</v>
      </c>
      <c r="B4245" s="1" t="s">
        <v>926</v>
      </c>
      <c r="C4245" s="1" t="s">
        <v>796</v>
      </c>
      <c r="E4245" s="1" t="s">
        <v>1969</v>
      </c>
      <c r="F4245" s="1" t="s">
        <v>2004</v>
      </c>
      <c r="G4245" s="3">
        <v>0</v>
      </c>
      <c r="H4245" s="20" t="s">
        <v>6221</v>
      </c>
      <c r="I4245" s="20" t="s">
        <v>6222</v>
      </c>
      <c r="J4245" s="20" t="s">
        <v>3160</v>
      </c>
      <c r="K4245" s="20" t="s">
        <v>10016</v>
      </c>
      <c r="L4245" s="3">
        <v>13</v>
      </c>
      <c r="M4245" s="3" t="s">
        <v>10225</v>
      </c>
      <c r="N4245" s="3" t="str">
        <f>HYPERLINK("http://ictvonline.org/taxonomyHistory.asp?taxnode_id=20164396","ICTVonline=20164396")</f>
        <v>ICTVonline=20164396</v>
      </c>
    </row>
    <row r="4246" spans="1:14" x14ac:dyDescent="0.15">
      <c r="A4246" s="3">
        <v>4245</v>
      </c>
      <c r="B4246" s="1" t="s">
        <v>926</v>
      </c>
      <c r="C4246" s="1" t="s">
        <v>796</v>
      </c>
      <c r="E4246" s="1" t="s">
        <v>1969</v>
      </c>
      <c r="F4246" s="1" t="s">
        <v>2005</v>
      </c>
      <c r="G4246" s="3">
        <v>0</v>
      </c>
      <c r="J4246" s="20" t="s">
        <v>3160</v>
      </c>
      <c r="K4246" s="20" t="s">
        <v>10013</v>
      </c>
      <c r="L4246" s="3">
        <v>24</v>
      </c>
      <c r="M4246" s="3" t="s">
        <v>10415</v>
      </c>
      <c r="N4246" s="3" t="str">
        <f>HYPERLINK("http://ictvonline.org/taxonomyHistory.asp?taxnode_id=20164397","ICTVonline=20164397")</f>
        <v>ICTVonline=20164397</v>
      </c>
    </row>
    <row r="4247" spans="1:14" x14ac:dyDescent="0.15">
      <c r="A4247" s="3">
        <v>4246</v>
      </c>
      <c r="B4247" s="1" t="s">
        <v>926</v>
      </c>
      <c r="C4247" s="1" t="s">
        <v>796</v>
      </c>
      <c r="E4247" s="1" t="s">
        <v>1969</v>
      </c>
      <c r="F4247" s="1" t="s">
        <v>2006</v>
      </c>
      <c r="G4247" s="3">
        <v>0</v>
      </c>
      <c r="J4247" s="20" t="s">
        <v>3160</v>
      </c>
      <c r="K4247" s="20" t="s">
        <v>10016</v>
      </c>
      <c r="L4247" s="3">
        <v>13</v>
      </c>
      <c r="M4247" s="3" t="s">
        <v>10225</v>
      </c>
      <c r="N4247" s="3" t="str">
        <f>HYPERLINK("http://ictvonline.org/taxonomyHistory.asp?taxnode_id=20164398","ICTVonline=20164398")</f>
        <v>ICTVonline=20164398</v>
      </c>
    </row>
    <row r="4248" spans="1:14" x14ac:dyDescent="0.15">
      <c r="A4248" s="3">
        <v>4247</v>
      </c>
      <c r="B4248" s="1" t="s">
        <v>926</v>
      </c>
      <c r="C4248" s="1" t="s">
        <v>796</v>
      </c>
      <c r="E4248" s="1" t="s">
        <v>1969</v>
      </c>
      <c r="F4248" s="1" t="s">
        <v>2007</v>
      </c>
      <c r="G4248" s="3">
        <v>0</v>
      </c>
      <c r="J4248" s="20" t="s">
        <v>3160</v>
      </c>
      <c r="K4248" s="20" t="s">
        <v>10013</v>
      </c>
      <c r="L4248" s="3">
        <v>24</v>
      </c>
      <c r="M4248" s="3" t="s">
        <v>10416</v>
      </c>
      <c r="N4248" s="3" t="str">
        <f>HYPERLINK("http://ictvonline.org/taxonomyHistory.asp?taxnode_id=20164399","ICTVonline=20164399")</f>
        <v>ICTVonline=20164399</v>
      </c>
    </row>
    <row r="4249" spans="1:14" x14ac:dyDescent="0.15">
      <c r="A4249" s="3">
        <v>4248</v>
      </c>
      <c r="B4249" s="1" t="s">
        <v>926</v>
      </c>
      <c r="C4249" s="1" t="s">
        <v>796</v>
      </c>
      <c r="E4249" s="1" t="s">
        <v>1969</v>
      </c>
      <c r="F4249" s="1" t="s">
        <v>2008</v>
      </c>
      <c r="G4249" s="3">
        <v>0</v>
      </c>
      <c r="H4249" s="20" t="s">
        <v>6223</v>
      </c>
      <c r="I4249" s="20" t="s">
        <v>6224</v>
      </c>
      <c r="J4249" s="20" t="s">
        <v>3160</v>
      </c>
      <c r="K4249" s="20" t="s">
        <v>10016</v>
      </c>
      <c r="L4249" s="3">
        <v>13</v>
      </c>
      <c r="M4249" s="3" t="s">
        <v>10225</v>
      </c>
      <c r="N4249" s="3" t="str">
        <f>HYPERLINK("http://ictvonline.org/taxonomyHistory.asp?taxnode_id=20164400","ICTVonline=20164400")</f>
        <v>ICTVonline=20164400</v>
      </c>
    </row>
    <row r="4250" spans="1:14" x14ac:dyDescent="0.15">
      <c r="A4250" s="3">
        <v>4249</v>
      </c>
      <c r="B4250" s="1" t="s">
        <v>926</v>
      </c>
      <c r="C4250" s="1" t="s">
        <v>796</v>
      </c>
      <c r="E4250" s="1" t="s">
        <v>1969</v>
      </c>
      <c r="F4250" s="1" t="s">
        <v>2009</v>
      </c>
      <c r="G4250" s="3">
        <v>0</v>
      </c>
      <c r="J4250" s="20" t="s">
        <v>3160</v>
      </c>
      <c r="K4250" s="20" t="s">
        <v>10016</v>
      </c>
      <c r="L4250" s="3">
        <v>13</v>
      </c>
      <c r="M4250" s="3" t="s">
        <v>10225</v>
      </c>
      <c r="N4250" s="3" t="str">
        <f>HYPERLINK("http://ictvonline.org/taxonomyHistory.asp?taxnode_id=20164401","ICTVonline=20164401")</f>
        <v>ICTVonline=20164401</v>
      </c>
    </row>
    <row r="4251" spans="1:14" x14ac:dyDescent="0.15">
      <c r="A4251" s="3">
        <v>4250</v>
      </c>
      <c r="B4251" s="1" t="s">
        <v>926</v>
      </c>
      <c r="C4251" s="1" t="s">
        <v>796</v>
      </c>
      <c r="E4251" s="1" t="s">
        <v>1969</v>
      </c>
      <c r="F4251" s="1" t="s">
        <v>2010</v>
      </c>
      <c r="G4251" s="3">
        <v>0</v>
      </c>
      <c r="J4251" s="20" t="s">
        <v>3160</v>
      </c>
      <c r="K4251" s="20" t="s">
        <v>10016</v>
      </c>
      <c r="L4251" s="3">
        <v>13</v>
      </c>
      <c r="M4251" s="3" t="s">
        <v>10225</v>
      </c>
      <c r="N4251" s="3" t="str">
        <f>HYPERLINK("http://ictvonline.org/taxonomyHistory.asp?taxnode_id=20164402","ICTVonline=20164402")</f>
        <v>ICTVonline=20164402</v>
      </c>
    </row>
    <row r="4252" spans="1:14" x14ac:dyDescent="0.15">
      <c r="A4252" s="3">
        <v>4251</v>
      </c>
      <c r="B4252" s="1" t="s">
        <v>926</v>
      </c>
      <c r="C4252" s="1" t="s">
        <v>796</v>
      </c>
      <c r="E4252" s="1" t="s">
        <v>1969</v>
      </c>
      <c r="F4252" s="1" t="s">
        <v>2011</v>
      </c>
      <c r="G4252" s="3">
        <v>0</v>
      </c>
      <c r="H4252" s="20" t="s">
        <v>6225</v>
      </c>
      <c r="I4252" s="20" t="s">
        <v>6226</v>
      </c>
      <c r="J4252" s="20" t="s">
        <v>3160</v>
      </c>
      <c r="K4252" s="20" t="s">
        <v>10013</v>
      </c>
      <c r="L4252" s="3">
        <v>24</v>
      </c>
      <c r="M4252" s="3" t="s">
        <v>10416</v>
      </c>
      <c r="N4252" s="3" t="str">
        <f>HYPERLINK("http://ictvonline.org/taxonomyHistory.asp?taxnode_id=20164403","ICTVonline=20164403")</f>
        <v>ICTVonline=20164403</v>
      </c>
    </row>
    <row r="4253" spans="1:14" x14ac:dyDescent="0.15">
      <c r="A4253" s="3">
        <v>4252</v>
      </c>
      <c r="B4253" s="1" t="s">
        <v>926</v>
      </c>
      <c r="C4253" s="1" t="s">
        <v>796</v>
      </c>
      <c r="E4253" s="1" t="s">
        <v>1969</v>
      </c>
      <c r="F4253" s="1" t="s">
        <v>904</v>
      </c>
      <c r="G4253" s="3">
        <v>0</v>
      </c>
      <c r="J4253" s="20" t="s">
        <v>3160</v>
      </c>
      <c r="K4253" s="20" t="s">
        <v>10016</v>
      </c>
      <c r="L4253" s="3">
        <v>13</v>
      </c>
      <c r="M4253" s="3" t="s">
        <v>10225</v>
      </c>
      <c r="N4253" s="3" t="str">
        <f>HYPERLINK("http://ictvonline.org/taxonomyHistory.asp?taxnode_id=20164404","ICTVonline=20164404")</f>
        <v>ICTVonline=20164404</v>
      </c>
    </row>
    <row r="4254" spans="1:14" x14ac:dyDescent="0.15">
      <c r="A4254" s="3">
        <v>4253</v>
      </c>
      <c r="B4254" s="1" t="s">
        <v>926</v>
      </c>
      <c r="C4254" s="1" t="s">
        <v>796</v>
      </c>
      <c r="E4254" s="1" t="s">
        <v>1969</v>
      </c>
      <c r="F4254" s="1" t="s">
        <v>1976</v>
      </c>
      <c r="G4254" s="3">
        <v>0</v>
      </c>
      <c r="J4254" s="20" t="s">
        <v>3160</v>
      </c>
      <c r="K4254" s="20" t="s">
        <v>10021</v>
      </c>
      <c r="L4254" s="3">
        <v>18</v>
      </c>
      <c r="M4254" s="3" t="s">
        <v>10101</v>
      </c>
      <c r="N4254" s="3" t="str">
        <f>HYPERLINK("http://ictvonline.org/taxonomyHistory.asp?taxnode_id=20164405","ICTVonline=20164405")</f>
        <v>ICTVonline=20164405</v>
      </c>
    </row>
    <row r="4255" spans="1:14" x14ac:dyDescent="0.15">
      <c r="A4255" s="3">
        <v>4254</v>
      </c>
      <c r="B4255" s="1" t="s">
        <v>926</v>
      </c>
      <c r="C4255" s="1" t="s">
        <v>796</v>
      </c>
      <c r="E4255" s="1" t="s">
        <v>1969</v>
      </c>
      <c r="F4255" s="1" t="s">
        <v>1982</v>
      </c>
      <c r="G4255" s="3">
        <v>1</v>
      </c>
      <c r="H4255" s="20" t="s">
        <v>6227</v>
      </c>
      <c r="I4255" s="20" t="s">
        <v>4604</v>
      </c>
      <c r="J4255" s="20" t="s">
        <v>3160</v>
      </c>
      <c r="K4255" s="20" t="s">
        <v>10016</v>
      </c>
      <c r="L4255" s="3">
        <v>13</v>
      </c>
      <c r="M4255" s="3" t="s">
        <v>10225</v>
      </c>
      <c r="N4255" s="3" t="str">
        <f>HYPERLINK("http://ictvonline.org/taxonomyHistory.asp?taxnode_id=20164406","ICTVonline=20164406")</f>
        <v>ICTVonline=20164406</v>
      </c>
    </row>
    <row r="4256" spans="1:14" x14ac:dyDescent="0.15">
      <c r="A4256" s="3">
        <v>4255</v>
      </c>
      <c r="B4256" s="1" t="s">
        <v>926</v>
      </c>
      <c r="C4256" s="1" t="s">
        <v>796</v>
      </c>
      <c r="E4256" s="1" t="s">
        <v>1774</v>
      </c>
      <c r="F4256" s="1" t="s">
        <v>1775</v>
      </c>
      <c r="G4256" s="3">
        <v>0</v>
      </c>
      <c r="H4256" s="20" t="s">
        <v>6228</v>
      </c>
      <c r="I4256" s="20" t="s">
        <v>4747</v>
      </c>
      <c r="J4256" s="20" t="s">
        <v>3160</v>
      </c>
      <c r="K4256" s="20" t="s">
        <v>10016</v>
      </c>
      <c r="L4256" s="3">
        <v>29</v>
      </c>
      <c r="M4256" s="3" t="s">
        <v>10313</v>
      </c>
      <c r="N4256" s="3" t="str">
        <f>HYPERLINK("http://ictvonline.org/taxonomyHistory.asp?taxnode_id=20164408","ICTVonline=20164408")</f>
        <v>ICTVonline=20164408</v>
      </c>
    </row>
    <row r="4257" spans="1:14" x14ac:dyDescent="0.15">
      <c r="A4257" s="3">
        <v>4256</v>
      </c>
      <c r="B4257" s="1" t="s">
        <v>926</v>
      </c>
      <c r="C4257" s="1" t="s">
        <v>796</v>
      </c>
      <c r="E4257" s="1" t="s">
        <v>1774</v>
      </c>
      <c r="F4257" s="1" t="s">
        <v>1150</v>
      </c>
      <c r="G4257" s="3">
        <v>1</v>
      </c>
      <c r="H4257" s="20" t="s">
        <v>6229</v>
      </c>
      <c r="I4257" s="20" t="s">
        <v>6230</v>
      </c>
      <c r="J4257" s="20" t="s">
        <v>3160</v>
      </c>
      <c r="K4257" s="20" t="s">
        <v>10016</v>
      </c>
      <c r="L4257" s="3">
        <v>29</v>
      </c>
      <c r="M4257" s="3" t="s">
        <v>10313</v>
      </c>
      <c r="N4257" s="3" t="str">
        <f>HYPERLINK("http://ictvonline.org/taxonomyHistory.asp?taxnode_id=20164409","ICTVonline=20164409")</f>
        <v>ICTVonline=20164409</v>
      </c>
    </row>
    <row r="4258" spans="1:14" x14ac:dyDescent="0.15">
      <c r="A4258" s="3">
        <v>4257</v>
      </c>
      <c r="B4258" s="1" t="s">
        <v>926</v>
      </c>
      <c r="C4258" s="1" t="s">
        <v>796</v>
      </c>
      <c r="E4258" s="1" t="s">
        <v>1774</v>
      </c>
      <c r="F4258" s="1" t="s">
        <v>9976</v>
      </c>
      <c r="G4258" s="3">
        <v>0</v>
      </c>
      <c r="H4258" s="20" t="s">
        <v>9977</v>
      </c>
      <c r="I4258" s="20" t="s">
        <v>9978</v>
      </c>
      <c r="J4258" s="20" t="s">
        <v>3160</v>
      </c>
      <c r="K4258" s="20" t="s">
        <v>10013</v>
      </c>
      <c r="L4258" s="3">
        <v>31</v>
      </c>
      <c r="M4258" s="3" t="s">
        <v>9979</v>
      </c>
      <c r="N4258" s="3" t="str">
        <f>HYPERLINK("http://ictvonline.org/taxonomyHistory.asp?taxnode_id=20165502","ICTVonline=20165502")</f>
        <v>ICTVonline=20165502</v>
      </c>
    </row>
    <row r="4259" spans="1:14" x14ac:dyDescent="0.15">
      <c r="A4259" s="3">
        <v>4258</v>
      </c>
      <c r="B4259" s="1" t="s">
        <v>926</v>
      </c>
      <c r="C4259" s="1" t="s">
        <v>796</v>
      </c>
      <c r="E4259" s="1" t="s">
        <v>1774</v>
      </c>
      <c r="F4259" s="1" t="s">
        <v>1151</v>
      </c>
      <c r="G4259" s="3">
        <v>0</v>
      </c>
      <c r="H4259" s="20" t="s">
        <v>6231</v>
      </c>
      <c r="I4259" s="20" t="s">
        <v>6232</v>
      </c>
      <c r="J4259" s="20" t="s">
        <v>3160</v>
      </c>
      <c r="K4259" s="20" t="s">
        <v>10016</v>
      </c>
      <c r="L4259" s="3">
        <v>29</v>
      </c>
      <c r="M4259" s="3" t="s">
        <v>10313</v>
      </c>
      <c r="N4259" s="3" t="str">
        <f>HYPERLINK("http://ictvonline.org/taxonomyHistory.asp?taxnode_id=20164410","ICTVonline=20164410")</f>
        <v>ICTVonline=20164410</v>
      </c>
    </row>
    <row r="4260" spans="1:14" x14ac:dyDescent="0.15">
      <c r="A4260" s="3">
        <v>4259</v>
      </c>
      <c r="B4260" s="1" t="s">
        <v>926</v>
      </c>
      <c r="C4260" s="1" t="s">
        <v>796</v>
      </c>
      <c r="E4260" s="1" t="s">
        <v>1774</v>
      </c>
      <c r="F4260" s="1" t="s">
        <v>1691</v>
      </c>
      <c r="G4260" s="3">
        <v>0</v>
      </c>
      <c r="J4260" s="20" t="s">
        <v>3160</v>
      </c>
      <c r="K4260" s="20" t="s">
        <v>10016</v>
      </c>
      <c r="L4260" s="3">
        <v>29</v>
      </c>
      <c r="M4260" s="3" t="s">
        <v>10313</v>
      </c>
      <c r="N4260" s="3" t="str">
        <f>HYPERLINK("http://ictvonline.org/taxonomyHistory.asp?taxnode_id=20164411","ICTVonline=20164411")</f>
        <v>ICTVonline=20164411</v>
      </c>
    </row>
    <row r="4261" spans="1:14" x14ac:dyDescent="0.15">
      <c r="A4261" s="3">
        <v>4260</v>
      </c>
      <c r="B4261" s="1" t="s">
        <v>926</v>
      </c>
      <c r="C4261" s="1" t="s">
        <v>796</v>
      </c>
      <c r="E4261" s="1" t="s">
        <v>1774</v>
      </c>
      <c r="F4261" s="1" t="s">
        <v>9980</v>
      </c>
      <c r="G4261" s="3">
        <v>0</v>
      </c>
      <c r="H4261" s="20" t="s">
        <v>9981</v>
      </c>
      <c r="I4261" s="20" t="s">
        <v>9982</v>
      </c>
      <c r="J4261" s="20" t="s">
        <v>3160</v>
      </c>
      <c r="K4261" s="20" t="s">
        <v>10013</v>
      </c>
      <c r="L4261" s="3">
        <v>31</v>
      </c>
      <c r="M4261" s="3" t="s">
        <v>9979</v>
      </c>
      <c r="N4261" s="3" t="str">
        <f>HYPERLINK("http://ictvonline.org/taxonomyHistory.asp?taxnode_id=20165503","ICTVonline=20165503")</f>
        <v>ICTVonline=20165503</v>
      </c>
    </row>
    <row r="4262" spans="1:14" x14ac:dyDescent="0.15">
      <c r="A4262" s="3">
        <v>4261</v>
      </c>
      <c r="B4262" s="1" t="s">
        <v>926</v>
      </c>
      <c r="C4262" s="1" t="s">
        <v>796</v>
      </c>
      <c r="E4262" s="1" t="s">
        <v>1774</v>
      </c>
      <c r="F4262" s="1" t="s">
        <v>2722</v>
      </c>
      <c r="G4262" s="3">
        <v>0</v>
      </c>
      <c r="H4262" s="20" t="s">
        <v>7448</v>
      </c>
      <c r="I4262" s="20" t="s">
        <v>7298</v>
      </c>
      <c r="J4262" s="20" t="s">
        <v>3160</v>
      </c>
      <c r="K4262" s="20" t="s">
        <v>10016</v>
      </c>
      <c r="L4262" s="3">
        <v>29</v>
      </c>
      <c r="M4262" s="3" t="s">
        <v>10313</v>
      </c>
      <c r="N4262" s="3" t="str">
        <f>HYPERLINK("http://ictvonline.org/taxonomyHistory.asp?taxnode_id=20164412","ICTVonline=20164412")</f>
        <v>ICTVonline=20164412</v>
      </c>
    </row>
    <row r="4263" spans="1:14" x14ac:dyDescent="0.15">
      <c r="A4263" s="3">
        <v>4262</v>
      </c>
      <c r="B4263" s="1" t="s">
        <v>926</v>
      </c>
      <c r="C4263" s="1" t="s">
        <v>796</v>
      </c>
      <c r="E4263" s="1" t="s">
        <v>1774</v>
      </c>
      <c r="F4263" s="1" t="s">
        <v>1153</v>
      </c>
      <c r="G4263" s="3">
        <v>0</v>
      </c>
      <c r="H4263" s="20" t="s">
        <v>6233</v>
      </c>
      <c r="I4263" s="20" t="s">
        <v>6234</v>
      </c>
      <c r="J4263" s="20" t="s">
        <v>3160</v>
      </c>
      <c r="K4263" s="20" t="s">
        <v>10016</v>
      </c>
      <c r="L4263" s="3">
        <v>29</v>
      </c>
      <c r="M4263" s="3" t="s">
        <v>10313</v>
      </c>
      <c r="N4263" s="3" t="str">
        <f>HYPERLINK("http://ictvonline.org/taxonomyHistory.asp?taxnode_id=20164413","ICTVonline=20164413")</f>
        <v>ICTVonline=20164413</v>
      </c>
    </row>
    <row r="4264" spans="1:14" x14ac:dyDescent="0.15">
      <c r="A4264" s="3">
        <v>4263</v>
      </c>
      <c r="B4264" s="1" t="s">
        <v>926</v>
      </c>
      <c r="C4264" s="1" t="s">
        <v>796</v>
      </c>
      <c r="E4264" s="1" t="s">
        <v>1774</v>
      </c>
      <c r="F4264" s="1" t="s">
        <v>1069</v>
      </c>
      <c r="G4264" s="3">
        <v>0</v>
      </c>
      <c r="J4264" s="20" t="s">
        <v>3160</v>
      </c>
      <c r="K4264" s="20" t="s">
        <v>10016</v>
      </c>
      <c r="L4264" s="3">
        <v>29</v>
      </c>
      <c r="M4264" s="3" t="s">
        <v>10313</v>
      </c>
      <c r="N4264" s="3" t="str">
        <f>HYPERLINK("http://ictvonline.org/taxonomyHistory.asp?taxnode_id=20164414","ICTVonline=20164414")</f>
        <v>ICTVonline=20164414</v>
      </c>
    </row>
    <row r="4265" spans="1:14" x14ac:dyDescent="0.15">
      <c r="A4265" s="3">
        <v>4264</v>
      </c>
      <c r="B4265" s="1" t="s">
        <v>926</v>
      </c>
      <c r="C4265" s="1" t="s">
        <v>796</v>
      </c>
      <c r="E4265" s="1" t="s">
        <v>926</v>
      </c>
      <c r="F4265" s="1" t="s">
        <v>802</v>
      </c>
      <c r="G4265" s="3">
        <v>0</v>
      </c>
      <c r="J4265" s="20" t="s">
        <v>3160</v>
      </c>
      <c r="K4265" s="20" t="s">
        <v>10016</v>
      </c>
      <c r="L4265" s="3">
        <v>30</v>
      </c>
      <c r="M4265" s="3" t="s">
        <v>10404</v>
      </c>
      <c r="N4265" s="3" t="str">
        <f>HYPERLINK("http://ictvonline.org/taxonomyHistory.asp?taxnode_id=20164416","ICTVonline=20164416")</f>
        <v>ICTVonline=20164416</v>
      </c>
    </row>
    <row r="4266" spans="1:14" x14ac:dyDescent="0.15">
      <c r="A4266" s="3">
        <v>4265</v>
      </c>
      <c r="B4266" s="1" t="s">
        <v>926</v>
      </c>
      <c r="C4266" s="1" t="s">
        <v>796</v>
      </c>
      <c r="E4266" s="1" t="s">
        <v>926</v>
      </c>
      <c r="F4266" s="1" t="s">
        <v>804</v>
      </c>
      <c r="G4266" s="3">
        <v>0</v>
      </c>
      <c r="J4266" s="20" t="s">
        <v>3160</v>
      </c>
      <c r="K4266" s="20" t="s">
        <v>10016</v>
      </c>
      <c r="L4266" s="3">
        <v>30</v>
      </c>
      <c r="M4266" s="3" t="s">
        <v>10404</v>
      </c>
      <c r="N4266" s="3" t="str">
        <f>HYPERLINK("http://ictvonline.org/taxonomyHistory.asp?taxnode_id=20164417","ICTVonline=20164417")</f>
        <v>ICTVonline=20164417</v>
      </c>
    </row>
    <row r="4267" spans="1:14" x14ac:dyDescent="0.15">
      <c r="A4267" s="3">
        <v>4266</v>
      </c>
      <c r="B4267" s="1" t="s">
        <v>926</v>
      </c>
      <c r="C4267" s="1" t="s">
        <v>796</v>
      </c>
      <c r="E4267" s="1" t="s">
        <v>926</v>
      </c>
      <c r="F4267" s="1" t="s">
        <v>891</v>
      </c>
      <c r="G4267" s="3">
        <v>0</v>
      </c>
      <c r="J4267" s="20" t="s">
        <v>3160</v>
      </c>
      <c r="K4267" s="20" t="s">
        <v>10016</v>
      </c>
      <c r="L4267" s="3">
        <v>27</v>
      </c>
      <c r="M4267" s="3" t="s">
        <v>10405</v>
      </c>
      <c r="N4267" s="3" t="str">
        <f>HYPERLINK("http://ictvonline.org/taxonomyHistory.asp?taxnode_id=20164418","ICTVonline=20164418")</f>
        <v>ICTVonline=20164418</v>
      </c>
    </row>
    <row r="4268" spans="1:14" x14ac:dyDescent="0.15">
      <c r="A4268" s="3">
        <v>4267</v>
      </c>
      <c r="B4268" s="1" t="s">
        <v>926</v>
      </c>
      <c r="C4268" s="1" t="s">
        <v>796</v>
      </c>
      <c r="E4268" s="1" t="s">
        <v>926</v>
      </c>
      <c r="F4268" s="1" t="s">
        <v>1426</v>
      </c>
      <c r="G4268" s="3">
        <v>0</v>
      </c>
      <c r="J4268" s="20" t="s">
        <v>3160</v>
      </c>
      <c r="K4268" s="20" t="s">
        <v>10016</v>
      </c>
      <c r="L4268" s="3">
        <v>30</v>
      </c>
      <c r="M4268" s="3" t="s">
        <v>10404</v>
      </c>
      <c r="N4268" s="3" t="str">
        <f>HYPERLINK("http://ictvonline.org/taxonomyHistory.asp?taxnode_id=20164419","ICTVonline=20164419")</f>
        <v>ICTVonline=20164419</v>
      </c>
    </row>
    <row r="4269" spans="1:14" x14ac:dyDescent="0.15">
      <c r="A4269" s="3">
        <v>4268</v>
      </c>
      <c r="B4269" s="1" t="s">
        <v>926</v>
      </c>
      <c r="C4269" s="1" t="s">
        <v>796</v>
      </c>
      <c r="E4269" s="1" t="s">
        <v>926</v>
      </c>
      <c r="F4269" s="1" t="s">
        <v>2846</v>
      </c>
      <c r="G4269" s="3">
        <v>0</v>
      </c>
      <c r="H4269" s="20" t="s">
        <v>3225</v>
      </c>
      <c r="I4269" s="20" t="s">
        <v>3226</v>
      </c>
      <c r="J4269" s="20" t="s">
        <v>3160</v>
      </c>
      <c r="K4269" s="20" t="s">
        <v>10013</v>
      </c>
      <c r="L4269" s="3">
        <v>29</v>
      </c>
      <c r="M4269" s="3" t="s">
        <v>10417</v>
      </c>
      <c r="N4269" s="3" t="str">
        <f>HYPERLINK("http://ictvonline.org/taxonomyHistory.asp?taxnode_id=20164420","ICTVonline=20164420")</f>
        <v>ICTVonline=20164420</v>
      </c>
    </row>
    <row r="4270" spans="1:14" x14ac:dyDescent="0.15">
      <c r="A4270" s="3">
        <v>4269</v>
      </c>
      <c r="B4270" s="1" t="s">
        <v>926</v>
      </c>
      <c r="C4270" s="1" t="s">
        <v>796</v>
      </c>
      <c r="E4270" s="1" t="s">
        <v>926</v>
      </c>
      <c r="F4270" s="1" t="s">
        <v>1304</v>
      </c>
      <c r="G4270" s="3">
        <v>0</v>
      </c>
      <c r="J4270" s="20" t="s">
        <v>3160</v>
      </c>
      <c r="K4270" s="20" t="s">
        <v>10016</v>
      </c>
      <c r="L4270" s="3">
        <v>30</v>
      </c>
      <c r="M4270" s="3" t="s">
        <v>10404</v>
      </c>
      <c r="N4270" s="3" t="str">
        <f>HYPERLINK("http://ictvonline.org/taxonomyHistory.asp?taxnode_id=20164421","ICTVonline=20164421")</f>
        <v>ICTVonline=20164421</v>
      </c>
    </row>
    <row r="4271" spans="1:14" x14ac:dyDescent="0.15">
      <c r="A4271" s="3">
        <v>4270</v>
      </c>
      <c r="B4271" s="1" t="s">
        <v>926</v>
      </c>
      <c r="C4271" s="1" t="s">
        <v>796</v>
      </c>
      <c r="E4271" s="1" t="s">
        <v>2370</v>
      </c>
      <c r="F4271" s="1" t="s">
        <v>2076</v>
      </c>
      <c r="G4271" s="3">
        <v>1</v>
      </c>
      <c r="H4271" s="20" t="s">
        <v>6235</v>
      </c>
      <c r="I4271" s="20" t="s">
        <v>6236</v>
      </c>
      <c r="J4271" s="20" t="s">
        <v>3160</v>
      </c>
      <c r="K4271" s="20" t="s">
        <v>10076</v>
      </c>
      <c r="L4271" s="3">
        <v>27</v>
      </c>
      <c r="M4271" s="3" t="s">
        <v>10418</v>
      </c>
      <c r="N4271" s="3" t="str">
        <f>HYPERLINK("http://ictvonline.org/taxonomyHistory.asp?taxnode_id=20164423","ICTVonline=20164423")</f>
        <v>ICTVonline=20164423</v>
      </c>
    </row>
    <row r="4272" spans="1:14" x14ac:dyDescent="0.15">
      <c r="A4272" s="3">
        <v>4271</v>
      </c>
      <c r="B4272" s="1" t="s">
        <v>926</v>
      </c>
      <c r="C4272" s="1" t="s">
        <v>1983</v>
      </c>
      <c r="E4272" s="1" t="s">
        <v>1984</v>
      </c>
      <c r="F4272" s="1" t="s">
        <v>1654</v>
      </c>
      <c r="G4272" s="3">
        <v>1</v>
      </c>
      <c r="H4272" s="20" t="s">
        <v>6237</v>
      </c>
      <c r="I4272" s="20" t="s">
        <v>6238</v>
      </c>
      <c r="J4272" s="20" t="s">
        <v>3176</v>
      </c>
      <c r="K4272" s="20" t="s">
        <v>10016</v>
      </c>
      <c r="L4272" s="3">
        <v>13</v>
      </c>
      <c r="M4272" s="3" t="s">
        <v>10225</v>
      </c>
      <c r="N4272" s="3" t="str">
        <f>HYPERLINK("http://ictvonline.org/taxonomyHistory.asp?taxnode_id=20164427","ICTVonline=20164427")</f>
        <v>ICTVonline=20164427</v>
      </c>
    </row>
    <row r="4273" spans="1:14" x14ac:dyDescent="0.15">
      <c r="A4273" s="3">
        <v>4272</v>
      </c>
      <c r="B4273" s="1" t="s">
        <v>926</v>
      </c>
      <c r="C4273" s="1" t="s">
        <v>1983</v>
      </c>
      <c r="E4273" s="1" t="s">
        <v>1655</v>
      </c>
      <c r="F4273" s="1" t="s">
        <v>2704</v>
      </c>
      <c r="G4273" s="3">
        <v>1</v>
      </c>
      <c r="H4273" s="20" t="s">
        <v>6239</v>
      </c>
      <c r="I4273" s="20" t="s">
        <v>7267</v>
      </c>
      <c r="J4273" s="20" t="s">
        <v>3176</v>
      </c>
      <c r="K4273" s="20" t="s">
        <v>10021</v>
      </c>
      <c r="L4273" s="3">
        <v>28</v>
      </c>
      <c r="M4273" s="3" t="s">
        <v>10419</v>
      </c>
      <c r="N4273" s="3" t="str">
        <f>HYPERLINK("http://ictvonline.org/taxonomyHistory.asp?taxnode_id=20164429","ICTVonline=20164429")</f>
        <v>ICTVonline=20164429</v>
      </c>
    </row>
    <row r="4274" spans="1:14" x14ac:dyDescent="0.15">
      <c r="A4274" s="3">
        <v>4273</v>
      </c>
      <c r="B4274" s="1" t="s">
        <v>926</v>
      </c>
      <c r="C4274" s="1" t="s">
        <v>1983</v>
      </c>
      <c r="E4274" s="1" t="s">
        <v>1655</v>
      </c>
      <c r="F4274" s="1" t="s">
        <v>2705</v>
      </c>
      <c r="G4274" s="3">
        <v>0</v>
      </c>
      <c r="H4274" s="20" t="s">
        <v>6240</v>
      </c>
      <c r="I4274" s="20" t="s">
        <v>7268</v>
      </c>
      <c r="J4274" s="20" t="s">
        <v>3176</v>
      </c>
      <c r="K4274" s="20" t="s">
        <v>10021</v>
      </c>
      <c r="L4274" s="3">
        <v>28</v>
      </c>
      <c r="M4274" s="3" t="s">
        <v>10419</v>
      </c>
      <c r="N4274" s="3" t="str">
        <f>HYPERLINK("http://ictvonline.org/taxonomyHistory.asp?taxnode_id=20164430","ICTVonline=20164430")</f>
        <v>ICTVonline=20164430</v>
      </c>
    </row>
    <row r="4275" spans="1:14" x14ac:dyDescent="0.15">
      <c r="A4275" s="3">
        <v>4274</v>
      </c>
      <c r="B4275" s="1" t="s">
        <v>926</v>
      </c>
      <c r="C4275" s="1" t="s">
        <v>1983</v>
      </c>
      <c r="E4275" s="1" t="s">
        <v>1368</v>
      </c>
      <c r="F4275" s="1" t="s">
        <v>1369</v>
      </c>
      <c r="G4275" s="3">
        <v>1</v>
      </c>
      <c r="H4275" s="20" t="s">
        <v>6241</v>
      </c>
      <c r="I4275" s="20" t="s">
        <v>6242</v>
      </c>
      <c r="J4275" s="20" t="s">
        <v>3176</v>
      </c>
      <c r="K4275" s="20" t="s">
        <v>10021</v>
      </c>
      <c r="L4275" s="3">
        <v>12</v>
      </c>
      <c r="M4275" s="3" t="s">
        <v>10281</v>
      </c>
      <c r="N4275" s="3" t="str">
        <f>HYPERLINK("http://ictvonline.org/taxonomyHistory.asp?taxnode_id=20164432","ICTVonline=20164432")</f>
        <v>ICTVonline=20164432</v>
      </c>
    </row>
    <row r="4276" spans="1:14" x14ac:dyDescent="0.15">
      <c r="A4276" s="3">
        <v>4275</v>
      </c>
      <c r="B4276" s="1" t="s">
        <v>926</v>
      </c>
      <c r="C4276" s="1" t="s">
        <v>1983</v>
      </c>
      <c r="E4276" s="1" t="s">
        <v>1368</v>
      </c>
      <c r="F4276" s="1" t="s">
        <v>1370</v>
      </c>
      <c r="G4276" s="3">
        <v>0</v>
      </c>
      <c r="H4276" s="20" t="s">
        <v>6243</v>
      </c>
      <c r="I4276" s="20" t="s">
        <v>6244</v>
      </c>
      <c r="J4276" s="20" t="s">
        <v>3176</v>
      </c>
      <c r="K4276" s="20" t="s">
        <v>10021</v>
      </c>
      <c r="L4276" s="3">
        <v>23</v>
      </c>
      <c r="M4276" s="3" t="s">
        <v>10229</v>
      </c>
      <c r="N4276" s="3" t="str">
        <f>HYPERLINK("http://ictvonline.org/taxonomyHistory.asp?taxnode_id=20164433","ICTVonline=20164433")</f>
        <v>ICTVonline=20164433</v>
      </c>
    </row>
    <row r="4277" spans="1:14" x14ac:dyDescent="0.15">
      <c r="A4277" s="3">
        <v>4276</v>
      </c>
      <c r="B4277" s="1" t="s">
        <v>926</v>
      </c>
      <c r="C4277" s="1" t="s">
        <v>1983</v>
      </c>
      <c r="E4277" s="1" t="s">
        <v>1368</v>
      </c>
      <c r="F4277" s="1" t="s">
        <v>2706</v>
      </c>
      <c r="G4277" s="3">
        <v>0</v>
      </c>
      <c r="H4277" s="20" t="s">
        <v>6245</v>
      </c>
      <c r="I4277" s="20" t="s">
        <v>6246</v>
      </c>
      <c r="J4277" s="20" t="s">
        <v>3176</v>
      </c>
      <c r="K4277" s="20" t="s">
        <v>10013</v>
      </c>
      <c r="L4277" s="3">
        <v>28</v>
      </c>
      <c r="M4277" s="3" t="s">
        <v>10420</v>
      </c>
      <c r="N4277" s="3" t="str">
        <f>HYPERLINK("http://ictvonline.org/taxonomyHistory.asp?taxnode_id=20164434","ICTVonline=20164434")</f>
        <v>ICTVonline=20164434</v>
      </c>
    </row>
    <row r="4278" spans="1:14" x14ac:dyDescent="0.15">
      <c r="A4278" s="3">
        <v>4277</v>
      </c>
      <c r="B4278" s="1" t="s">
        <v>926</v>
      </c>
      <c r="C4278" s="1" t="s">
        <v>1983</v>
      </c>
      <c r="E4278" s="1" t="s">
        <v>1368</v>
      </c>
      <c r="F4278" s="1" t="s">
        <v>2707</v>
      </c>
      <c r="G4278" s="3">
        <v>0</v>
      </c>
      <c r="H4278" s="20" t="s">
        <v>6247</v>
      </c>
      <c r="I4278" s="20" t="s">
        <v>6248</v>
      </c>
      <c r="J4278" s="20" t="s">
        <v>3176</v>
      </c>
      <c r="K4278" s="20" t="s">
        <v>10013</v>
      </c>
      <c r="L4278" s="3">
        <v>28</v>
      </c>
      <c r="M4278" s="3" t="s">
        <v>10420</v>
      </c>
      <c r="N4278" s="3" t="str">
        <f>HYPERLINK("http://ictvonline.org/taxonomyHistory.asp?taxnode_id=20164435","ICTVonline=20164435")</f>
        <v>ICTVonline=20164435</v>
      </c>
    </row>
    <row r="4279" spans="1:14" x14ac:dyDescent="0.15">
      <c r="A4279" s="3">
        <v>4278</v>
      </c>
      <c r="B4279" s="1" t="s">
        <v>926</v>
      </c>
      <c r="C4279" s="1" t="s">
        <v>1983</v>
      </c>
      <c r="E4279" s="1" t="s">
        <v>1368</v>
      </c>
      <c r="F4279" s="1" t="s">
        <v>1371</v>
      </c>
      <c r="G4279" s="3">
        <v>0</v>
      </c>
      <c r="H4279" s="20" t="s">
        <v>6249</v>
      </c>
      <c r="I4279" s="20" t="s">
        <v>6250</v>
      </c>
      <c r="J4279" s="20" t="s">
        <v>3176</v>
      </c>
      <c r="K4279" s="20" t="s">
        <v>10021</v>
      </c>
      <c r="L4279" s="3">
        <v>18</v>
      </c>
      <c r="M4279" s="3" t="s">
        <v>10101</v>
      </c>
      <c r="N4279" s="3" t="str">
        <f>HYPERLINK("http://ictvonline.org/taxonomyHistory.asp?taxnode_id=20164436","ICTVonline=20164436")</f>
        <v>ICTVonline=20164436</v>
      </c>
    </row>
    <row r="4280" spans="1:14" x14ac:dyDescent="0.15">
      <c r="A4280" s="3">
        <v>4279</v>
      </c>
      <c r="B4280" s="1" t="s">
        <v>926</v>
      </c>
      <c r="C4280" s="1" t="s">
        <v>1983</v>
      </c>
      <c r="E4280" s="1" t="s">
        <v>1368</v>
      </c>
      <c r="F4280" s="1" t="s">
        <v>2708</v>
      </c>
      <c r="G4280" s="3">
        <v>0</v>
      </c>
      <c r="H4280" s="20" t="s">
        <v>6251</v>
      </c>
      <c r="I4280" s="20" t="s">
        <v>6252</v>
      </c>
      <c r="J4280" s="20" t="s">
        <v>3176</v>
      </c>
      <c r="K4280" s="20" t="s">
        <v>10013</v>
      </c>
      <c r="L4280" s="3">
        <v>28</v>
      </c>
      <c r="M4280" s="3" t="s">
        <v>10420</v>
      </c>
      <c r="N4280" s="3" t="str">
        <f>HYPERLINK("http://ictvonline.org/taxonomyHistory.asp?taxnode_id=20164437","ICTVonline=20164437")</f>
        <v>ICTVonline=20164437</v>
      </c>
    </row>
    <row r="4281" spans="1:14" x14ac:dyDescent="0.15">
      <c r="A4281" s="3">
        <v>4280</v>
      </c>
      <c r="B4281" s="1" t="s">
        <v>926</v>
      </c>
      <c r="C4281" s="1" t="s">
        <v>1983</v>
      </c>
      <c r="E4281" s="1" t="s">
        <v>1368</v>
      </c>
      <c r="F4281" s="1" t="s">
        <v>2709</v>
      </c>
      <c r="G4281" s="3">
        <v>0</v>
      </c>
      <c r="H4281" s="20" t="s">
        <v>6253</v>
      </c>
      <c r="I4281" s="20" t="s">
        <v>6252</v>
      </c>
      <c r="J4281" s="20" t="s">
        <v>3176</v>
      </c>
      <c r="K4281" s="20" t="s">
        <v>10013</v>
      </c>
      <c r="L4281" s="3">
        <v>28</v>
      </c>
      <c r="M4281" s="3" t="s">
        <v>10420</v>
      </c>
      <c r="N4281" s="3" t="str">
        <f>HYPERLINK("http://ictvonline.org/taxonomyHistory.asp?taxnode_id=20164438","ICTVonline=20164438")</f>
        <v>ICTVonline=20164438</v>
      </c>
    </row>
    <row r="4282" spans="1:14" x14ac:dyDescent="0.15">
      <c r="A4282" s="3">
        <v>4281</v>
      </c>
      <c r="B4282" s="1" t="s">
        <v>926</v>
      </c>
      <c r="C4282" s="1" t="s">
        <v>1983</v>
      </c>
      <c r="E4282" s="1" t="s">
        <v>210</v>
      </c>
      <c r="F4282" s="1" t="s">
        <v>211</v>
      </c>
      <c r="G4282" s="3">
        <v>1</v>
      </c>
      <c r="H4282" s="20" t="s">
        <v>6254</v>
      </c>
      <c r="I4282" s="20" t="s">
        <v>3807</v>
      </c>
      <c r="J4282" s="20" t="s">
        <v>3176</v>
      </c>
      <c r="K4282" s="20" t="s">
        <v>10072</v>
      </c>
      <c r="L4282" s="3">
        <v>26</v>
      </c>
      <c r="M4282" s="3" t="s">
        <v>10421</v>
      </c>
      <c r="N4282" s="3" t="str">
        <f>HYPERLINK("http://ictvonline.org/taxonomyHistory.asp?taxnode_id=20164440","ICTVonline=20164440")</f>
        <v>ICTVonline=20164440</v>
      </c>
    </row>
    <row r="4283" spans="1:14" x14ac:dyDescent="0.15">
      <c r="A4283" s="3">
        <v>4282</v>
      </c>
      <c r="B4283" s="1" t="s">
        <v>926</v>
      </c>
      <c r="C4283" s="1" t="s">
        <v>1983</v>
      </c>
      <c r="E4283" s="1" t="s">
        <v>210</v>
      </c>
      <c r="F4283" s="1" t="s">
        <v>212</v>
      </c>
      <c r="G4283" s="3">
        <v>0</v>
      </c>
      <c r="H4283" s="20" t="s">
        <v>6255</v>
      </c>
      <c r="I4283" s="20" t="s">
        <v>6256</v>
      </c>
      <c r="J4283" s="20" t="s">
        <v>3176</v>
      </c>
      <c r="K4283" s="20" t="s">
        <v>10013</v>
      </c>
      <c r="L4283" s="3">
        <v>26</v>
      </c>
      <c r="M4283" s="3" t="s">
        <v>10421</v>
      </c>
      <c r="N4283" s="3" t="str">
        <f>HYPERLINK("http://ictvonline.org/taxonomyHistory.asp?taxnode_id=20164441","ICTVonline=20164441")</f>
        <v>ICTVonline=20164441</v>
      </c>
    </row>
    <row r="4284" spans="1:14" x14ac:dyDescent="0.15">
      <c r="A4284" s="3">
        <v>4283</v>
      </c>
      <c r="B4284" s="1" t="s">
        <v>926</v>
      </c>
      <c r="C4284" s="1" t="s">
        <v>1983</v>
      </c>
      <c r="E4284" s="1" t="s">
        <v>210</v>
      </c>
      <c r="F4284" s="1" t="s">
        <v>213</v>
      </c>
      <c r="G4284" s="3">
        <v>0</v>
      </c>
      <c r="H4284" s="20" t="s">
        <v>6257</v>
      </c>
      <c r="I4284" s="20" t="s">
        <v>6256</v>
      </c>
      <c r="J4284" s="20" t="s">
        <v>3176</v>
      </c>
      <c r="K4284" s="20" t="s">
        <v>10013</v>
      </c>
      <c r="L4284" s="3">
        <v>26</v>
      </c>
      <c r="M4284" s="3" t="s">
        <v>10421</v>
      </c>
      <c r="N4284" s="3" t="str">
        <f>HYPERLINK("http://ictvonline.org/taxonomyHistory.asp?taxnode_id=20164442","ICTVonline=20164442")</f>
        <v>ICTVonline=20164442</v>
      </c>
    </row>
    <row r="4285" spans="1:14" x14ac:dyDescent="0.15">
      <c r="A4285" s="3">
        <v>4284</v>
      </c>
      <c r="B4285" s="1" t="s">
        <v>926</v>
      </c>
      <c r="C4285" s="1" t="s">
        <v>1983</v>
      </c>
      <c r="E4285" s="1" t="s">
        <v>210</v>
      </c>
      <c r="F4285" s="1" t="s">
        <v>2710</v>
      </c>
      <c r="G4285" s="3">
        <v>0</v>
      </c>
      <c r="H4285" s="20" t="s">
        <v>6258</v>
      </c>
      <c r="I4285" s="20" t="s">
        <v>6259</v>
      </c>
      <c r="J4285" s="20" t="s">
        <v>3176</v>
      </c>
      <c r="K4285" s="20" t="s">
        <v>10013</v>
      </c>
      <c r="L4285" s="3">
        <v>28</v>
      </c>
      <c r="M4285" s="3" t="s">
        <v>10420</v>
      </c>
      <c r="N4285" s="3" t="str">
        <f>HYPERLINK("http://ictvonline.org/taxonomyHistory.asp?taxnode_id=20164443","ICTVonline=20164443")</f>
        <v>ICTVonline=20164443</v>
      </c>
    </row>
    <row r="4286" spans="1:14" x14ac:dyDescent="0.15">
      <c r="A4286" s="3">
        <v>4285</v>
      </c>
      <c r="B4286" s="1" t="s">
        <v>926</v>
      </c>
      <c r="C4286" s="1" t="s">
        <v>1983</v>
      </c>
      <c r="E4286" s="1" t="s">
        <v>787</v>
      </c>
      <c r="F4286" s="1" t="s">
        <v>2711</v>
      </c>
      <c r="G4286" s="3">
        <v>0</v>
      </c>
      <c r="H4286" s="20" t="s">
        <v>6260</v>
      </c>
      <c r="I4286" s="20" t="s">
        <v>6261</v>
      </c>
      <c r="J4286" s="20" t="s">
        <v>3176</v>
      </c>
      <c r="K4286" s="20" t="s">
        <v>10013</v>
      </c>
      <c r="L4286" s="3">
        <v>28</v>
      </c>
      <c r="M4286" s="3" t="s">
        <v>10420</v>
      </c>
      <c r="N4286" s="3" t="str">
        <f>HYPERLINK("http://ictvonline.org/taxonomyHistory.asp?taxnode_id=20164445","ICTVonline=20164445")</f>
        <v>ICTVonline=20164445</v>
      </c>
    </row>
    <row r="4287" spans="1:14" x14ac:dyDescent="0.15">
      <c r="A4287" s="3">
        <v>4286</v>
      </c>
      <c r="B4287" s="1" t="s">
        <v>926</v>
      </c>
      <c r="C4287" s="1" t="s">
        <v>1983</v>
      </c>
      <c r="E4287" s="1" t="s">
        <v>787</v>
      </c>
      <c r="F4287" s="1" t="s">
        <v>2712</v>
      </c>
      <c r="G4287" s="3">
        <v>0</v>
      </c>
      <c r="H4287" s="20" t="s">
        <v>6262</v>
      </c>
      <c r="I4287" s="20" t="s">
        <v>6263</v>
      </c>
      <c r="J4287" s="20" t="s">
        <v>3176</v>
      </c>
      <c r="K4287" s="20" t="s">
        <v>10013</v>
      </c>
      <c r="L4287" s="3">
        <v>28</v>
      </c>
      <c r="M4287" s="3" t="s">
        <v>10420</v>
      </c>
      <c r="N4287" s="3" t="str">
        <f>HYPERLINK("http://ictvonline.org/taxonomyHistory.asp?taxnode_id=20164446","ICTVonline=20164446")</f>
        <v>ICTVonline=20164446</v>
      </c>
    </row>
    <row r="4288" spans="1:14" x14ac:dyDescent="0.15">
      <c r="A4288" s="3">
        <v>4287</v>
      </c>
      <c r="B4288" s="1" t="s">
        <v>926</v>
      </c>
      <c r="C4288" s="1" t="s">
        <v>1983</v>
      </c>
      <c r="E4288" s="1" t="s">
        <v>787</v>
      </c>
      <c r="F4288" s="1" t="s">
        <v>1269</v>
      </c>
      <c r="G4288" s="3">
        <v>0</v>
      </c>
      <c r="H4288" s="20" t="s">
        <v>6264</v>
      </c>
      <c r="I4288" s="20" t="s">
        <v>6265</v>
      </c>
      <c r="J4288" s="20" t="s">
        <v>3176</v>
      </c>
      <c r="K4288" s="20" t="s">
        <v>10013</v>
      </c>
      <c r="L4288" s="3">
        <v>25</v>
      </c>
      <c r="M4288" s="3" t="s">
        <v>10422</v>
      </c>
      <c r="N4288" s="3" t="str">
        <f>HYPERLINK("http://ictvonline.org/taxonomyHistory.asp?taxnode_id=20164447","ICTVonline=20164447")</f>
        <v>ICTVonline=20164447</v>
      </c>
    </row>
    <row r="4289" spans="1:14" x14ac:dyDescent="0.15">
      <c r="A4289" s="3">
        <v>4288</v>
      </c>
      <c r="B4289" s="1" t="s">
        <v>926</v>
      </c>
      <c r="C4289" s="1" t="s">
        <v>1983</v>
      </c>
      <c r="E4289" s="1" t="s">
        <v>787</v>
      </c>
      <c r="F4289" s="1" t="s">
        <v>1270</v>
      </c>
      <c r="G4289" s="3">
        <v>0</v>
      </c>
      <c r="H4289" s="20" t="s">
        <v>6266</v>
      </c>
      <c r="I4289" s="20" t="s">
        <v>6267</v>
      </c>
      <c r="J4289" s="20" t="s">
        <v>3176</v>
      </c>
      <c r="K4289" s="20" t="s">
        <v>10013</v>
      </c>
      <c r="L4289" s="3">
        <v>25</v>
      </c>
      <c r="M4289" s="3" t="s">
        <v>10422</v>
      </c>
      <c r="N4289" s="3" t="str">
        <f>HYPERLINK("http://ictvonline.org/taxonomyHistory.asp?taxnode_id=20164448","ICTVonline=20164448")</f>
        <v>ICTVonline=20164448</v>
      </c>
    </row>
    <row r="4290" spans="1:14" x14ac:dyDescent="0.15">
      <c r="A4290" s="3">
        <v>4289</v>
      </c>
      <c r="B4290" s="1" t="s">
        <v>926</v>
      </c>
      <c r="C4290" s="1" t="s">
        <v>1983</v>
      </c>
      <c r="E4290" s="1" t="s">
        <v>787</v>
      </c>
      <c r="F4290" s="1" t="s">
        <v>1271</v>
      </c>
      <c r="G4290" s="3">
        <v>0</v>
      </c>
      <c r="H4290" s="20" t="s">
        <v>6268</v>
      </c>
      <c r="I4290" s="20" t="s">
        <v>6269</v>
      </c>
      <c r="J4290" s="20" t="s">
        <v>3176</v>
      </c>
      <c r="K4290" s="20" t="s">
        <v>10013</v>
      </c>
      <c r="L4290" s="3">
        <v>25</v>
      </c>
      <c r="M4290" s="3" t="s">
        <v>10422</v>
      </c>
      <c r="N4290" s="3" t="str">
        <f>HYPERLINK("http://ictvonline.org/taxonomyHistory.asp?taxnode_id=20164449","ICTVonline=20164449")</f>
        <v>ICTVonline=20164449</v>
      </c>
    </row>
    <row r="4291" spans="1:14" x14ac:dyDescent="0.15">
      <c r="A4291" s="3">
        <v>4290</v>
      </c>
      <c r="B4291" s="1" t="s">
        <v>926</v>
      </c>
      <c r="C4291" s="1" t="s">
        <v>1983</v>
      </c>
      <c r="E4291" s="1" t="s">
        <v>787</v>
      </c>
      <c r="F4291" s="1" t="s">
        <v>1272</v>
      </c>
      <c r="G4291" s="3">
        <v>0</v>
      </c>
      <c r="H4291" s="20" t="s">
        <v>6270</v>
      </c>
      <c r="I4291" s="20" t="s">
        <v>6271</v>
      </c>
      <c r="J4291" s="20" t="s">
        <v>3176</v>
      </c>
      <c r="K4291" s="20" t="s">
        <v>10013</v>
      </c>
      <c r="L4291" s="3">
        <v>25</v>
      </c>
      <c r="M4291" s="3" t="s">
        <v>10422</v>
      </c>
      <c r="N4291" s="3" t="str">
        <f>HYPERLINK("http://ictvonline.org/taxonomyHistory.asp?taxnode_id=20164450","ICTVonline=20164450")</f>
        <v>ICTVonline=20164450</v>
      </c>
    </row>
    <row r="4292" spans="1:14" x14ac:dyDescent="0.15">
      <c r="A4292" s="3">
        <v>4291</v>
      </c>
      <c r="B4292" s="1" t="s">
        <v>926</v>
      </c>
      <c r="C4292" s="1" t="s">
        <v>1983</v>
      </c>
      <c r="E4292" s="1" t="s">
        <v>787</v>
      </c>
      <c r="F4292" s="1" t="s">
        <v>791</v>
      </c>
      <c r="G4292" s="3">
        <v>0</v>
      </c>
      <c r="H4292" s="20" t="s">
        <v>6272</v>
      </c>
      <c r="I4292" s="20" t="s">
        <v>5600</v>
      </c>
      <c r="J4292" s="20" t="s">
        <v>3176</v>
      </c>
      <c r="K4292" s="20" t="s">
        <v>10013</v>
      </c>
      <c r="L4292" s="3">
        <v>25</v>
      </c>
      <c r="M4292" s="3" t="s">
        <v>10422</v>
      </c>
      <c r="N4292" s="3" t="str">
        <f>HYPERLINK("http://ictvonline.org/taxonomyHistory.asp?taxnode_id=20164451","ICTVonline=20164451")</f>
        <v>ICTVonline=20164451</v>
      </c>
    </row>
    <row r="4293" spans="1:14" x14ac:dyDescent="0.15">
      <c r="A4293" s="3">
        <v>4292</v>
      </c>
      <c r="B4293" s="1" t="s">
        <v>926</v>
      </c>
      <c r="C4293" s="1" t="s">
        <v>1983</v>
      </c>
      <c r="E4293" s="1" t="s">
        <v>787</v>
      </c>
      <c r="F4293" s="1" t="s">
        <v>1568</v>
      </c>
      <c r="G4293" s="3">
        <v>1</v>
      </c>
      <c r="H4293" s="20" t="s">
        <v>6273</v>
      </c>
      <c r="I4293" s="20" t="s">
        <v>5128</v>
      </c>
      <c r="J4293" s="20" t="s">
        <v>3176</v>
      </c>
      <c r="K4293" s="20" t="s">
        <v>10076</v>
      </c>
      <c r="L4293" s="3">
        <v>25</v>
      </c>
      <c r="M4293" s="3" t="s">
        <v>10422</v>
      </c>
      <c r="N4293" s="3" t="str">
        <f>HYPERLINK("http://ictvonline.org/taxonomyHistory.asp?taxnode_id=20164452","ICTVonline=20164452")</f>
        <v>ICTVonline=20164452</v>
      </c>
    </row>
    <row r="4294" spans="1:14" x14ac:dyDescent="0.15">
      <c r="A4294" s="3">
        <v>4293</v>
      </c>
      <c r="B4294" s="1" t="s">
        <v>926</v>
      </c>
      <c r="C4294" s="1" t="s">
        <v>1983</v>
      </c>
      <c r="E4294" s="1" t="s">
        <v>787</v>
      </c>
      <c r="F4294" s="1" t="s">
        <v>792</v>
      </c>
      <c r="G4294" s="3">
        <v>0</v>
      </c>
      <c r="H4294" s="20" t="s">
        <v>6274</v>
      </c>
      <c r="I4294" s="20" t="s">
        <v>6275</v>
      </c>
      <c r="J4294" s="20" t="s">
        <v>3176</v>
      </c>
      <c r="K4294" s="20" t="s">
        <v>10013</v>
      </c>
      <c r="L4294" s="3">
        <v>25</v>
      </c>
      <c r="M4294" s="3" t="s">
        <v>10422</v>
      </c>
      <c r="N4294" s="3" t="str">
        <f>HYPERLINK("http://ictvonline.org/taxonomyHistory.asp?taxnode_id=20164453","ICTVonline=20164453")</f>
        <v>ICTVonline=20164453</v>
      </c>
    </row>
    <row r="4295" spans="1:14" x14ac:dyDescent="0.15">
      <c r="A4295" s="3">
        <v>4294</v>
      </c>
      <c r="B4295" s="1" t="s">
        <v>926</v>
      </c>
      <c r="C4295" s="1" t="s">
        <v>1983</v>
      </c>
      <c r="E4295" s="1" t="s">
        <v>787</v>
      </c>
      <c r="F4295" s="1" t="s">
        <v>2713</v>
      </c>
      <c r="G4295" s="3">
        <v>0</v>
      </c>
      <c r="H4295" s="20" t="s">
        <v>6276</v>
      </c>
      <c r="I4295" s="20" t="s">
        <v>6277</v>
      </c>
      <c r="J4295" s="20" t="s">
        <v>3176</v>
      </c>
      <c r="K4295" s="20" t="s">
        <v>10013</v>
      </c>
      <c r="L4295" s="3">
        <v>28</v>
      </c>
      <c r="M4295" s="3" t="s">
        <v>10420</v>
      </c>
      <c r="N4295" s="3" t="str">
        <f>HYPERLINK("http://ictvonline.org/taxonomyHistory.asp?taxnode_id=20164454","ICTVonline=20164454")</f>
        <v>ICTVonline=20164454</v>
      </c>
    </row>
    <row r="4296" spans="1:14" x14ac:dyDescent="0.15">
      <c r="A4296" s="3">
        <v>4295</v>
      </c>
      <c r="B4296" s="1" t="s">
        <v>926</v>
      </c>
      <c r="C4296" s="1" t="s">
        <v>1983</v>
      </c>
      <c r="E4296" s="1" t="s">
        <v>787</v>
      </c>
      <c r="F4296" s="1" t="s">
        <v>2714</v>
      </c>
      <c r="G4296" s="3">
        <v>0</v>
      </c>
      <c r="H4296" s="20" t="s">
        <v>6278</v>
      </c>
      <c r="I4296" s="20" t="s">
        <v>6279</v>
      </c>
      <c r="J4296" s="20" t="s">
        <v>3176</v>
      </c>
      <c r="K4296" s="20" t="s">
        <v>10013</v>
      </c>
      <c r="L4296" s="3">
        <v>28</v>
      </c>
      <c r="M4296" s="3" t="s">
        <v>10420</v>
      </c>
      <c r="N4296" s="3" t="str">
        <f>HYPERLINK("http://ictvonline.org/taxonomyHistory.asp?taxnode_id=20164455","ICTVonline=20164455")</f>
        <v>ICTVonline=20164455</v>
      </c>
    </row>
    <row r="4297" spans="1:14" x14ac:dyDescent="0.15">
      <c r="A4297" s="3">
        <v>4296</v>
      </c>
      <c r="B4297" s="1" t="s">
        <v>926</v>
      </c>
      <c r="C4297" s="1" t="s">
        <v>1983</v>
      </c>
      <c r="E4297" s="1" t="s">
        <v>787</v>
      </c>
      <c r="F4297" s="1" t="s">
        <v>793</v>
      </c>
      <c r="G4297" s="3">
        <v>0</v>
      </c>
      <c r="H4297" s="20" t="s">
        <v>6280</v>
      </c>
      <c r="I4297" s="20" t="s">
        <v>6281</v>
      </c>
      <c r="J4297" s="20" t="s">
        <v>3176</v>
      </c>
      <c r="K4297" s="20" t="s">
        <v>10013</v>
      </c>
      <c r="L4297" s="3">
        <v>25</v>
      </c>
      <c r="M4297" s="3" t="s">
        <v>10422</v>
      </c>
      <c r="N4297" s="3" t="str">
        <f>HYPERLINK("http://ictvonline.org/taxonomyHistory.asp?taxnode_id=20164456","ICTVonline=20164456")</f>
        <v>ICTVonline=20164456</v>
      </c>
    </row>
    <row r="4298" spans="1:14" x14ac:dyDescent="0.15">
      <c r="A4298" s="3">
        <v>4297</v>
      </c>
      <c r="B4298" s="1" t="s">
        <v>926</v>
      </c>
      <c r="C4298" s="1" t="s">
        <v>1983</v>
      </c>
      <c r="E4298" s="1" t="s">
        <v>787</v>
      </c>
      <c r="F4298" s="1" t="s">
        <v>794</v>
      </c>
      <c r="G4298" s="3">
        <v>0</v>
      </c>
      <c r="H4298" s="20" t="s">
        <v>6282</v>
      </c>
      <c r="I4298" s="20" t="s">
        <v>6281</v>
      </c>
      <c r="J4298" s="20" t="s">
        <v>3176</v>
      </c>
      <c r="K4298" s="20" t="s">
        <v>10013</v>
      </c>
      <c r="L4298" s="3">
        <v>25</v>
      </c>
      <c r="M4298" s="3" t="s">
        <v>10422</v>
      </c>
      <c r="N4298" s="3" t="str">
        <f>HYPERLINK("http://ictvonline.org/taxonomyHistory.asp?taxnode_id=20164457","ICTVonline=20164457")</f>
        <v>ICTVonline=20164457</v>
      </c>
    </row>
    <row r="4299" spans="1:14" x14ac:dyDescent="0.15">
      <c r="A4299" s="3">
        <v>4298</v>
      </c>
      <c r="B4299" s="1" t="s">
        <v>926</v>
      </c>
      <c r="C4299" s="1" t="s">
        <v>1983</v>
      </c>
      <c r="E4299" s="1" t="s">
        <v>787</v>
      </c>
      <c r="F4299" s="1" t="s">
        <v>2715</v>
      </c>
      <c r="G4299" s="3">
        <v>0</v>
      </c>
      <c r="H4299" s="20" t="s">
        <v>6283</v>
      </c>
      <c r="I4299" s="20" t="s">
        <v>6284</v>
      </c>
      <c r="J4299" s="20" t="s">
        <v>3176</v>
      </c>
      <c r="K4299" s="20" t="s">
        <v>10013</v>
      </c>
      <c r="L4299" s="3">
        <v>28</v>
      </c>
      <c r="M4299" s="3" t="s">
        <v>10420</v>
      </c>
      <c r="N4299" s="3" t="str">
        <f>HYPERLINK("http://ictvonline.org/taxonomyHistory.asp?taxnode_id=20164458","ICTVonline=20164458")</f>
        <v>ICTVonline=20164458</v>
      </c>
    </row>
    <row r="4300" spans="1:14" x14ac:dyDescent="0.15">
      <c r="A4300" s="3">
        <v>4299</v>
      </c>
      <c r="B4300" s="1" t="s">
        <v>926</v>
      </c>
      <c r="C4300" s="1" t="s">
        <v>7558</v>
      </c>
      <c r="E4300" s="1" t="s">
        <v>7559</v>
      </c>
      <c r="F4300" s="1" t="s">
        <v>9983</v>
      </c>
      <c r="G4300" s="3">
        <v>1</v>
      </c>
      <c r="H4300" s="20" t="s">
        <v>9984</v>
      </c>
      <c r="I4300" s="20" t="s">
        <v>9983</v>
      </c>
      <c r="J4300" s="20" t="s">
        <v>2860</v>
      </c>
      <c r="K4300" s="20" t="s">
        <v>10013</v>
      </c>
      <c r="L4300" s="3">
        <v>31</v>
      </c>
      <c r="M4300" s="3" t="s">
        <v>7560</v>
      </c>
      <c r="N4300" s="3" t="str">
        <f>HYPERLINK("http://ictvonline.org/taxonomyHistory.asp?taxnode_id=20165504","ICTVonline=20165504")</f>
        <v>ICTVonline=20165504</v>
      </c>
    </row>
    <row r="4301" spans="1:14" x14ac:dyDescent="0.15">
      <c r="A4301" s="3">
        <v>4300</v>
      </c>
      <c r="B4301" s="1" t="s">
        <v>926</v>
      </c>
      <c r="C4301" s="1" t="s">
        <v>7558</v>
      </c>
      <c r="E4301" s="1" t="s">
        <v>7559</v>
      </c>
      <c r="F4301" s="1" t="s">
        <v>1687</v>
      </c>
      <c r="G4301" s="3">
        <v>0</v>
      </c>
      <c r="H4301" s="20" t="s">
        <v>4334</v>
      </c>
      <c r="I4301" s="20" t="s">
        <v>1687</v>
      </c>
      <c r="J4301" s="20" t="s">
        <v>2860</v>
      </c>
      <c r="K4301" s="20" t="s">
        <v>10016</v>
      </c>
      <c r="L4301" s="3">
        <v>31</v>
      </c>
      <c r="M4301" s="3" t="s">
        <v>7560</v>
      </c>
      <c r="N4301" s="3" t="str">
        <f>HYPERLINK("http://ictvonline.org/taxonomyHistory.asp?taxnode_id=20160962","ICTVonline=20160962")</f>
        <v>ICTVonline=20160962</v>
      </c>
    </row>
    <row r="4302" spans="1:14" x14ac:dyDescent="0.15">
      <c r="A4302" s="3">
        <v>4301</v>
      </c>
      <c r="B4302" s="1" t="s">
        <v>926</v>
      </c>
      <c r="C4302" s="1" t="s">
        <v>2716</v>
      </c>
      <c r="E4302" s="1" t="s">
        <v>2717</v>
      </c>
      <c r="F4302" s="1" t="s">
        <v>2718</v>
      </c>
      <c r="G4302" s="3">
        <v>1</v>
      </c>
      <c r="H4302" s="20" t="s">
        <v>6285</v>
      </c>
      <c r="J4302" s="20" t="s">
        <v>2860</v>
      </c>
      <c r="K4302" s="20" t="s">
        <v>10013</v>
      </c>
      <c r="L4302" s="3">
        <v>28</v>
      </c>
      <c r="M4302" s="3" t="s">
        <v>10423</v>
      </c>
      <c r="N4302" s="3" t="str">
        <f>HYPERLINK("http://ictvonline.org/taxonomyHistory.asp?taxnode_id=20164462","ICTVonline=20164462")</f>
        <v>ICTVonline=20164462</v>
      </c>
    </row>
    <row r="4303" spans="1:14" x14ac:dyDescent="0.15">
      <c r="A4303" s="3">
        <v>4302</v>
      </c>
      <c r="B4303" s="1" t="s">
        <v>926</v>
      </c>
      <c r="C4303" s="1" t="s">
        <v>2716</v>
      </c>
      <c r="E4303" s="1" t="s">
        <v>2717</v>
      </c>
      <c r="F4303" s="1" t="s">
        <v>2719</v>
      </c>
      <c r="G4303" s="3">
        <v>0</v>
      </c>
      <c r="H4303" s="20" t="s">
        <v>6286</v>
      </c>
      <c r="J4303" s="20" t="s">
        <v>2860</v>
      </c>
      <c r="K4303" s="20" t="s">
        <v>10013</v>
      </c>
      <c r="L4303" s="3">
        <v>28</v>
      </c>
      <c r="M4303" s="3" t="s">
        <v>10423</v>
      </c>
      <c r="N4303" s="3" t="str">
        <f>HYPERLINK("http://ictvonline.org/taxonomyHistory.asp?taxnode_id=20164463","ICTVonline=20164463")</f>
        <v>ICTVonline=20164463</v>
      </c>
    </row>
    <row r="4304" spans="1:14" x14ac:dyDescent="0.15">
      <c r="A4304" s="3">
        <v>4303</v>
      </c>
      <c r="B4304" s="1" t="s">
        <v>926</v>
      </c>
      <c r="C4304" s="1" t="s">
        <v>926</v>
      </c>
      <c r="E4304" s="1" t="s">
        <v>6287</v>
      </c>
      <c r="F4304" s="1" t="s">
        <v>6288</v>
      </c>
      <c r="G4304" s="3">
        <v>1</v>
      </c>
      <c r="H4304" s="20" t="s">
        <v>6289</v>
      </c>
      <c r="I4304" s="20" t="s">
        <v>6290</v>
      </c>
      <c r="J4304" s="20" t="s">
        <v>3160</v>
      </c>
      <c r="K4304" s="20" t="s">
        <v>10013</v>
      </c>
      <c r="L4304" s="3">
        <v>30</v>
      </c>
      <c r="M4304" s="3" t="s">
        <v>10424</v>
      </c>
      <c r="N4304" s="3" t="str">
        <f>HYPERLINK("http://ictvonline.org/taxonomyHistory.asp?taxnode_id=20164467","ICTVonline=20164467")</f>
        <v>ICTVonline=20164467</v>
      </c>
    </row>
    <row r="4305" spans="1:14" x14ac:dyDescent="0.15">
      <c r="A4305" s="3">
        <v>4304</v>
      </c>
      <c r="B4305" s="1" t="s">
        <v>926</v>
      </c>
      <c r="C4305" s="1" t="s">
        <v>926</v>
      </c>
      <c r="E4305" s="1" t="s">
        <v>6287</v>
      </c>
      <c r="F4305" s="1" t="s">
        <v>6291</v>
      </c>
      <c r="G4305" s="3">
        <v>0</v>
      </c>
      <c r="H4305" s="20" t="s">
        <v>6292</v>
      </c>
      <c r="I4305" s="20" t="s">
        <v>6293</v>
      </c>
      <c r="J4305" s="20" t="s">
        <v>3160</v>
      </c>
      <c r="K4305" s="20" t="s">
        <v>10013</v>
      </c>
      <c r="L4305" s="3">
        <v>30</v>
      </c>
      <c r="M4305" s="3" t="s">
        <v>10424</v>
      </c>
      <c r="N4305" s="3" t="str">
        <f>HYPERLINK("http://ictvonline.org/taxonomyHistory.asp?taxnode_id=20164468","ICTVonline=20164468")</f>
        <v>ICTVonline=20164468</v>
      </c>
    </row>
    <row r="4306" spans="1:14" x14ac:dyDescent="0.15">
      <c r="A4306" s="3">
        <v>4305</v>
      </c>
      <c r="B4306" s="1" t="s">
        <v>926</v>
      </c>
      <c r="C4306" s="1" t="s">
        <v>926</v>
      </c>
      <c r="E4306" s="1" t="s">
        <v>6287</v>
      </c>
      <c r="F4306" s="1" t="s">
        <v>6294</v>
      </c>
      <c r="G4306" s="3">
        <v>0</v>
      </c>
      <c r="H4306" s="20" t="s">
        <v>6295</v>
      </c>
      <c r="I4306" s="20" t="s">
        <v>6296</v>
      </c>
      <c r="J4306" s="20" t="s">
        <v>3160</v>
      </c>
      <c r="K4306" s="20" t="s">
        <v>10013</v>
      </c>
      <c r="L4306" s="3">
        <v>30</v>
      </c>
      <c r="M4306" s="3" t="s">
        <v>10424</v>
      </c>
      <c r="N4306" s="3" t="str">
        <f>HYPERLINK("http://ictvonline.org/taxonomyHistory.asp?taxnode_id=20164469","ICTVonline=20164469")</f>
        <v>ICTVonline=20164469</v>
      </c>
    </row>
    <row r="4307" spans="1:14" x14ac:dyDescent="0.15">
      <c r="A4307" s="3">
        <v>4306</v>
      </c>
      <c r="B4307" s="1" t="s">
        <v>926</v>
      </c>
      <c r="C4307" s="1" t="s">
        <v>926</v>
      </c>
      <c r="E4307" s="1" t="s">
        <v>6297</v>
      </c>
      <c r="F4307" s="1" t="s">
        <v>6298</v>
      </c>
      <c r="G4307" s="3">
        <v>1</v>
      </c>
      <c r="H4307" s="20" t="s">
        <v>6299</v>
      </c>
      <c r="I4307" s="20" t="s">
        <v>6300</v>
      </c>
      <c r="J4307" s="20" t="s">
        <v>3160</v>
      </c>
      <c r="K4307" s="20" t="s">
        <v>10013</v>
      </c>
      <c r="L4307" s="3">
        <v>30</v>
      </c>
      <c r="M4307" s="3" t="s">
        <v>10424</v>
      </c>
      <c r="N4307" s="3" t="str">
        <f>HYPERLINK("http://ictvonline.org/taxonomyHistory.asp?taxnode_id=20164471","ICTVonline=20164471")</f>
        <v>ICTVonline=20164471</v>
      </c>
    </row>
    <row r="4308" spans="1:14" x14ac:dyDescent="0.15">
      <c r="A4308" s="3">
        <v>4307</v>
      </c>
      <c r="B4308" s="1" t="s">
        <v>926</v>
      </c>
      <c r="C4308" s="1" t="s">
        <v>926</v>
      </c>
      <c r="E4308" s="1" t="s">
        <v>214</v>
      </c>
      <c r="F4308" s="1" t="s">
        <v>215</v>
      </c>
      <c r="G4308" s="3">
        <v>1</v>
      </c>
      <c r="J4308" s="36" t="s">
        <v>5199</v>
      </c>
      <c r="K4308" s="20" t="s">
        <v>10072</v>
      </c>
      <c r="L4308" s="3">
        <v>26</v>
      </c>
      <c r="M4308" s="3" t="s">
        <v>10425</v>
      </c>
      <c r="N4308" s="3" t="str">
        <f>HYPERLINK("http://ictvonline.org/taxonomyHistory.asp?taxnode_id=20164473","ICTVonline=20164473")</f>
        <v>ICTVonline=20164473</v>
      </c>
    </row>
    <row r="4309" spans="1:14" x14ac:dyDescent="0.15">
      <c r="A4309" s="3">
        <v>4308</v>
      </c>
      <c r="B4309" s="1" t="s">
        <v>926</v>
      </c>
      <c r="C4309" s="1" t="s">
        <v>926</v>
      </c>
      <c r="E4309" s="1" t="s">
        <v>9985</v>
      </c>
      <c r="F4309" s="1" t="s">
        <v>9986</v>
      </c>
      <c r="G4309" s="3">
        <v>1</v>
      </c>
      <c r="H4309" s="20" t="s">
        <v>9987</v>
      </c>
      <c r="I4309" s="20" t="s">
        <v>9988</v>
      </c>
      <c r="J4309" s="20" t="s">
        <v>3160</v>
      </c>
      <c r="K4309" s="20" t="s">
        <v>10013</v>
      </c>
      <c r="L4309" s="3">
        <v>31</v>
      </c>
      <c r="M4309" s="3" t="s">
        <v>9989</v>
      </c>
      <c r="N4309" s="3" t="str">
        <f>HYPERLINK("http://ictvonline.org/taxonomyHistory.asp?taxnode_id=20165505","ICTVonline=20165505")</f>
        <v>ICTVonline=20165505</v>
      </c>
    </row>
    <row r="4310" spans="1:14" x14ac:dyDescent="0.15">
      <c r="A4310" s="3">
        <v>4309</v>
      </c>
      <c r="B4310" s="1" t="s">
        <v>926</v>
      </c>
      <c r="C4310" s="1" t="s">
        <v>926</v>
      </c>
      <c r="E4310" s="1" t="s">
        <v>6301</v>
      </c>
      <c r="F4310" s="1" t="s">
        <v>6302</v>
      </c>
      <c r="G4310" s="3">
        <v>1</v>
      </c>
      <c r="H4310" s="20" t="s">
        <v>6303</v>
      </c>
      <c r="I4310" s="20" t="s">
        <v>6304</v>
      </c>
      <c r="J4310" s="20" t="s">
        <v>3176</v>
      </c>
      <c r="K4310" s="20" t="s">
        <v>10013</v>
      </c>
      <c r="L4310" s="3">
        <v>30</v>
      </c>
      <c r="M4310" s="3" t="s">
        <v>10426</v>
      </c>
      <c r="N4310" s="3" t="str">
        <f>HYPERLINK("http://ictvonline.org/taxonomyHistory.asp?taxnode_id=20164475","ICTVonline=20164475")</f>
        <v>ICTVonline=20164475</v>
      </c>
    </row>
    <row r="4311" spans="1:14" x14ac:dyDescent="0.15">
      <c r="A4311" s="3">
        <v>4310</v>
      </c>
      <c r="B4311" s="1" t="s">
        <v>926</v>
      </c>
      <c r="C4311" s="1" t="s">
        <v>926</v>
      </c>
      <c r="E4311" s="1" t="s">
        <v>2069</v>
      </c>
      <c r="F4311" s="1" t="s">
        <v>2070</v>
      </c>
      <c r="G4311" s="3">
        <v>1</v>
      </c>
      <c r="H4311" s="20" t="s">
        <v>7269</v>
      </c>
      <c r="I4311" s="20" t="s">
        <v>6305</v>
      </c>
      <c r="J4311" s="20" t="s">
        <v>3160</v>
      </c>
      <c r="K4311" s="20" t="s">
        <v>10072</v>
      </c>
      <c r="L4311" s="3">
        <v>25</v>
      </c>
      <c r="M4311" s="3" t="s">
        <v>10427</v>
      </c>
      <c r="N4311" s="3" t="str">
        <f>HYPERLINK("http://ictvonline.org/taxonomyHistory.asp?taxnode_id=20164477","ICTVonline=20164477")</f>
        <v>ICTVonline=20164477</v>
      </c>
    </row>
    <row r="4312" spans="1:14" x14ac:dyDescent="0.15">
      <c r="A4312" s="3">
        <v>4311</v>
      </c>
      <c r="B4312" s="1" t="s">
        <v>926</v>
      </c>
      <c r="C4312" s="1" t="s">
        <v>926</v>
      </c>
      <c r="E4312" s="1" t="s">
        <v>2069</v>
      </c>
      <c r="F4312" s="1" t="s">
        <v>9990</v>
      </c>
      <c r="G4312" s="3">
        <v>0</v>
      </c>
      <c r="H4312" s="20" t="s">
        <v>9991</v>
      </c>
      <c r="I4312" s="20" t="s">
        <v>9992</v>
      </c>
      <c r="J4312" s="20" t="s">
        <v>3160</v>
      </c>
      <c r="K4312" s="20" t="s">
        <v>10013</v>
      </c>
      <c r="L4312" s="3">
        <v>31</v>
      </c>
      <c r="M4312" s="3" t="s">
        <v>9993</v>
      </c>
      <c r="N4312" s="3" t="str">
        <f>HYPERLINK("http://ictvonline.org/taxonomyHistory.asp?taxnode_id=20165506","ICTVonline=20165506")</f>
        <v>ICTVonline=20165506</v>
      </c>
    </row>
    <row r="4313" spans="1:14" x14ac:dyDescent="0.15">
      <c r="A4313" s="3">
        <v>4312</v>
      </c>
      <c r="B4313" s="1" t="s">
        <v>926</v>
      </c>
      <c r="C4313" s="1" t="s">
        <v>926</v>
      </c>
      <c r="E4313" s="1" t="s">
        <v>1290</v>
      </c>
      <c r="F4313" s="1" t="s">
        <v>1291</v>
      </c>
      <c r="G4313" s="3">
        <v>1</v>
      </c>
      <c r="J4313" s="20" t="s">
        <v>3149</v>
      </c>
      <c r="K4313" s="20" t="s">
        <v>10072</v>
      </c>
      <c r="L4313" s="3">
        <v>13</v>
      </c>
      <c r="M4313" s="3" t="s">
        <v>10225</v>
      </c>
      <c r="N4313" s="3" t="str">
        <f>HYPERLINK("http://ictvonline.org/taxonomyHistory.asp?taxnode_id=20164479","ICTVonline=20164479")</f>
        <v>ICTVonline=20164479</v>
      </c>
    </row>
    <row r="4314" spans="1:14" x14ac:dyDescent="0.15">
      <c r="A4314" s="3">
        <v>4313</v>
      </c>
      <c r="B4314" s="1" t="s">
        <v>926</v>
      </c>
      <c r="C4314" s="1" t="s">
        <v>926</v>
      </c>
      <c r="E4314" s="1" t="s">
        <v>216</v>
      </c>
      <c r="F4314" s="1" t="s">
        <v>217</v>
      </c>
      <c r="G4314" s="3">
        <v>1</v>
      </c>
      <c r="J4314" s="20" t="s">
        <v>2860</v>
      </c>
      <c r="K4314" s="20" t="s">
        <v>10072</v>
      </c>
      <c r="L4314" s="3">
        <v>26</v>
      </c>
      <c r="M4314" s="3" t="s">
        <v>10428</v>
      </c>
      <c r="N4314" s="3" t="str">
        <f>HYPERLINK("http://ictvonline.org/taxonomyHistory.asp?taxnode_id=20164481","ICTVonline=20164481")</f>
        <v>ICTVonline=20164481</v>
      </c>
    </row>
    <row r="4315" spans="1:14" x14ac:dyDescent="0.15">
      <c r="A4315" s="3">
        <v>4314</v>
      </c>
      <c r="B4315" s="1" t="s">
        <v>926</v>
      </c>
      <c r="C4315" s="1" t="s">
        <v>926</v>
      </c>
      <c r="E4315" s="1" t="s">
        <v>2720</v>
      </c>
      <c r="F4315" s="1" t="s">
        <v>2721</v>
      </c>
      <c r="G4315" s="3">
        <v>1</v>
      </c>
      <c r="H4315" s="20" t="s">
        <v>7270</v>
      </c>
      <c r="I4315" s="20" t="s">
        <v>6311</v>
      </c>
      <c r="J4315" s="20" t="s">
        <v>3160</v>
      </c>
      <c r="K4315" s="20" t="s">
        <v>10013</v>
      </c>
      <c r="L4315" s="3">
        <v>28</v>
      </c>
      <c r="M4315" s="3" t="s">
        <v>10429</v>
      </c>
      <c r="N4315" s="3" t="str">
        <f>HYPERLINK("http://ictvonline.org/taxonomyHistory.asp?taxnode_id=20164490","ICTVonline=20164490")</f>
        <v>ICTVonline=20164490</v>
      </c>
    </row>
    <row r="4316" spans="1:14" x14ac:dyDescent="0.15">
      <c r="A4316" s="3">
        <v>4315</v>
      </c>
      <c r="B4316" s="1" t="s">
        <v>926</v>
      </c>
      <c r="C4316" s="1" t="s">
        <v>926</v>
      </c>
      <c r="E4316" s="1" t="s">
        <v>268</v>
      </c>
      <c r="F4316" s="1" t="s">
        <v>269</v>
      </c>
      <c r="G4316" s="3">
        <v>1</v>
      </c>
      <c r="H4316" s="20" t="s">
        <v>7271</v>
      </c>
      <c r="I4316" s="20" t="s">
        <v>6312</v>
      </c>
      <c r="J4316" s="20" t="s">
        <v>3160</v>
      </c>
      <c r="K4316" s="20" t="s">
        <v>10072</v>
      </c>
      <c r="L4316" s="3">
        <v>13</v>
      </c>
      <c r="M4316" s="3" t="s">
        <v>10225</v>
      </c>
      <c r="N4316" s="3" t="str">
        <f>HYPERLINK("http://ictvonline.org/taxonomyHistory.asp?taxnode_id=20164492","ICTVonline=20164492")</f>
        <v>ICTVonline=20164492</v>
      </c>
    </row>
    <row r="4317" spans="1:14" x14ac:dyDescent="0.15">
      <c r="A4317" s="3">
        <v>4316</v>
      </c>
      <c r="B4317" s="1" t="s">
        <v>926</v>
      </c>
      <c r="C4317" s="1" t="s">
        <v>926</v>
      </c>
      <c r="E4317" s="1" t="s">
        <v>270</v>
      </c>
      <c r="F4317" s="1" t="s">
        <v>271</v>
      </c>
      <c r="G4317" s="3">
        <v>0</v>
      </c>
      <c r="H4317" s="20" t="s">
        <v>7272</v>
      </c>
      <c r="I4317" s="20" t="s">
        <v>6313</v>
      </c>
      <c r="J4317" s="20" t="s">
        <v>3160</v>
      </c>
      <c r="K4317" s="20" t="s">
        <v>10013</v>
      </c>
      <c r="L4317" s="3">
        <v>18</v>
      </c>
      <c r="M4317" s="3" t="s">
        <v>10101</v>
      </c>
      <c r="N4317" s="3" t="str">
        <f>HYPERLINK("http://ictvonline.org/taxonomyHistory.asp?taxnode_id=20164494","ICTVonline=20164494")</f>
        <v>ICTVonline=20164494</v>
      </c>
    </row>
    <row r="4318" spans="1:14" x14ac:dyDescent="0.15">
      <c r="A4318" s="3">
        <v>4317</v>
      </c>
      <c r="B4318" s="1" t="s">
        <v>926</v>
      </c>
      <c r="C4318" s="1" t="s">
        <v>926</v>
      </c>
      <c r="E4318" s="1" t="s">
        <v>270</v>
      </c>
      <c r="F4318" s="1" t="s">
        <v>272</v>
      </c>
      <c r="G4318" s="3">
        <v>0</v>
      </c>
      <c r="H4318" s="20" t="s">
        <v>7273</v>
      </c>
      <c r="I4318" s="20" t="s">
        <v>6314</v>
      </c>
      <c r="J4318" s="20" t="s">
        <v>3160</v>
      </c>
      <c r="K4318" s="20" t="s">
        <v>10013</v>
      </c>
      <c r="L4318" s="3">
        <v>18</v>
      </c>
      <c r="M4318" s="3" t="s">
        <v>10101</v>
      </c>
      <c r="N4318" s="3" t="str">
        <f>HYPERLINK("http://ictvonline.org/taxonomyHistory.asp?taxnode_id=20164495","ICTVonline=20164495")</f>
        <v>ICTVonline=20164495</v>
      </c>
    </row>
    <row r="4319" spans="1:14" x14ac:dyDescent="0.15">
      <c r="A4319" s="3">
        <v>4318</v>
      </c>
      <c r="B4319" s="1" t="s">
        <v>926</v>
      </c>
      <c r="C4319" s="1" t="s">
        <v>926</v>
      </c>
      <c r="E4319" s="1" t="s">
        <v>270</v>
      </c>
      <c r="F4319" s="1" t="s">
        <v>273</v>
      </c>
      <c r="G4319" s="3">
        <v>1</v>
      </c>
      <c r="H4319" s="20" t="s">
        <v>7274</v>
      </c>
      <c r="I4319" s="20" t="s">
        <v>6315</v>
      </c>
      <c r="J4319" s="20" t="s">
        <v>3160</v>
      </c>
      <c r="K4319" s="20" t="s">
        <v>10072</v>
      </c>
      <c r="L4319" s="3">
        <v>17</v>
      </c>
      <c r="M4319" s="3" t="s">
        <v>10208</v>
      </c>
      <c r="N4319" s="3" t="str">
        <f>HYPERLINK("http://ictvonline.org/taxonomyHistory.asp?taxnode_id=20164496","ICTVonline=20164496")</f>
        <v>ICTVonline=20164496</v>
      </c>
    </row>
    <row r="4320" spans="1:14" x14ac:dyDescent="0.15">
      <c r="A4320" s="3">
        <v>4319</v>
      </c>
      <c r="B4320" s="1" t="s">
        <v>926</v>
      </c>
      <c r="C4320" s="1" t="s">
        <v>926</v>
      </c>
      <c r="E4320" s="1" t="s">
        <v>6316</v>
      </c>
      <c r="F4320" s="1" t="s">
        <v>6317</v>
      </c>
      <c r="G4320" s="3">
        <v>1</v>
      </c>
      <c r="H4320" s="20" t="s">
        <v>6318</v>
      </c>
      <c r="I4320" s="20" t="s">
        <v>6319</v>
      </c>
      <c r="J4320" s="20" t="s">
        <v>3160</v>
      </c>
      <c r="K4320" s="20" t="s">
        <v>10013</v>
      </c>
      <c r="L4320" s="3">
        <v>30</v>
      </c>
      <c r="M4320" s="3" t="s">
        <v>10424</v>
      </c>
      <c r="N4320" s="3" t="str">
        <f>HYPERLINK("http://ictvonline.org/taxonomyHistory.asp?taxnode_id=20164498","ICTVonline=20164498")</f>
        <v>ICTVonline=20164498</v>
      </c>
    </row>
    <row r="4321" spans="1:14" x14ac:dyDescent="0.15">
      <c r="A4321" s="3">
        <v>4320</v>
      </c>
      <c r="B4321" s="1" t="s">
        <v>926</v>
      </c>
      <c r="C4321" s="1" t="s">
        <v>926</v>
      </c>
      <c r="E4321" s="1" t="s">
        <v>404</v>
      </c>
      <c r="F4321" s="1" t="s">
        <v>405</v>
      </c>
      <c r="G4321" s="3">
        <v>1</v>
      </c>
      <c r="H4321" s="20" t="s">
        <v>6320</v>
      </c>
      <c r="I4321" s="20" t="s">
        <v>4816</v>
      </c>
      <c r="J4321" s="20" t="s">
        <v>3160</v>
      </c>
      <c r="K4321" s="20" t="s">
        <v>10072</v>
      </c>
      <c r="L4321" s="3">
        <v>24</v>
      </c>
      <c r="M4321" s="3" t="s">
        <v>10430</v>
      </c>
      <c r="N4321" s="3" t="str">
        <f>HYPERLINK("http://ictvonline.org/taxonomyHistory.asp?taxnode_id=20164500","ICTVonline=20164500")</f>
        <v>ICTVonline=20164500</v>
      </c>
    </row>
    <row r="4322" spans="1:14" x14ac:dyDescent="0.15">
      <c r="A4322" s="3">
        <v>4321</v>
      </c>
      <c r="B4322" s="1" t="s">
        <v>926</v>
      </c>
      <c r="C4322" s="1" t="s">
        <v>926</v>
      </c>
      <c r="E4322" s="1" t="s">
        <v>411</v>
      </c>
      <c r="F4322" s="1" t="s">
        <v>412</v>
      </c>
      <c r="G4322" s="3">
        <v>1</v>
      </c>
      <c r="J4322" s="20" t="s">
        <v>2860</v>
      </c>
      <c r="K4322" s="20" t="s">
        <v>10072</v>
      </c>
      <c r="L4322" s="3">
        <v>10</v>
      </c>
      <c r="M4322" s="3" t="s">
        <v>10431</v>
      </c>
      <c r="N4322" s="3" t="str">
        <f>HYPERLINK("http://ictvonline.org/taxonomyHistory.asp?taxnode_id=20164502","ICTVonline=20164502")</f>
        <v>ICTVonline=20164502</v>
      </c>
    </row>
    <row r="4323" spans="1:14" x14ac:dyDescent="0.15">
      <c r="A4323" s="3">
        <v>4322</v>
      </c>
      <c r="B4323" s="1" t="s">
        <v>926</v>
      </c>
      <c r="C4323" s="1" t="s">
        <v>926</v>
      </c>
      <c r="E4323" s="1" t="s">
        <v>1029</v>
      </c>
      <c r="F4323" s="1" t="s">
        <v>1030</v>
      </c>
      <c r="G4323" s="3">
        <v>1</v>
      </c>
      <c r="H4323" s="20" t="s">
        <v>6321</v>
      </c>
      <c r="J4323" s="20" t="s">
        <v>2860</v>
      </c>
      <c r="K4323" s="20" t="s">
        <v>10072</v>
      </c>
      <c r="L4323" s="3">
        <v>22</v>
      </c>
      <c r="M4323" s="3" t="s">
        <v>10432</v>
      </c>
      <c r="N4323" s="3" t="str">
        <f>HYPERLINK("http://ictvonline.org/taxonomyHistory.asp?taxnode_id=20164504","ICTVonline=20164504")</f>
        <v>ICTVonline=20164504</v>
      </c>
    </row>
    <row r="4324" spans="1:14" x14ac:dyDescent="0.15">
      <c r="A4324" s="3">
        <v>4323</v>
      </c>
      <c r="B4324" s="1" t="s">
        <v>926</v>
      </c>
      <c r="C4324" s="1" t="s">
        <v>926</v>
      </c>
      <c r="E4324" s="1" t="s">
        <v>6322</v>
      </c>
      <c r="F4324" s="1" t="s">
        <v>6323</v>
      </c>
      <c r="G4324" s="3">
        <v>0</v>
      </c>
      <c r="H4324" s="20" t="s">
        <v>6324</v>
      </c>
      <c r="I4324" s="20" t="s">
        <v>6323</v>
      </c>
      <c r="J4324" s="20" t="s">
        <v>3160</v>
      </c>
      <c r="K4324" s="20" t="s">
        <v>10013</v>
      </c>
      <c r="L4324" s="3">
        <v>30</v>
      </c>
      <c r="M4324" s="3" t="s">
        <v>10433</v>
      </c>
      <c r="N4324" s="3" t="str">
        <f>HYPERLINK("http://ictvonline.org/taxonomyHistory.asp?taxnode_id=20164506","ICTVonline=20164506")</f>
        <v>ICTVonline=20164506</v>
      </c>
    </row>
    <row r="4325" spans="1:14" x14ac:dyDescent="0.15">
      <c r="A4325" s="3">
        <v>4324</v>
      </c>
      <c r="B4325" s="1" t="s">
        <v>926</v>
      </c>
      <c r="C4325" s="1" t="s">
        <v>926</v>
      </c>
      <c r="E4325" s="1" t="s">
        <v>6322</v>
      </c>
      <c r="F4325" s="1" t="s">
        <v>6325</v>
      </c>
      <c r="G4325" s="3">
        <v>1</v>
      </c>
      <c r="H4325" s="20" t="s">
        <v>6326</v>
      </c>
      <c r="I4325" s="20" t="s">
        <v>6325</v>
      </c>
      <c r="J4325" s="20" t="s">
        <v>3160</v>
      </c>
      <c r="K4325" s="20" t="s">
        <v>10013</v>
      </c>
      <c r="L4325" s="3">
        <v>30</v>
      </c>
      <c r="M4325" s="3" t="s">
        <v>10433</v>
      </c>
      <c r="N4325" s="3" t="str">
        <f>HYPERLINK("http://ictvonline.org/taxonomyHistory.asp?taxnode_id=20164507","ICTVonline=20164507")</f>
        <v>ICTVonline=20164507</v>
      </c>
    </row>
    <row r="4326" spans="1:14" x14ac:dyDescent="0.15">
      <c r="A4326" s="3">
        <v>4325</v>
      </c>
      <c r="B4326" s="1" t="s">
        <v>926</v>
      </c>
      <c r="C4326" s="1" t="s">
        <v>926</v>
      </c>
      <c r="E4326" s="1" t="s">
        <v>1031</v>
      </c>
      <c r="F4326" s="1" t="s">
        <v>6327</v>
      </c>
      <c r="G4326" s="3">
        <v>0</v>
      </c>
      <c r="H4326" s="20" t="s">
        <v>7067</v>
      </c>
      <c r="I4326" s="20" t="s">
        <v>6328</v>
      </c>
      <c r="J4326" s="20" t="s">
        <v>3160</v>
      </c>
      <c r="K4326" s="20" t="s">
        <v>10013</v>
      </c>
      <c r="L4326" s="3">
        <v>30</v>
      </c>
      <c r="M4326" s="3" t="s">
        <v>10434</v>
      </c>
      <c r="N4326" s="3" t="str">
        <f>HYPERLINK("http://ictvonline.org/taxonomyHistory.asp?taxnode_id=20164509","ICTVonline=20164509")</f>
        <v>ICTVonline=20164509</v>
      </c>
    </row>
    <row r="4327" spans="1:14" x14ac:dyDescent="0.15">
      <c r="A4327" s="3">
        <v>4326</v>
      </c>
      <c r="B4327" s="1" t="s">
        <v>926</v>
      </c>
      <c r="C4327" s="1" t="s">
        <v>926</v>
      </c>
      <c r="E4327" s="1" t="s">
        <v>1031</v>
      </c>
      <c r="F4327" s="1" t="s">
        <v>1032</v>
      </c>
      <c r="G4327" s="3">
        <v>0</v>
      </c>
      <c r="J4327" s="20" t="s">
        <v>3160</v>
      </c>
      <c r="K4327" s="20" t="s">
        <v>10016</v>
      </c>
      <c r="L4327" s="3">
        <v>13</v>
      </c>
      <c r="M4327" s="3" t="s">
        <v>10225</v>
      </c>
      <c r="N4327" s="3" t="str">
        <f>HYPERLINK("http://ictvonline.org/taxonomyHistory.asp?taxnode_id=20164510","ICTVonline=20164510")</f>
        <v>ICTVonline=20164510</v>
      </c>
    </row>
    <row r="4328" spans="1:14" x14ac:dyDescent="0.15">
      <c r="A4328" s="3">
        <v>4327</v>
      </c>
      <c r="B4328" s="1" t="s">
        <v>926</v>
      </c>
      <c r="C4328" s="1" t="s">
        <v>926</v>
      </c>
      <c r="E4328" s="1" t="s">
        <v>1031</v>
      </c>
      <c r="F4328" s="1" t="s">
        <v>1033</v>
      </c>
      <c r="G4328" s="3">
        <v>0</v>
      </c>
      <c r="H4328" s="20" t="s">
        <v>6329</v>
      </c>
      <c r="I4328" s="20" t="s">
        <v>6330</v>
      </c>
      <c r="J4328" s="20" t="s">
        <v>3160</v>
      </c>
      <c r="K4328" s="20" t="s">
        <v>10016</v>
      </c>
      <c r="L4328" s="3">
        <v>13</v>
      </c>
      <c r="M4328" s="3" t="s">
        <v>10225</v>
      </c>
      <c r="N4328" s="3" t="str">
        <f>HYPERLINK("http://ictvonline.org/taxonomyHistory.asp?taxnode_id=20164511","ICTVonline=20164511")</f>
        <v>ICTVonline=20164511</v>
      </c>
    </row>
    <row r="4329" spans="1:14" x14ac:dyDescent="0.15">
      <c r="A4329" s="3">
        <v>4328</v>
      </c>
      <c r="B4329" s="1" t="s">
        <v>926</v>
      </c>
      <c r="C4329" s="1" t="s">
        <v>926</v>
      </c>
      <c r="E4329" s="1" t="s">
        <v>1031</v>
      </c>
      <c r="F4329" s="1" t="s">
        <v>6331</v>
      </c>
      <c r="G4329" s="3">
        <v>0</v>
      </c>
      <c r="H4329" s="20" t="s">
        <v>7068</v>
      </c>
      <c r="I4329" s="20" t="s">
        <v>6332</v>
      </c>
      <c r="J4329" s="20" t="s">
        <v>3160</v>
      </c>
      <c r="K4329" s="20" t="s">
        <v>10013</v>
      </c>
      <c r="L4329" s="3">
        <v>30</v>
      </c>
      <c r="M4329" s="3" t="s">
        <v>10434</v>
      </c>
      <c r="N4329" s="3" t="str">
        <f>HYPERLINK("http://ictvonline.org/taxonomyHistory.asp?taxnode_id=20164512","ICTVonline=20164512")</f>
        <v>ICTVonline=20164512</v>
      </c>
    </row>
    <row r="4330" spans="1:14" x14ac:dyDescent="0.15">
      <c r="A4330" s="3">
        <v>4329</v>
      </c>
      <c r="B4330" s="1" t="s">
        <v>926</v>
      </c>
      <c r="C4330" s="1" t="s">
        <v>926</v>
      </c>
      <c r="E4330" s="1" t="s">
        <v>1031</v>
      </c>
      <c r="F4330" s="1" t="s">
        <v>218</v>
      </c>
      <c r="G4330" s="3">
        <v>0</v>
      </c>
      <c r="H4330" s="20" t="s">
        <v>6333</v>
      </c>
      <c r="I4330" s="20" t="s">
        <v>6334</v>
      </c>
      <c r="J4330" s="20" t="s">
        <v>3160</v>
      </c>
      <c r="K4330" s="20" t="s">
        <v>10013</v>
      </c>
      <c r="L4330" s="3">
        <v>26</v>
      </c>
      <c r="M4330" s="3" t="s">
        <v>10435</v>
      </c>
      <c r="N4330" s="3" t="str">
        <f>HYPERLINK("http://ictvonline.org/taxonomyHistory.asp?taxnode_id=20164513","ICTVonline=20164513")</f>
        <v>ICTVonline=20164513</v>
      </c>
    </row>
    <row r="4331" spans="1:14" x14ac:dyDescent="0.15">
      <c r="A4331" s="3">
        <v>4330</v>
      </c>
      <c r="B4331" s="1" t="s">
        <v>926</v>
      </c>
      <c r="C4331" s="1" t="s">
        <v>926</v>
      </c>
      <c r="E4331" s="1" t="s">
        <v>1031</v>
      </c>
      <c r="F4331" s="1" t="s">
        <v>1034</v>
      </c>
      <c r="G4331" s="3">
        <v>0</v>
      </c>
      <c r="H4331" s="20" t="s">
        <v>6335</v>
      </c>
      <c r="I4331" s="20" t="s">
        <v>6336</v>
      </c>
      <c r="J4331" s="20" t="s">
        <v>3160</v>
      </c>
      <c r="K4331" s="20" t="s">
        <v>10016</v>
      </c>
      <c r="L4331" s="3">
        <v>13</v>
      </c>
      <c r="M4331" s="3" t="s">
        <v>10225</v>
      </c>
      <c r="N4331" s="3" t="str">
        <f>HYPERLINK("http://ictvonline.org/taxonomyHistory.asp?taxnode_id=20164514","ICTVonline=20164514")</f>
        <v>ICTVonline=20164514</v>
      </c>
    </row>
    <row r="4332" spans="1:14" x14ac:dyDescent="0.15">
      <c r="A4332" s="3">
        <v>4331</v>
      </c>
      <c r="B4332" s="1" t="s">
        <v>926</v>
      </c>
      <c r="C4332" s="1" t="s">
        <v>926</v>
      </c>
      <c r="E4332" s="1" t="s">
        <v>1031</v>
      </c>
      <c r="F4332" s="1" t="s">
        <v>6337</v>
      </c>
      <c r="G4332" s="3">
        <v>0</v>
      </c>
      <c r="H4332" s="20" t="s">
        <v>7069</v>
      </c>
      <c r="I4332" s="20" t="s">
        <v>6472</v>
      </c>
      <c r="J4332" s="20" t="s">
        <v>3160</v>
      </c>
      <c r="K4332" s="20" t="s">
        <v>10013</v>
      </c>
      <c r="L4332" s="3">
        <v>30</v>
      </c>
      <c r="M4332" s="3" t="s">
        <v>10434</v>
      </c>
      <c r="N4332" s="3" t="str">
        <f>HYPERLINK("http://ictvonline.org/taxonomyHistory.asp?taxnode_id=20164515","ICTVonline=20164515")</f>
        <v>ICTVonline=20164515</v>
      </c>
    </row>
    <row r="4333" spans="1:14" x14ac:dyDescent="0.15">
      <c r="A4333" s="3">
        <v>4332</v>
      </c>
      <c r="B4333" s="1" t="s">
        <v>926</v>
      </c>
      <c r="C4333" s="1" t="s">
        <v>926</v>
      </c>
      <c r="E4333" s="1" t="s">
        <v>1031</v>
      </c>
      <c r="F4333" s="1" t="s">
        <v>1035</v>
      </c>
      <c r="G4333" s="3">
        <v>0</v>
      </c>
      <c r="H4333" s="20" t="s">
        <v>6338</v>
      </c>
      <c r="I4333" s="20" t="s">
        <v>6035</v>
      </c>
      <c r="J4333" s="20" t="s">
        <v>3160</v>
      </c>
      <c r="K4333" s="20" t="s">
        <v>10016</v>
      </c>
      <c r="L4333" s="3">
        <v>13</v>
      </c>
      <c r="M4333" s="3" t="s">
        <v>10225</v>
      </c>
      <c r="N4333" s="3" t="str">
        <f>HYPERLINK("http://ictvonline.org/taxonomyHistory.asp?taxnode_id=20164516","ICTVonline=20164516")</f>
        <v>ICTVonline=20164516</v>
      </c>
    </row>
    <row r="4334" spans="1:14" x14ac:dyDescent="0.15">
      <c r="A4334" s="3">
        <v>4333</v>
      </c>
      <c r="B4334" s="1" t="s">
        <v>926</v>
      </c>
      <c r="C4334" s="1" t="s">
        <v>926</v>
      </c>
      <c r="E4334" s="1" t="s">
        <v>1031</v>
      </c>
      <c r="F4334" s="1" t="s">
        <v>6339</v>
      </c>
      <c r="G4334" s="3">
        <v>0</v>
      </c>
      <c r="H4334" s="20" t="s">
        <v>7070</v>
      </c>
      <c r="I4334" s="20" t="s">
        <v>6340</v>
      </c>
      <c r="J4334" s="20" t="s">
        <v>3160</v>
      </c>
      <c r="K4334" s="20" t="s">
        <v>10013</v>
      </c>
      <c r="L4334" s="3">
        <v>30</v>
      </c>
      <c r="M4334" s="3" t="s">
        <v>10434</v>
      </c>
      <c r="N4334" s="3" t="str">
        <f>HYPERLINK("http://ictvonline.org/taxonomyHistory.asp?taxnode_id=20164517","ICTVonline=20164517")</f>
        <v>ICTVonline=20164517</v>
      </c>
    </row>
    <row r="4335" spans="1:14" x14ac:dyDescent="0.15">
      <c r="A4335" s="3">
        <v>4334</v>
      </c>
      <c r="B4335" s="1" t="s">
        <v>926</v>
      </c>
      <c r="C4335" s="1" t="s">
        <v>926</v>
      </c>
      <c r="E4335" s="1" t="s">
        <v>1031</v>
      </c>
      <c r="F4335" s="1" t="s">
        <v>1036</v>
      </c>
      <c r="G4335" s="3">
        <v>0</v>
      </c>
      <c r="H4335" s="20" t="s">
        <v>6341</v>
      </c>
      <c r="I4335" s="20" t="s">
        <v>4576</v>
      </c>
      <c r="J4335" s="20" t="s">
        <v>3160</v>
      </c>
      <c r="K4335" s="20" t="s">
        <v>10013</v>
      </c>
      <c r="L4335" s="3">
        <v>23</v>
      </c>
      <c r="M4335" s="3" t="s">
        <v>10229</v>
      </c>
      <c r="N4335" s="3" t="str">
        <f>HYPERLINK("http://ictvonline.org/taxonomyHistory.asp?taxnode_id=20164518","ICTVonline=20164518")</f>
        <v>ICTVonline=20164518</v>
      </c>
    </row>
    <row r="4336" spans="1:14" x14ac:dyDescent="0.15">
      <c r="A4336" s="3">
        <v>4335</v>
      </c>
      <c r="B4336" s="1" t="s">
        <v>926</v>
      </c>
      <c r="C4336" s="1" t="s">
        <v>926</v>
      </c>
      <c r="E4336" s="1" t="s">
        <v>1031</v>
      </c>
      <c r="F4336" s="1" t="s">
        <v>1453</v>
      </c>
      <c r="G4336" s="3">
        <v>0</v>
      </c>
      <c r="H4336" s="20" t="s">
        <v>6342</v>
      </c>
      <c r="I4336" s="20" t="s">
        <v>6343</v>
      </c>
      <c r="J4336" s="20" t="s">
        <v>3160</v>
      </c>
      <c r="K4336" s="20" t="s">
        <v>10013</v>
      </c>
      <c r="L4336" s="3">
        <v>23</v>
      </c>
      <c r="M4336" s="3" t="s">
        <v>10229</v>
      </c>
      <c r="N4336" s="3" t="str">
        <f>HYPERLINK("http://ictvonline.org/taxonomyHistory.asp?taxnode_id=20164519","ICTVonline=20164519")</f>
        <v>ICTVonline=20164519</v>
      </c>
    </row>
    <row r="4337" spans="1:14" x14ac:dyDescent="0.15">
      <c r="A4337" s="3">
        <v>4336</v>
      </c>
      <c r="B4337" s="1" t="s">
        <v>926</v>
      </c>
      <c r="C4337" s="1" t="s">
        <v>926</v>
      </c>
      <c r="E4337" s="1" t="s">
        <v>1031</v>
      </c>
      <c r="F4337" s="1" t="s">
        <v>1454</v>
      </c>
      <c r="G4337" s="3">
        <v>0</v>
      </c>
      <c r="J4337" s="20" t="s">
        <v>3160</v>
      </c>
      <c r="K4337" s="20" t="s">
        <v>10016</v>
      </c>
      <c r="L4337" s="3">
        <v>13</v>
      </c>
      <c r="M4337" s="3" t="s">
        <v>10225</v>
      </c>
      <c r="N4337" s="3" t="str">
        <f>HYPERLINK("http://ictvonline.org/taxonomyHistory.asp?taxnode_id=20164520","ICTVonline=20164520")</f>
        <v>ICTVonline=20164520</v>
      </c>
    </row>
    <row r="4338" spans="1:14" x14ac:dyDescent="0.15">
      <c r="A4338" s="3">
        <v>4337</v>
      </c>
      <c r="B4338" s="1" t="s">
        <v>926</v>
      </c>
      <c r="C4338" s="1" t="s">
        <v>926</v>
      </c>
      <c r="E4338" s="1" t="s">
        <v>1031</v>
      </c>
      <c r="F4338" s="1" t="s">
        <v>1455</v>
      </c>
      <c r="G4338" s="3">
        <v>1</v>
      </c>
      <c r="H4338" s="20" t="s">
        <v>6344</v>
      </c>
      <c r="I4338" s="20" t="s">
        <v>6345</v>
      </c>
      <c r="J4338" s="20" t="s">
        <v>3160</v>
      </c>
      <c r="K4338" s="20" t="s">
        <v>10016</v>
      </c>
      <c r="L4338" s="3">
        <v>13</v>
      </c>
      <c r="M4338" s="3" t="s">
        <v>10225</v>
      </c>
      <c r="N4338" s="3" t="str">
        <f>HYPERLINK("http://ictvonline.org/taxonomyHistory.asp?taxnode_id=20164521","ICTVonline=20164521")</f>
        <v>ICTVonline=20164521</v>
      </c>
    </row>
    <row r="4339" spans="1:14" x14ac:dyDescent="0.15">
      <c r="A4339" s="3">
        <v>4338</v>
      </c>
      <c r="B4339" s="1" t="s">
        <v>926</v>
      </c>
      <c r="C4339" s="1" t="s">
        <v>926</v>
      </c>
      <c r="E4339" s="1" t="s">
        <v>1031</v>
      </c>
      <c r="F4339" s="1" t="s">
        <v>1456</v>
      </c>
      <c r="G4339" s="3">
        <v>0</v>
      </c>
      <c r="H4339" s="20" t="s">
        <v>6346</v>
      </c>
      <c r="I4339" s="20" t="s">
        <v>6347</v>
      </c>
      <c r="J4339" s="20" t="s">
        <v>3160</v>
      </c>
      <c r="K4339" s="20" t="s">
        <v>10013</v>
      </c>
      <c r="L4339" s="3">
        <v>17</v>
      </c>
      <c r="M4339" s="3" t="s">
        <v>10208</v>
      </c>
      <c r="N4339" s="3" t="str">
        <f>HYPERLINK("http://ictvonline.org/taxonomyHistory.asp?taxnode_id=20164522","ICTVonline=20164522")</f>
        <v>ICTVonline=20164522</v>
      </c>
    </row>
    <row r="4340" spans="1:14" x14ac:dyDescent="0.15">
      <c r="A4340" s="3">
        <v>4339</v>
      </c>
      <c r="B4340" s="1" t="s">
        <v>926</v>
      </c>
      <c r="C4340" s="1" t="s">
        <v>926</v>
      </c>
      <c r="E4340" s="1" t="s">
        <v>1031</v>
      </c>
      <c r="F4340" s="1" t="s">
        <v>1108</v>
      </c>
      <c r="G4340" s="3">
        <v>0</v>
      </c>
      <c r="H4340" s="20" t="s">
        <v>6348</v>
      </c>
      <c r="I4340" s="20" t="s">
        <v>6349</v>
      </c>
      <c r="J4340" s="20" t="s">
        <v>3160</v>
      </c>
      <c r="K4340" s="20" t="s">
        <v>10016</v>
      </c>
      <c r="L4340" s="3">
        <v>13</v>
      </c>
      <c r="M4340" s="3" t="s">
        <v>10225</v>
      </c>
      <c r="N4340" s="3" t="str">
        <f>HYPERLINK("http://ictvonline.org/taxonomyHistory.asp?taxnode_id=20164523","ICTVonline=20164523")</f>
        <v>ICTVonline=20164523</v>
      </c>
    </row>
    <row r="4341" spans="1:14" x14ac:dyDescent="0.15">
      <c r="A4341" s="3">
        <v>4340</v>
      </c>
      <c r="B4341" s="1" t="s">
        <v>926</v>
      </c>
      <c r="C4341" s="1" t="s">
        <v>926</v>
      </c>
      <c r="E4341" s="1" t="s">
        <v>1031</v>
      </c>
      <c r="F4341" s="1" t="s">
        <v>6350</v>
      </c>
      <c r="G4341" s="3">
        <v>0</v>
      </c>
      <c r="H4341" s="20" t="s">
        <v>7071</v>
      </c>
      <c r="I4341" s="20" t="s">
        <v>4752</v>
      </c>
      <c r="J4341" s="20" t="s">
        <v>3160</v>
      </c>
      <c r="K4341" s="20" t="s">
        <v>10013</v>
      </c>
      <c r="L4341" s="3">
        <v>30</v>
      </c>
      <c r="M4341" s="3" t="s">
        <v>10434</v>
      </c>
      <c r="N4341" s="3" t="str">
        <f>HYPERLINK("http://ictvonline.org/taxonomyHistory.asp?taxnode_id=20164524","ICTVonline=20164524")</f>
        <v>ICTVonline=20164524</v>
      </c>
    </row>
    <row r="4342" spans="1:14" x14ac:dyDescent="0.15">
      <c r="A4342" s="3">
        <v>4341</v>
      </c>
      <c r="B4342" s="1" t="s">
        <v>926</v>
      </c>
      <c r="C4342" s="1" t="s">
        <v>926</v>
      </c>
      <c r="E4342" s="1" t="s">
        <v>1031</v>
      </c>
      <c r="F4342" s="1" t="s">
        <v>1109</v>
      </c>
      <c r="G4342" s="3">
        <v>0</v>
      </c>
      <c r="H4342" s="20" t="s">
        <v>6351</v>
      </c>
      <c r="I4342" s="20" t="s">
        <v>6352</v>
      </c>
      <c r="J4342" s="20" t="s">
        <v>3160</v>
      </c>
      <c r="K4342" s="20" t="s">
        <v>10016</v>
      </c>
      <c r="L4342" s="3">
        <v>13</v>
      </c>
      <c r="M4342" s="3" t="s">
        <v>10225</v>
      </c>
      <c r="N4342" s="3" t="str">
        <f>HYPERLINK("http://ictvonline.org/taxonomyHistory.asp?taxnode_id=20164525","ICTVonline=20164525")</f>
        <v>ICTVonline=20164525</v>
      </c>
    </row>
    <row r="4343" spans="1:14" x14ac:dyDescent="0.15">
      <c r="A4343" s="3">
        <v>4342</v>
      </c>
      <c r="B4343" s="1" t="s">
        <v>926</v>
      </c>
      <c r="C4343" s="1" t="s">
        <v>926</v>
      </c>
      <c r="E4343" s="1" t="s">
        <v>1031</v>
      </c>
      <c r="F4343" s="1" t="s">
        <v>1110</v>
      </c>
      <c r="G4343" s="3">
        <v>0</v>
      </c>
      <c r="H4343" s="20" t="s">
        <v>6353</v>
      </c>
      <c r="I4343" s="20" t="s">
        <v>6354</v>
      </c>
      <c r="J4343" s="20" t="s">
        <v>3160</v>
      </c>
      <c r="K4343" s="20" t="s">
        <v>10016</v>
      </c>
      <c r="L4343" s="3">
        <v>13</v>
      </c>
      <c r="M4343" s="3" t="s">
        <v>10225</v>
      </c>
      <c r="N4343" s="3" t="str">
        <f>HYPERLINK("http://ictvonline.org/taxonomyHistory.asp?taxnode_id=20164526","ICTVonline=20164526")</f>
        <v>ICTVonline=20164526</v>
      </c>
    </row>
    <row r="4344" spans="1:14" x14ac:dyDescent="0.15">
      <c r="A4344" s="3">
        <v>4343</v>
      </c>
      <c r="B4344" s="1" t="s">
        <v>926</v>
      </c>
      <c r="C4344" s="1" t="s">
        <v>926</v>
      </c>
      <c r="E4344" s="1" t="s">
        <v>1031</v>
      </c>
      <c r="F4344" s="1" t="s">
        <v>1111</v>
      </c>
      <c r="G4344" s="3">
        <v>0</v>
      </c>
      <c r="H4344" s="20" t="s">
        <v>6355</v>
      </c>
      <c r="I4344" s="20" t="s">
        <v>6356</v>
      </c>
      <c r="J4344" s="20" t="s">
        <v>3160</v>
      </c>
      <c r="K4344" s="20" t="s">
        <v>10016</v>
      </c>
      <c r="L4344" s="3">
        <v>13</v>
      </c>
      <c r="M4344" s="3" t="s">
        <v>10225</v>
      </c>
      <c r="N4344" s="3" t="str">
        <f>HYPERLINK("http://ictvonline.org/taxonomyHistory.asp?taxnode_id=20164527","ICTVonline=20164527")</f>
        <v>ICTVonline=20164527</v>
      </c>
    </row>
    <row r="4345" spans="1:14" x14ac:dyDescent="0.15">
      <c r="A4345" s="3">
        <v>4344</v>
      </c>
      <c r="B4345" s="1" t="s">
        <v>926</v>
      </c>
      <c r="C4345" s="1" t="s">
        <v>926</v>
      </c>
      <c r="E4345" s="1" t="s">
        <v>9994</v>
      </c>
      <c r="F4345" s="1" t="s">
        <v>9995</v>
      </c>
      <c r="G4345" s="3">
        <v>1</v>
      </c>
      <c r="H4345" s="20" t="s">
        <v>9996</v>
      </c>
      <c r="I4345" s="20" t="s">
        <v>9997</v>
      </c>
      <c r="J4345" s="20" t="s">
        <v>3160</v>
      </c>
      <c r="K4345" s="20" t="s">
        <v>10013</v>
      </c>
      <c r="L4345" s="3">
        <v>31</v>
      </c>
      <c r="M4345" s="3" t="s">
        <v>9998</v>
      </c>
      <c r="N4345" s="3" t="str">
        <f>HYPERLINK("http://ictvonline.org/taxonomyHistory.asp?taxnode_id=20165507","ICTVonline=20165507")</f>
        <v>ICTVonline=20165507</v>
      </c>
    </row>
    <row r="4346" spans="1:14" x14ac:dyDescent="0.15">
      <c r="A4346" s="3">
        <v>4345</v>
      </c>
      <c r="B4346" s="1" t="s">
        <v>926</v>
      </c>
      <c r="C4346" s="1" t="s">
        <v>926</v>
      </c>
      <c r="E4346" s="1" t="s">
        <v>6362</v>
      </c>
      <c r="F4346" s="1" t="s">
        <v>6363</v>
      </c>
      <c r="G4346" s="3">
        <v>1</v>
      </c>
      <c r="H4346" s="20" t="s">
        <v>6364</v>
      </c>
      <c r="I4346" s="20" t="s">
        <v>6365</v>
      </c>
      <c r="J4346" s="20" t="s">
        <v>3160</v>
      </c>
      <c r="K4346" s="20" t="s">
        <v>10013</v>
      </c>
      <c r="L4346" s="3">
        <v>30</v>
      </c>
      <c r="M4346" s="3" t="s">
        <v>10424</v>
      </c>
      <c r="N4346" s="3" t="str">
        <f>HYPERLINK("http://ictvonline.org/taxonomyHistory.asp?taxnode_id=20164537","ICTVonline=20164537")</f>
        <v>ICTVonline=20164537</v>
      </c>
    </row>
    <row r="4347" spans="1:14" x14ac:dyDescent="0.15">
      <c r="A4347" s="3">
        <v>4346</v>
      </c>
      <c r="B4347" s="1" t="s">
        <v>926</v>
      </c>
      <c r="C4347" s="1" t="s">
        <v>2071</v>
      </c>
      <c r="E4347" s="1" t="s">
        <v>1292</v>
      </c>
      <c r="F4347" s="1" t="s">
        <v>1293</v>
      </c>
      <c r="G4347" s="3">
        <v>0</v>
      </c>
      <c r="H4347" s="20" t="s">
        <v>7275</v>
      </c>
      <c r="I4347" s="20" t="s">
        <v>6366</v>
      </c>
      <c r="J4347" s="20" t="s">
        <v>3160</v>
      </c>
      <c r="K4347" s="20" t="s">
        <v>10016</v>
      </c>
      <c r="L4347" s="3">
        <v>25</v>
      </c>
      <c r="M4347" s="3" t="s">
        <v>10436</v>
      </c>
      <c r="N4347" s="3" t="str">
        <f>HYPERLINK("http://ictvonline.org/taxonomyHistory.asp?taxnode_id=20164541","ICTVonline=20164541")</f>
        <v>ICTVonline=20164541</v>
      </c>
    </row>
    <row r="4348" spans="1:14" x14ac:dyDescent="0.15">
      <c r="A4348" s="3">
        <v>4347</v>
      </c>
      <c r="B4348" s="1" t="s">
        <v>926</v>
      </c>
      <c r="C4348" s="1" t="s">
        <v>2071</v>
      </c>
      <c r="E4348" s="1" t="s">
        <v>1292</v>
      </c>
      <c r="F4348" s="1" t="s">
        <v>219</v>
      </c>
      <c r="G4348" s="3">
        <v>0</v>
      </c>
      <c r="H4348" s="20" t="s">
        <v>7276</v>
      </c>
      <c r="I4348" s="20" t="s">
        <v>6367</v>
      </c>
      <c r="J4348" s="20" t="s">
        <v>3160</v>
      </c>
      <c r="K4348" s="20" t="s">
        <v>10013</v>
      </c>
      <c r="L4348" s="3">
        <v>26</v>
      </c>
      <c r="M4348" s="3" t="s">
        <v>10437</v>
      </c>
      <c r="N4348" s="3" t="str">
        <f>HYPERLINK("http://ictvonline.org/taxonomyHistory.asp?taxnode_id=20164542","ICTVonline=20164542")</f>
        <v>ICTVonline=20164542</v>
      </c>
    </row>
    <row r="4349" spans="1:14" x14ac:dyDescent="0.15">
      <c r="A4349" s="3">
        <v>4348</v>
      </c>
      <c r="B4349" s="1" t="s">
        <v>926</v>
      </c>
      <c r="C4349" s="1" t="s">
        <v>2071</v>
      </c>
      <c r="E4349" s="1" t="s">
        <v>1292</v>
      </c>
      <c r="F4349" s="1" t="s">
        <v>1294</v>
      </c>
      <c r="G4349" s="3">
        <v>0</v>
      </c>
      <c r="H4349" s="20" t="s">
        <v>7277</v>
      </c>
      <c r="I4349" s="20" t="s">
        <v>6368</v>
      </c>
      <c r="J4349" s="20" t="s">
        <v>3160</v>
      </c>
      <c r="K4349" s="20" t="s">
        <v>10016</v>
      </c>
      <c r="L4349" s="3">
        <v>25</v>
      </c>
      <c r="M4349" s="3" t="s">
        <v>10436</v>
      </c>
      <c r="N4349" s="3" t="str">
        <f>HYPERLINK("http://ictvonline.org/taxonomyHistory.asp?taxnode_id=20164543","ICTVonline=20164543")</f>
        <v>ICTVonline=20164543</v>
      </c>
    </row>
    <row r="4350" spans="1:14" x14ac:dyDescent="0.15">
      <c r="A4350" s="3">
        <v>4349</v>
      </c>
      <c r="B4350" s="1" t="s">
        <v>926</v>
      </c>
      <c r="C4350" s="1" t="s">
        <v>2071</v>
      </c>
      <c r="E4350" s="1" t="s">
        <v>1292</v>
      </c>
      <c r="F4350" s="1" t="s">
        <v>1295</v>
      </c>
      <c r="G4350" s="3">
        <v>0</v>
      </c>
      <c r="H4350" s="20" t="s">
        <v>7278</v>
      </c>
      <c r="I4350" s="20" t="s">
        <v>6369</v>
      </c>
      <c r="J4350" s="20" t="s">
        <v>3160</v>
      </c>
      <c r="K4350" s="20" t="s">
        <v>10016</v>
      </c>
      <c r="L4350" s="3">
        <v>25</v>
      </c>
      <c r="M4350" s="3" t="s">
        <v>10436</v>
      </c>
      <c r="N4350" s="3" t="str">
        <f>HYPERLINK("http://ictvonline.org/taxonomyHistory.asp?taxnode_id=20164544","ICTVonline=20164544")</f>
        <v>ICTVonline=20164544</v>
      </c>
    </row>
    <row r="4351" spans="1:14" x14ac:dyDescent="0.15">
      <c r="A4351" s="3">
        <v>4350</v>
      </c>
      <c r="B4351" s="1" t="s">
        <v>926</v>
      </c>
      <c r="C4351" s="1" t="s">
        <v>2071</v>
      </c>
      <c r="E4351" s="1" t="s">
        <v>1292</v>
      </c>
      <c r="F4351" s="1" t="s">
        <v>1296</v>
      </c>
      <c r="G4351" s="3">
        <v>1</v>
      </c>
      <c r="H4351" s="20" t="s">
        <v>7279</v>
      </c>
      <c r="I4351" s="20" t="s">
        <v>6370</v>
      </c>
      <c r="J4351" s="20" t="s">
        <v>3160</v>
      </c>
      <c r="K4351" s="20" t="s">
        <v>10016</v>
      </c>
      <c r="L4351" s="3">
        <v>25</v>
      </c>
      <c r="M4351" s="3" t="s">
        <v>10436</v>
      </c>
      <c r="N4351" s="3" t="str">
        <f>HYPERLINK("http://ictvonline.org/taxonomyHistory.asp?taxnode_id=20164545","ICTVonline=20164545")</f>
        <v>ICTVonline=20164545</v>
      </c>
    </row>
    <row r="4352" spans="1:14" x14ac:dyDescent="0.15">
      <c r="A4352" s="3">
        <v>4351</v>
      </c>
      <c r="B4352" s="1" t="s">
        <v>926</v>
      </c>
      <c r="C4352" s="1" t="s">
        <v>2071</v>
      </c>
      <c r="E4352" s="1" t="s">
        <v>1292</v>
      </c>
      <c r="F4352" s="1" t="s">
        <v>277</v>
      </c>
      <c r="G4352" s="3">
        <v>0</v>
      </c>
      <c r="H4352" s="20" t="s">
        <v>7280</v>
      </c>
      <c r="I4352" s="20" t="s">
        <v>6371</v>
      </c>
      <c r="J4352" s="20" t="s">
        <v>3160</v>
      </c>
      <c r="K4352" s="20" t="s">
        <v>10016</v>
      </c>
      <c r="L4352" s="3">
        <v>25</v>
      </c>
      <c r="M4352" s="3" t="s">
        <v>10436</v>
      </c>
      <c r="N4352" s="3" t="str">
        <f>HYPERLINK("http://ictvonline.org/taxonomyHistory.asp?taxnode_id=20164546","ICTVonline=20164546")</f>
        <v>ICTVonline=20164546</v>
      </c>
    </row>
    <row r="4353" spans="1:14" x14ac:dyDescent="0.15">
      <c r="A4353" s="3">
        <v>4352</v>
      </c>
      <c r="B4353" s="1" t="s">
        <v>926</v>
      </c>
      <c r="C4353" s="1" t="s">
        <v>2071</v>
      </c>
      <c r="E4353" s="1" t="s">
        <v>6372</v>
      </c>
      <c r="F4353" s="1" t="s">
        <v>6373</v>
      </c>
      <c r="G4353" s="3">
        <v>0</v>
      </c>
      <c r="H4353" s="20" t="s">
        <v>7072</v>
      </c>
      <c r="I4353" s="20" t="s">
        <v>6374</v>
      </c>
      <c r="J4353" s="20" t="s">
        <v>3160</v>
      </c>
      <c r="K4353" s="20" t="s">
        <v>10013</v>
      </c>
      <c r="L4353" s="3">
        <v>30</v>
      </c>
      <c r="M4353" s="3" t="s">
        <v>10438</v>
      </c>
      <c r="N4353" s="3" t="str">
        <f>HYPERLINK("http://ictvonline.org/taxonomyHistory.asp?taxnode_id=20164548","ICTVonline=20164548")</f>
        <v>ICTVonline=20164548</v>
      </c>
    </row>
    <row r="4354" spans="1:14" x14ac:dyDescent="0.15">
      <c r="A4354" s="3">
        <v>4353</v>
      </c>
      <c r="B4354" s="1" t="s">
        <v>926</v>
      </c>
      <c r="C4354" s="1" t="s">
        <v>2071</v>
      </c>
      <c r="E4354" s="1" t="s">
        <v>6372</v>
      </c>
      <c r="F4354" s="1" t="s">
        <v>6375</v>
      </c>
      <c r="G4354" s="3">
        <v>1</v>
      </c>
      <c r="H4354" s="20" t="s">
        <v>7073</v>
      </c>
      <c r="I4354" s="20" t="s">
        <v>4956</v>
      </c>
      <c r="J4354" s="20" t="s">
        <v>3160</v>
      </c>
      <c r="K4354" s="20" t="s">
        <v>10013</v>
      </c>
      <c r="L4354" s="3">
        <v>30</v>
      </c>
      <c r="M4354" s="3" t="s">
        <v>10438</v>
      </c>
      <c r="N4354" s="3" t="str">
        <f>HYPERLINK("http://ictvonline.org/taxonomyHistory.asp?taxnode_id=20164549","ICTVonline=20164549")</f>
        <v>ICTVonline=20164549</v>
      </c>
    </row>
    <row r="4355" spans="1:14" x14ac:dyDescent="0.15">
      <c r="A4355" s="3">
        <v>4354</v>
      </c>
      <c r="B4355" s="1" t="s">
        <v>926</v>
      </c>
      <c r="C4355" s="1" t="s">
        <v>2071</v>
      </c>
      <c r="E4355" s="1" t="s">
        <v>263</v>
      </c>
      <c r="F4355" s="1" t="s">
        <v>264</v>
      </c>
      <c r="G4355" s="3">
        <v>0</v>
      </c>
      <c r="J4355" s="20" t="s">
        <v>3160</v>
      </c>
      <c r="K4355" s="20" t="s">
        <v>10016</v>
      </c>
      <c r="L4355" s="3">
        <v>25</v>
      </c>
      <c r="M4355" s="3" t="s">
        <v>10436</v>
      </c>
      <c r="N4355" s="3" t="str">
        <f>HYPERLINK("http://ictvonline.org/taxonomyHistory.asp?taxnode_id=20164551","ICTVonline=20164551")</f>
        <v>ICTVonline=20164551</v>
      </c>
    </row>
    <row r="4356" spans="1:14" x14ac:dyDescent="0.15">
      <c r="A4356" s="3">
        <v>4355</v>
      </c>
      <c r="B4356" s="1" t="s">
        <v>926</v>
      </c>
      <c r="C4356" s="1" t="s">
        <v>2071</v>
      </c>
      <c r="E4356" s="1" t="s">
        <v>263</v>
      </c>
      <c r="F4356" s="1" t="s">
        <v>265</v>
      </c>
      <c r="G4356" s="3">
        <v>1</v>
      </c>
      <c r="H4356" s="20" t="s">
        <v>7281</v>
      </c>
      <c r="I4356" s="20" t="s">
        <v>6376</v>
      </c>
      <c r="J4356" s="20" t="s">
        <v>3160</v>
      </c>
      <c r="K4356" s="20" t="s">
        <v>10016</v>
      </c>
      <c r="L4356" s="3">
        <v>25</v>
      </c>
      <c r="M4356" s="3" t="s">
        <v>10436</v>
      </c>
      <c r="N4356" s="3" t="str">
        <f>HYPERLINK("http://ictvonline.org/taxonomyHistory.asp?taxnode_id=20164552","ICTVonline=20164552")</f>
        <v>ICTVonline=20164552</v>
      </c>
    </row>
    <row r="4357" spans="1:14" x14ac:dyDescent="0.15">
      <c r="A4357" s="3">
        <v>4356</v>
      </c>
      <c r="B4357" s="1" t="s">
        <v>926</v>
      </c>
      <c r="C4357" s="1" t="s">
        <v>2071</v>
      </c>
      <c r="E4357" s="1" t="s">
        <v>263</v>
      </c>
      <c r="F4357" s="1" t="s">
        <v>266</v>
      </c>
      <c r="G4357" s="3">
        <v>0</v>
      </c>
      <c r="H4357" s="20" t="s">
        <v>6377</v>
      </c>
      <c r="I4357" s="20" t="s">
        <v>4702</v>
      </c>
      <c r="J4357" s="20" t="s">
        <v>3160</v>
      </c>
      <c r="K4357" s="20" t="s">
        <v>10016</v>
      </c>
      <c r="L4357" s="3">
        <v>25</v>
      </c>
      <c r="M4357" s="3" t="s">
        <v>10436</v>
      </c>
      <c r="N4357" s="3" t="str">
        <f>HYPERLINK("http://ictvonline.org/taxonomyHistory.asp?taxnode_id=20164553","ICTVonline=20164553")</f>
        <v>ICTVonline=20164553</v>
      </c>
    </row>
    <row r="4358" spans="1:14" x14ac:dyDescent="0.15">
      <c r="A4358" s="3">
        <v>4357</v>
      </c>
      <c r="B4358" s="1" t="s">
        <v>926</v>
      </c>
      <c r="C4358" s="1" t="s">
        <v>2071</v>
      </c>
      <c r="E4358" s="1" t="s">
        <v>263</v>
      </c>
      <c r="F4358" s="1" t="s">
        <v>267</v>
      </c>
      <c r="G4358" s="3">
        <v>0</v>
      </c>
      <c r="H4358" s="20" t="s">
        <v>6378</v>
      </c>
      <c r="I4358" s="20" t="s">
        <v>6379</v>
      </c>
      <c r="J4358" s="20" t="s">
        <v>3160</v>
      </c>
      <c r="K4358" s="20" t="s">
        <v>10016</v>
      </c>
      <c r="L4358" s="3">
        <v>25</v>
      </c>
      <c r="M4358" s="3" t="s">
        <v>10436</v>
      </c>
      <c r="N4358" s="3" t="str">
        <f>HYPERLINK("http://ictvonline.org/taxonomyHistory.asp?taxnode_id=20164554","ICTVonline=20164554")</f>
        <v>ICTVonline=20164554</v>
      </c>
    </row>
    <row r="4359" spans="1:14" x14ac:dyDescent="0.15">
      <c r="A4359" s="3">
        <v>4358</v>
      </c>
      <c r="B4359" s="1" t="s">
        <v>926</v>
      </c>
      <c r="C4359" s="1" t="s">
        <v>2071</v>
      </c>
      <c r="E4359" s="1" t="s">
        <v>274</v>
      </c>
      <c r="F4359" s="1" t="s">
        <v>275</v>
      </c>
      <c r="G4359" s="3">
        <v>0</v>
      </c>
      <c r="H4359" s="20" t="s">
        <v>7282</v>
      </c>
      <c r="I4359" s="20" t="s">
        <v>6380</v>
      </c>
      <c r="J4359" s="20" t="s">
        <v>3160</v>
      </c>
      <c r="K4359" s="20" t="s">
        <v>10016</v>
      </c>
      <c r="L4359" s="3">
        <v>25</v>
      </c>
      <c r="M4359" s="3" t="s">
        <v>10436</v>
      </c>
      <c r="N4359" s="3" t="str">
        <f>HYPERLINK("http://ictvonline.org/taxonomyHistory.asp?taxnode_id=20164556","ICTVonline=20164556")</f>
        <v>ICTVonline=20164556</v>
      </c>
    </row>
    <row r="4360" spans="1:14" x14ac:dyDescent="0.15">
      <c r="A4360" s="3">
        <v>4359</v>
      </c>
      <c r="B4360" s="1" t="s">
        <v>926</v>
      </c>
      <c r="C4360" s="1" t="s">
        <v>2071</v>
      </c>
      <c r="E4360" s="1" t="s">
        <v>274</v>
      </c>
      <c r="F4360" s="1" t="s">
        <v>276</v>
      </c>
      <c r="G4360" s="3">
        <v>1</v>
      </c>
      <c r="H4360" s="20" t="s">
        <v>7283</v>
      </c>
      <c r="I4360" s="20" t="s">
        <v>6381</v>
      </c>
      <c r="J4360" s="20" t="s">
        <v>3160</v>
      </c>
      <c r="K4360" s="20" t="s">
        <v>10016</v>
      </c>
      <c r="L4360" s="3">
        <v>25</v>
      </c>
      <c r="M4360" s="3" t="s">
        <v>10436</v>
      </c>
      <c r="N4360" s="3" t="str">
        <f>HYPERLINK("http://ictvonline.org/taxonomyHistory.asp?taxnode_id=20164557","ICTVonline=20164557")</f>
        <v>ICTVonline=20164557</v>
      </c>
    </row>
    <row r="4361" spans="1:14" x14ac:dyDescent="0.15">
      <c r="A4361" s="3">
        <v>4360</v>
      </c>
      <c r="B4361" s="1" t="s">
        <v>926</v>
      </c>
      <c r="C4361" s="1" t="s">
        <v>2071</v>
      </c>
      <c r="E4361" s="1" t="s">
        <v>406</v>
      </c>
      <c r="F4361" s="1" t="s">
        <v>407</v>
      </c>
      <c r="G4361" s="3">
        <v>0</v>
      </c>
      <c r="H4361" s="20" t="s">
        <v>7284</v>
      </c>
      <c r="I4361" s="20" t="s">
        <v>6382</v>
      </c>
      <c r="J4361" s="20" t="s">
        <v>3160</v>
      </c>
      <c r="K4361" s="20" t="s">
        <v>10016</v>
      </c>
      <c r="L4361" s="3">
        <v>25</v>
      </c>
      <c r="M4361" s="3" t="s">
        <v>10436</v>
      </c>
      <c r="N4361" s="3" t="str">
        <f>HYPERLINK("http://ictvonline.org/taxonomyHistory.asp?taxnode_id=20164559","ICTVonline=20164559")</f>
        <v>ICTVonline=20164559</v>
      </c>
    </row>
    <row r="4362" spans="1:14" x14ac:dyDescent="0.15">
      <c r="A4362" s="3">
        <v>4361</v>
      </c>
      <c r="B4362" s="1" t="s">
        <v>926</v>
      </c>
      <c r="C4362" s="1" t="s">
        <v>2071</v>
      </c>
      <c r="E4362" s="1" t="s">
        <v>406</v>
      </c>
      <c r="F4362" s="1" t="s">
        <v>408</v>
      </c>
      <c r="G4362" s="3">
        <v>0</v>
      </c>
      <c r="H4362" s="20" t="s">
        <v>7285</v>
      </c>
      <c r="I4362" s="20" t="s">
        <v>4871</v>
      </c>
      <c r="J4362" s="20" t="s">
        <v>3160</v>
      </c>
      <c r="K4362" s="20" t="s">
        <v>10016</v>
      </c>
      <c r="L4362" s="3">
        <v>25</v>
      </c>
      <c r="M4362" s="3" t="s">
        <v>10436</v>
      </c>
      <c r="N4362" s="3" t="str">
        <f>HYPERLINK("http://ictvonline.org/taxonomyHistory.asp?taxnode_id=20164560","ICTVonline=20164560")</f>
        <v>ICTVonline=20164560</v>
      </c>
    </row>
    <row r="4363" spans="1:14" x14ac:dyDescent="0.15">
      <c r="A4363" s="3">
        <v>4362</v>
      </c>
      <c r="B4363" s="1" t="s">
        <v>926</v>
      </c>
      <c r="C4363" s="1" t="s">
        <v>2071</v>
      </c>
      <c r="E4363" s="1" t="s">
        <v>406</v>
      </c>
      <c r="F4363" s="1" t="s">
        <v>409</v>
      </c>
      <c r="G4363" s="3">
        <v>0</v>
      </c>
      <c r="H4363" s="20" t="s">
        <v>7286</v>
      </c>
      <c r="I4363" s="20" t="s">
        <v>6277</v>
      </c>
      <c r="J4363" s="20" t="s">
        <v>3160</v>
      </c>
      <c r="K4363" s="20" t="s">
        <v>10016</v>
      </c>
      <c r="L4363" s="3">
        <v>25</v>
      </c>
      <c r="M4363" s="3" t="s">
        <v>10436</v>
      </c>
      <c r="N4363" s="3" t="str">
        <f>HYPERLINK("http://ictvonline.org/taxonomyHistory.asp?taxnode_id=20164561","ICTVonline=20164561")</f>
        <v>ICTVonline=20164561</v>
      </c>
    </row>
    <row r="4364" spans="1:14" x14ac:dyDescent="0.15">
      <c r="A4364" s="3">
        <v>4363</v>
      </c>
      <c r="B4364" s="1" t="s">
        <v>926</v>
      </c>
      <c r="C4364" s="1" t="s">
        <v>2071</v>
      </c>
      <c r="E4364" s="1" t="s">
        <v>406</v>
      </c>
      <c r="F4364" s="1" t="s">
        <v>9999</v>
      </c>
      <c r="G4364" s="3">
        <v>0</v>
      </c>
      <c r="H4364" s="20" t="s">
        <v>10000</v>
      </c>
      <c r="I4364" s="20" t="s">
        <v>10001</v>
      </c>
      <c r="J4364" s="20" t="s">
        <v>3160</v>
      </c>
      <c r="K4364" s="20" t="s">
        <v>10013</v>
      </c>
      <c r="L4364" s="3">
        <v>31</v>
      </c>
      <c r="M4364" s="3" t="s">
        <v>10002</v>
      </c>
      <c r="N4364" s="3" t="str">
        <f>HYPERLINK("http://ictvonline.org/taxonomyHistory.asp?taxnode_id=20165508","ICTVonline=20165508")</f>
        <v>ICTVonline=20165508</v>
      </c>
    </row>
    <row r="4365" spans="1:14" x14ac:dyDescent="0.15">
      <c r="A4365" s="3">
        <v>4364</v>
      </c>
      <c r="B4365" s="1" t="s">
        <v>926</v>
      </c>
      <c r="C4365" s="1" t="s">
        <v>2071</v>
      </c>
      <c r="E4365" s="1" t="s">
        <v>406</v>
      </c>
      <c r="F4365" s="1" t="s">
        <v>410</v>
      </c>
      <c r="G4365" s="3">
        <v>1</v>
      </c>
      <c r="H4365" s="20" t="s">
        <v>7287</v>
      </c>
      <c r="I4365" s="20" t="s">
        <v>6383</v>
      </c>
      <c r="J4365" s="20" t="s">
        <v>3160</v>
      </c>
      <c r="K4365" s="20" t="s">
        <v>10016</v>
      </c>
      <c r="L4365" s="3">
        <v>25</v>
      </c>
      <c r="M4365" s="3" t="s">
        <v>10436</v>
      </c>
      <c r="N4365" s="3" t="str">
        <f>HYPERLINK("http://ictvonline.org/taxonomyHistory.asp?taxnode_id=20164562","ICTVonline=20164562")</f>
        <v>ICTVonline=20164562</v>
      </c>
    </row>
    <row r="4366" spans="1:14" x14ac:dyDescent="0.15">
      <c r="A4366" s="3">
        <v>4365</v>
      </c>
      <c r="B4366" s="1" t="s">
        <v>926</v>
      </c>
      <c r="C4366" s="1" t="s">
        <v>2071</v>
      </c>
      <c r="E4366" s="1" t="s">
        <v>449</v>
      </c>
      <c r="F4366" s="1" t="s">
        <v>2372</v>
      </c>
      <c r="G4366" s="3">
        <v>0</v>
      </c>
      <c r="H4366" s="20" t="s">
        <v>6384</v>
      </c>
      <c r="I4366" s="20" t="s">
        <v>6117</v>
      </c>
      <c r="J4366" s="20" t="s">
        <v>3160</v>
      </c>
      <c r="K4366" s="20" t="s">
        <v>10013</v>
      </c>
      <c r="L4366" s="3">
        <v>27</v>
      </c>
      <c r="M4366" s="3" t="s">
        <v>10439</v>
      </c>
      <c r="N4366" s="3" t="str">
        <f>HYPERLINK("http://ictvonline.org/taxonomyHistory.asp?taxnode_id=20164564","ICTVonline=20164564")</f>
        <v>ICTVonline=20164564</v>
      </c>
    </row>
    <row r="4367" spans="1:14" x14ac:dyDescent="0.15">
      <c r="A4367" s="3">
        <v>4366</v>
      </c>
      <c r="B4367" s="1" t="s">
        <v>926</v>
      </c>
      <c r="C4367" s="1" t="s">
        <v>2071</v>
      </c>
      <c r="E4367" s="1" t="s">
        <v>449</v>
      </c>
      <c r="F4367" s="1" t="s">
        <v>1577</v>
      </c>
      <c r="G4367" s="3">
        <v>0</v>
      </c>
      <c r="H4367" s="20" t="s">
        <v>6385</v>
      </c>
      <c r="I4367" s="20" t="s">
        <v>6473</v>
      </c>
      <c r="J4367" s="20" t="s">
        <v>3160</v>
      </c>
      <c r="K4367" s="20" t="s">
        <v>10013</v>
      </c>
      <c r="L4367" s="3">
        <v>25</v>
      </c>
      <c r="M4367" s="3" t="s">
        <v>10440</v>
      </c>
      <c r="N4367" s="3" t="str">
        <f>HYPERLINK("http://ictvonline.org/taxonomyHistory.asp?taxnode_id=20164565","ICTVonline=20164565")</f>
        <v>ICTVonline=20164565</v>
      </c>
    </row>
    <row r="4368" spans="1:14" x14ac:dyDescent="0.15">
      <c r="A4368" s="3">
        <v>4367</v>
      </c>
      <c r="B4368" s="1" t="s">
        <v>926</v>
      </c>
      <c r="C4368" s="1" t="s">
        <v>2071</v>
      </c>
      <c r="E4368" s="1" t="s">
        <v>449</v>
      </c>
      <c r="F4368" s="1" t="s">
        <v>2373</v>
      </c>
      <c r="G4368" s="3">
        <v>0</v>
      </c>
      <c r="H4368" s="20" t="s">
        <v>6386</v>
      </c>
      <c r="I4368" s="20" t="s">
        <v>6387</v>
      </c>
      <c r="J4368" s="20" t="s">
        <v>3160</v>
      </c>
      <c r="K4368" s="20" t="s">
        <v>10013</v>
      </c>
      <c r="L4368" s="3">
        <v>27</v>
      </c>
      <c r="M4368" s="3" t="s">
        <v>10439</v>
      </c>
      <c r="N4368" s="3" t="str">
        <f>HYPERLINK("http://ictvonline.org/taxonomyHistory.asp?taxnode_id=20164566","ICTVonline=20164566")</f>
        <v>ICTVonline=20164566</v>
      </c>
    </row>
    <row r="4369" spans="1:14" x14ac:dyDescent="0.15">
      <c r="A4369" s="3">
        <v>4368</v>
      </c>
      <c r="B4369" s="1" t="s">
        <v>926</v>
      </c>
      <c r="C4369" s="1" t="s">
        <v>2071</v>
      </c>
      <c r="E4369" s="1" t="s">
        <v>449</v>
      </c>
      <c r="F4369" s="1" t="s">
        <v>2374</v>
      </c>
      <c r="G4369" s="3">
        <v>0</v>
      </c>
      <c r="H4369" s="20" t="s">
        <v>6388</v>
      </c>
      <c r="I4369" s="20" t="s">
        <v>6389</v>
      </c>
      <c r="J4369" s="20" t="s">
        <v>3160</v>
      </c>
      <c r="K4369" s="20" t="s">
        <v>10013</v>
      </c>
      <c r="L4369" s="3">
        <v>27</v>
      </c>
      <c r="M4369" s="3" t="s">
        <v>10439</v>
      </c>
      <c r="N4369" s="3" t="str">
        <f>HYPERLINK("http://ictvonline.org/taxonomyHistory.asp?taxnode_id=20164567","ICTVonline=20164567")</f>
        <v>ICTVonline=20164567</v>
      </c>
    </row>
    <row r="4370" spans="1:14" x14ac:dyDescent="0.15">
      <c r="A4370" s="3">
        <v>4369</v>
      </c>
      <c r="B4370" s="1" t="s">
        <v>926</v>
      </c>
      <c r="C4370" s="1" t="s">
        <v>2071</v>
      </c>
      <c r="E4370" s="1" t="s">
        <v>449</v>
      </c>
      <c r="F4370" s="1" t="s">
        <v>450</v>
      </c>
      <c r="G4370" s="3">
        <v>0</v>
      </c>
      <c r="H4370" s="20" t="s">
        <v>6390</v>
      </c>
      <c r="I4370" s="20" t="s">
        <v>6238</v>
      </c>
      <c r="J4370" s="20" t="s">
        <v>3160</v>
      </c>
      <c r="K4370" s="20" t="s">
        <v>10016</v>
      </c>
      <c r="L4370" s="3">
        <v>25</v>
      </c>
      <c r="M4370" s="3" t="s">
        <v>10436</v>
      </c>
      <c r="N4370" s="3" t="str">
        <f>HYPERLINK("http://ictvonline.org/taxonomyHistory.asp?taxnode_id=20164568","ICTVonline=20164568")</f>
        <v>ICTVonline=20164568</v>
      </c>
    </row>
    <row r="4371" spans="1:14" x14ac:dyDescent="0.15">
      <c r="A4371" s="3">
        <v>4370</v>
      </c>
      <c r="B4371" s="1" t="s">
        <v>926</v>
      </c>
      <c r="C4371" s="1" t="s">
        <v>2071</v>
      </c>
      <c r="E4371" s="1" t="s">
        <v>449</v>
      </c>
      <c r="F4371" s="1" t="s">
        <v>451</v>
      </c>
      <c r="G4371" s="3">
        <v>0</v>
      </c>
      <c r="H4371" s="20" t="s">
        <v>6391</v>
      </c>
      <c r="I4371" s="20" t="s">
        <v>6392</v>
      </c>
      <c r="J4371" s="20" t="s">
        <v>3160</v>
      </c>
      <c r="K4371" s="20" t="s">
        <v>10016</v>
      </c>
      <c r="L4371" s="3">
        <v>25</v>
      </c>
      <c r="M4371" s="3" t="s">
        <v>10436</v>
      </c>
      <c r="N4371" s="3" t="str">
        <f>HYPERLINK("http://ictvonline.org/taxonomyHistory.asp?taxnode_id=20164569","ICTVonline=20164569")</f>
        <v>ICTVonline=20164569</v>
      </c>
    </row>
    <row r="4372" spans="1:14" x14ac:dyDescent="0.15">
      <c r="A4372" s="3">
        <v>4371</v>
      </c>
      <c r="B4372" s="1" t="s">
        <v>926</v>
      </c>
      <c r="C4372" s="1" t="s">
        <v>2071</v>
      </c>
      <c r="E4372" s="1" t="s">
        <v>449</v>
      </c>
      <c r="F4372" s="1" t="s">
        <v>2375</v>
      </c>
      <c r="G4372" s="3">
        <v>0</v>
      </c>
      <c r="H4372" s="20" t="s">
        <v>6393</v>
      </c>
      <c r="I4372" s="20" t="s">
        <v>6394</v>
      </c>
      <c r="J4372" s="20" t="s">
        <v>3160</v>
      </c>
      <c r="K4372" s="20" t="s">
        <v>10013</v>
      </c>
      <c r="L4372" s="3">
        <v>27</v>
      </c>
      <c r="M4372" s="3" t="s">
        <v>10439</v>
      </c>
      <c r="N4372" s="3" t="str">
        <f>HYPERLINK("http://ictvonline.org/taxonomyHistory.asp?taxnode_id=20164570","ICTVonline=20164570")</f>
        <v>ICTVonline=20164570</v>
      </c>
    </row>
    <row r="4373" spans="1:14" x14ac:dyDescent="0.15">
      <c r="A4373" s="3">
        <v>4372</v>
      </c>
      <c r="B4373" s="1" t="s">
        <v>926</v>
      </c>
      <c r="C4373" s="1" t="s">
        <v>2071</v>
      </c>
      <c r="E4373" s="1" t="s">
        <v>449</v>
      </c>
      <c r="F4373" s="1" t="s">
        <v>452</v>
      </c>
      <c r="G4373" s="3">
        <v>0</v>
      </c>
      <c r="H4373" s="20" t="s">
        <v>6395</v>
      </c>
      <c r="I4373" s="20" t="s">
        <v>6396</v>
      </c>
      <c r="J4373" s="20" t="s">
        <v>3160</v>
      </c>
      <c r="K4373" s="20" t="s">
        <v>10016</v>
      </c>
      <c r="L4373" s="3">
        <v>25</v>
      </c>
      <c r="M4373" s="3" t="s">
        <v>10436</v>
      </c>
      <c r="N4373" s="3" t="str">
        <f>HYPERLINK("http://ictvonline.org/taxonomyHistory.asp?taxnode_id=20164571","ICTVonline=20164571")</f>
        <v>ICTVonline=20164571</v>
      </c>
    </row>
    <row r="4374" spans="1:14" x14ac:dyDescent="0.15">
      <c r="A4374" s="3">
        <v>4373</v>
      </c>
      <c r="B4374" s="1" t="s">
        <v>926</v>
      </c>
      <c r="C4374" s="1" t="s">
        <v>2071</v>
      </c>
      <c r="E4374" s="1" t="s">
        <v>449</v>
      </c>
      <c r="F4374" s="1" t="s">
        <v>453</v>
      </c>
      <c r="G4374" s="3">
        <v>0</v>
      </c>
      <c r="H4374" s="20" t="s">
        <v>6397</v>
      </c>
      <c r="I4374" s="20" t="s">
        <v>4667</v>
      </c>
      <c r="J4374" s="20" t="s">
        <v>3160</v>
      </c>
      <c r="K4374" s="20" t="s">
        <v>10016</v>
      </c>
      <c r="L4374" s="3">
        <v>25</v>
      </c>
      <c r="M4374" s="3" t="s">
        <v>10436</v>
      </c>
      <c r="N4374" s="3" t="str">
        <f>HYPERLINK("http://ictvonline.org/taxonomyHistory.asp?taxnode_id=20164572","ICTVonline=20164572")</f>
        <v>ICTVonline=20164572</v>
      </c>
    </row>
    <row r="4375" spans="1:14" x14ac:dyDescent="0.15">
      <c r="A4375" s="3">
        <v>4374</v>
      </c>
      <c r="B4375" s="1" t="s">
        <v>926</v>
      </c>
      <c r="C4375" s="1" t="s">
        <v>2071</v>
      </c>
      <c r="E4375" s="1" t="s">
        <v>449</v>
      </c>
      <c r="F4375" s="1" t="s">
        <v>454</v>
      </c>
      <c r="G4375" s="3">
        <v>0</v>
      </c>
      <c r="H4375" s="20" t="s">
        <v>6398</v>
      </c>
      <c r="I4375" s="20" t="s">
        <v>6399</v>
      </c>
      <c r="J4375" s="20" t="s">
        <v>3160</v>
      </c>
      <c r="K4375" s="20" t="s">
        <v>10016</v>
      </c>
      <c r="L4375" s="3">
        <v>25</v>
      </c>
      <c r="M4375" s="3" t="s">
        <v>10436</v>
      </c>
      <c r="N4375" s="3" t="str">
        <f>HYPERLINK("http://ictvonline.org/taxonomyHistory.asp?taxnode_id=20164573","ICTVonline=20164573")</f>
        <v>ICTVonline=20164573</v>
      </c>
    </row>
    <row r="4376" spans="1:14" x14ac:dyDescent="0.15">
      <c r="A4376" s="3">
        <v>4375</v>
      </c>
      <c r="B4376" s="1" t="s">
        <v>926</v>
      </c>
      <c r="C4376" s="1" t="s">
        <v>2071</v>
      </c>
      <c r="E4376" s="1" t="s">
        <v>449</v>
      </c>
      <c r="F4376" s="1" t="s">
        <v>455</v>
      </c>
      <c r="G4376" s="3">
        <v>0</v>
      </c>
      <c r="H4376" s="20" t="s">
        <v>6400</v>
      </c>
      <c r="I4376" s="20" t="s">
        <v>3633</v>
      </c>
      <c r="J4376" s="20" t="s">
        <v>3160</v>
      </c>
      <c r="K4376" s="20" t="s">
        <v>10016</v>
      </c>
      <c r="L4376" s="3">
        <v>25</v>
      </c>
      <c r="M4376" s="3" t="s">
        <v>10436</v>
      </c>
      <c r="N4376" s="3" t="str">
        <f>HYPERLINK("http://ictvonline.org/taxonomyHistory.asp?taxnode_id=20164574","ICTVonline=20164574")</f>
        <v>ICTVonline=20164574</v>
      </c>
    </row>
    <row r="4377" spans="1:14" x14ac:dyDescent="0.15">
      <c r="A4377" s="3">
        <v>4376</v>
      </c>
      <c r="B4377" s="1" t="s">
        <v>926</v>
      </c>
      <c r="C4377" s="1" t="s">
        <v>2071</v>
      </c>
      <c r="E4377" s="1" t="s">
        <v>449</v>
      </c>
      <c r="F4377" s="1" t="s">
        <v>2376</v>
      </c>
      <c r="G4377" s="3">
        <v>0</v>
      </c>
      <c r="H4377" s="20" t="s">
        <v>6401</v>
      </c>
      <c r="I4377" s="20" t="s">
        <v>4835</v>
      </c>
      <c r="J4377" s="20" t="s">
        <v>3160</v>
      </c>
      <c r="K4377" s="20" t="s">
        <v>10013</v>
      </c>
      <c r="L4377" s="3">
        <v>27</v>
      </c>
      <c r="M4377" s="3" t="s">
        <v>10439</v>
      </c>
      <c r="N4377" s="3" t="str">
        <f>HYPERLINK("http://ictvonline.org/taxonomyHistory.asp?taxnode_id=20164575","ICTVonline=20164575")</f>
        <v>ICTVonline=20164575</v>
      </c>
    </row>
    <row r="4378" spans="1:14" x14ac:dyDescent="0.15">
      <c r="A4378" s="3">
        <v>4377</v>
      </c>
      <c r="B4378" s="1" t="s">
        <v>926</v>
      </c>
      <c r="C4378" s="1" t="s">
        <v>2071</v>
      </c>
      <c r="E4378" s="1" t="s">
        <v>449</v>
      </c>
      <c r="F4378" s="1" t="s">
        <v>435</v>
      </c>
      <c r="G4378" s="3">
        <v>0</v>
      </c>
      <c r="H4378" s="20" t="s">
        <v>6402</v>
      </c>
      <c r="I4378" s="20" t="s">
        <v>6403</v>
      </c>
      <c r="J4378" s="20" t="s">
        <v>3160</v>
      </c>
      <c r="K4378" s="20" t="s">
        <v>10016</v>
      </c>
      <c r="L4378" s="3">
        <v>25</v>
      </c>
      <c r="M4378" s="3" t="s">
        <v>10436</v>
      </c>
      <c r="N4378" s="3" t="str">
        <f>HYPERLINK("http://ictvonline.org/taxonomyHistory.asp?taxnode_id=20164576","ICTVonline=20164576")</f>
        <v>ICTVonline=20164576</v>
      </c>
    </row>
    <row r="4379" spans="1:14" x14ac:dyDescent="0.15">
      <c r="A4379" s="3">
        <v>4378</v>
      </c>
      <c r="B4379" s="1" t="s">
        <v>926</v>
      </c>
      <c r="C4379" s="1" t="s">
        <v>2071</v>
      </c>
      <c r="E4379" s="1" t="s">
        <v>449</v>
      </c>
      <c r="F4379" s="1" t="s">
        <v>436</v>
      </c>
      <c r="G4379" s="3">
        <v>0</v>
      </c>
      <c r="H4379" s="20" t="s">
        <v>6404</v>
      </c>
      <c r="I4379" s="20" t="s">
        <v>6405</v>
      </c>
      <c r="J4379" s="20" t="s">
        <v>3160</v>
      </c>
      <c r="K4379" s="20" t="s">
        <v>10016</v>
      </c>
      <c r="L4379" s="3">
        <v>25</v>
      </c>
      <c r="M4379" s="3" t="s">
        <v>10436</v>
      </c>
      <c r="N4379" s="3" t="str">
        <f>HYPERLINK("http://ictvonline.org/taxonomyHistory.asp?taxnode_id=20164577","ICTVonline=20164577")</f>
        <v>ICTVonline=20164577</v>
      </c>
    </row>
    <row r="4380" spans="1:14" x14ac:dyDescent="0.15">
      <c r="A4380" s="3">
        <v>4379</v>
      </c>
      <c r="B4380" s="1" t="s">
        <v>926</v>
      </c>
      <c r="C4380" s="1" t="s">
        <v>2071</v>
      </c>
      <c r="E4380" s="1" t="s">
        <v>449</v>
      </c>
      <c r="F4380" s="1" t="s">
        <v>437</v>
      </c>
      <c r="G4380" s="3">
        <v>0</v>
      </c>
      <c r="H4380" s="20" t="s">
        <v>6406</v>
      </c>
      <c r="I4380" s="20" t="s">
        <v>4576</v>
      </c>
      <c r="J4380" s="20" t="s">
        <v>3160</v>
      </c>
      <c r="K4380" s="20" t="s">
        <v>10016</v>
      </c>
      <c r="L4380" s="3">
        <v>25</v>
      </c>
      <c r="M4380" s="3" t="s">
        <v>10436</v>
      </c>
      <c r="N4380" s="3" t="str">
        <f>HYPERLINK("http://ictvonline.org/taxonomyHistory.asp?taxnode_id=20164578","ICTVonline=20164578")</f>
        <v>ICTVonline=20164578</v>
      </c>
    </row>
    <row r="4381" spans="1:14" x14ac:dyDescent="0.15">
      <c r="A4381" s="3">
        <v>4380</v>
      </c>
      <c r="B4381" s="1" t="s">
        <v>926</v>
      </c>
      <c r="C4381" s="1" t="s">
        <v>2071</v>
      </c>
      <c r="E4381" s="1" t="s">
        <v>449</v>
      </c>
      <c r="F4381" s="1" t="s">
        <v>2377</v>
      </c>
      <c r="G4381" s="3">
        <v>0</v>
      </c>
      <c r="H4381" s="20" t="s">
        <v>6407</v>
      </c>
      <c r="I4381" s="20" t="s">
        <v>4610</v>
      </c>
      <c r="J4381" s="20" t="s">
        <v>3160</v>
      </c>
      <c r="K4381" s="20" t="s">
        <v>10013</v>
      </c>
      <c r="L4381" s="3">
        <v>27</v>
      </c>
      <c r="M4381" s="3" t="s">
        <v>10439</v>
      </c>
      <c r="N4381" s="3" t="str">
        <f>HYPERLINK("http://ictvonline.org/taxonomyHistory.asp?taxnode_id=20164579","ICTVonline=20164579")</f>
        <v>ICTVonline=20164579</v>
      </c>
    </row>
    <row r="4382" spans="1:14" x14ac:dyDescent="0.15">
      <c r="A4382" s="3">
        <v>4381</v>
      </c>
      <c r="B4382" s="1" t="s">
        <v>926</v>
      </c>
      <c r="C4382" s="1" t="s">
        <v>2071</v>
      </c>
      <c r="E4382" s="1" t="s">
        <v>449</v>
      </c>
      <c r="F4382" s="1" t="s">
        <v>308</v>
      </c>
      <c r="G4382" s="3">
        <v>0</v>
      </c>
      <c r="H4382" s="20" t="s">
        <v>6408</v>
      </c>
      <c r="I4382" s="20" t="s">
        <v>4956</v>
      </c>
      <c r="J4382" s="20" t="s">
        <v>3160</v>
      </c>
      <c r="K4382" s="20" t="s">
        <v>10016</v>
      </c>
      <c r="L4382" s="3">
        <v>25</v>
      </c>
      <c r="M4382" s="3" t="s">
        <v>10436</v>
      </c>
      <c r="N4382" s="3" t="str">
        <f>HYPERLINK("http://ictvonline.org/taxonomyHistory.asp?taxnode_id=20164580","ICTVonline=20164580")</f>
        <v>ICTVonline=20164580</v>
      </c>
    </row>
    <row r="4383" spans="1:14" x14ac:dyDescent="0.15">
      <c r="A4383" s="3">
        <v>4382</v>
      </c>
      <c r="B4383" s="1" t="s">
        <v>926</v>
      </c>
      <c r="C4383" s="1" t="s">
        <v>2071</v>
      </c>
      <c r="E4383" s="1" t="s">
        <v>449</v>
      </c>
      <c r="F4383" s="1" t="s">
        <v>10003</v>
      </c>
      <c r="G4383" s="3">
        <v>0</v>
      </c>
      <c r="H4383" s="20" t="s">
        <v>10004</v>
      </c>
      <c r="I4383" s="20" t="s">
        <v>10005</v>
      </c>
      <c r="J4383" s="20" t="s">
        <v>3160</v>
      </c>
      <c r="K4383" s="20" t="s">
        <v>10013</v>
      </c>
      <c r="L4383" s="3">
        <v>31</v>
      </c>
      <c r="M4383" s="3" t="s">
        <v>10006</v>
      </c>
      <c r="N4383" s="3" t="str">
        <f>HYPERLINK("http://ictvonline.org/taxonomyHistory.asp?taxnode_id=20165509","ICTVonline=20165509")</f>
        <v>ICTVonline=20165509</v>
      </c>
    </row>
    <row r="4384" spans="1:14" x14ac:dyDescent="0.15">
      <c r="A4384" s="3">
        <v>4383</v>
      </c>
      <c r="B4384" s="1" t="s">
        <v>926</v>
      </c>
      <c r="C4384" s="1" t="s">
        <v>2071</v>
      </c>
      <c r="E4384" s="1" t="s">
        <v>449</v>
      </c>
      <c r="F4384" s="1" t="s">
        <v>2378</v>
      </c>
      <c r="G4384" s="3">
        <v>0</v>
      </c>
      <c r="H4384" s="20" t="s">
        <v>6409</v>
      </c>
      <c r="I4384" s="20" t="s">
        <v>6195</v>
      </c>
      <c r="J4384" s="20" t="s">
        <v>3160</v>
      </c>
      <c r="K4384" s="20" t="s">
        <v>10013</v>
      </c>
      <c r="L4384" s="3">
        <v>27</v>
      </c>
      <c r="M4384" s="3" t="s">
        <v>10439</v>
      </c>
      <c r="N4384" s="3" t="str">
        <f>HYPERLINK("http://ictvonline.org/taxonomyHistory.asp?taxnode_id=20164581","ICTVonline=20164581")</f>
        <v>ICTVonline=20164581</v>
      </c>
    </row>
    <row r="4385" spans="1:14" x14ac:dyDescent="0.15">
      <c r="A4385" s="3">
        <v>4384</v>
      </c>
      <c r="B4385" s="1" t="s">
        <v>926</v>
      </c>
      <c r="C4385" s="1" t="s">
        <v>2071</v>
      </c>
      <c r="E4385" s="1" t="s">
        <v>449</v>
      </c>
      <c r="F4385" s="1" t="s">
        <v>1576</v>
      </c>
      <c r="G4385" s="3">
        <v>0</v>
      </c>
      <c r="H4385" s="20" t="s">
        <v>6410</v>
      </c>
      <c r="I4385" s="20" t="s">
        <v>6411</v>
      </c>
      <c r="J4385" s="20" t="s">
        <v>3160</v>
      </c>
      <c r="K4385" s="20" t="s">
        <v>10013</v>
      </c>
      <c r="L4385" s="3">
        <v>25</v>
      </c>
      <c r="M4385" s="3" t="s">
        <v>10441</v>
      </c>
      <c r="N4385" s="3" t="str">
        <f>HYPERLINK("http://ictvonline.org/taxonomyHistory.asp?taxnode_id=20164582","ICTVonline=20164582")</f>
        <v>ICTVonline=20164582</v>
      </c>
    </row>
    <row r="4386" spans="1:14" x14ac:dyDescent="0.15">
      <c r="A4386" s="3">
        <v>4385</v>
      </c>
      <c r="B4386" s="1" t="s">
        <v>926</v>
      </c>
      <c r="C4386" s="1" t="s">
        <v>2071</v>
      </c>
      <c r="E4386" s="1" t="s">
        <v>449</v>
      </c>
      <c r="F4386" s="1" t="s">
        <v>309</v>
      </c>
      <c r="G4386" s="3">
        <v>0</v>
      </c>
      <c r="H4386" s="20" t="s">
        <v>6412</v>
      </c>
      <c r="I4386" s="20" t="s">
        <v>7074</v>
      </c>
      <c r="J4386" s="20" t="s">
        <v>3160</v>
      </c>
      <c r="K4386" s="20" t="s">
        <v>10016</v>
      </c>
      <c r="L4386" s="3">
        <v>25</v>
      </c>
      <c r="M4386" s="3" t="s">
        <v>10436</v>
      </c>
      <c r="N4386" s="3" t="str">
        <f>HYPERLINK("http://ictvonline.org/taxonomyHistory.asp?taxnode_id=20164583","ICTVonline=20164583")</f>
        <v>ICTVonline=20164583</v>
      </c>
    </row>
    <row r="4387" spans="1:14" x14ac:dyDescent="0.15">
      <c r="A4387" s="3">
        <v>4386</v>
      </c>
      <c r="B4387" s="1" t="s">
        <v>926</v>
      </c>
      <c r="C4387" s="1" t="s">
        <v>2071</v>
      </c>
      <c r="E4387" s="1" t="s">
        <v>449</v>
      </c>
      <c r="F4387" s="1" t="s">
        <v>1875</v>
      </c>
      <c r="G4387" s="3">
        <v>0</v>
      </c>
      <c r="J4387" s="20" t="s">
        <v>3160</v>
      </c>
      <c r="K4387" s="20" t="s">
        <v>10016</v>
      </c>
      <c r="L4387" s="3">
        <v>25</v>
      </c>
      <c r="M4387" s="3" t="s">
        <v>10436</v>
      </c>
      <c r="N4387" s="3" t="str">
        <f>HYPERLINK("http://ictvonline.org/taxonomyHistory.asp?taxnode_id=20164584","ICTVonline=20164584")</f>
        <v>ICTVonline=20164584</v>
      </c>
    </row>
    <row r="4388" spans="1:14" x14ac:dyDescent="0.15">
      <c r="A4388" s="3">
        <v>4387</v>
      </c>
      <c r="B4388" s="1" t="s">
        <v>926</v>
      </c>
      <c r="C4388" s="1" t="s">
        <v>2071</v>
      </c>
      <c r="E4388" s="1" t="s">
        <v>449</v>
      </c>
      <c r="F4388" s="1" t="s">
        <v>1578</v>
      </c>
      <c r="G4388" s="3">
        <v>0</v>
      </c>
      <c r="H4388" s="20" t="s">
        <v>6413</v>
      </c>
      <c r="I4388" s="20" t="s">
        <v>6414</v>
      </c>
      <c r="J4388" s="20" t="s">
        <v>3160</v>
      </c>
      <c r="K4388" s="20" t="s">
        <v>10013</v>
      </c>
      <c r="L4388" s="3">
        <v>25</v>
      </c>
      <c r="M4388" s="3" t="s">
        <v>10440</v>
      </c>
      <c r="N4388" s="3" t="str">
        <f>HYPERLINK("http://ictvonline.org/taxonomyHistory.asp?taxnode_id=20164585","ICTVonline=20164585")</f>
        <v>ICTVonline=20164585</v>
      </c>
    </row>
    <row r="4389" spans="1:14" x14ac:dyDescent="0.15">
      <c r="A4389" s="3">
        <v>4388</v>
      </c>
      <c r="B4389" s="1" t="s">
        <v>926</v>
      </c>
      <c r="C4389" s="1" t="s">
        <v>2071</v>
      </c>
      <c r="E4389" s="1" t="s">
        <v>449</v>
      </c>
      <c r="F4389" s="1" t="s">
        <v>310</v>
      </c>
      <c r="G4389" s="3">
        <v>0</v>
      </c>
      <c r="J4389" s="20" t="s">
        <v>3160</v>
      </c>
      <c r="K4389" s="20" t="s">
        <v>10016</v>
      </c>
      <c r="L4389" s="3">
        <v>25</v>
      </c>
      <c r="M4389" s="3" t="s">
        <v>10436</v>
      </c>
      <c r="N4389" s="3" t="str">
        <f>HYPERLINK("http://ictvonline.org/taxonomyHistory.asp?taxnode_id=20164586","ICTVonline=20164586")</f>
        <v>ICTVonline=20164586</v>
      </c>
    </row>
    <row r="4390" spans="1:14" x14ac:dyDescent="0.15">
      <c r="A4390" s="3">
        <v>4389</v>
      </c>
      <c r="B4390" s="1" t="s">
        <v>926</v>
      </c>
      <c r="C4390" s="1" t="s">
        <v>2071</v>
      </c>
      <c r="E4390" s="1" t="s">
        <v>449</v>
      </c>
      <c r="F4390" s="1" t="s">
        <v>1206</v>
      </c>
      <c r="G4390" s="3">
        <v>0</v>
      </c>
      <c r="J4390" s="20" t="s">
        <v>3160</v>
      </c>
      <c r="K4390" s="20" t="s">
        <v>10016</v>
      </c>
      <c r="L4390" s="3">
        <v>25</v>
      </c>
      <c r="M4390" s="3" t="s">
        <v>10436</v>
      </c>
      <c r="N4390" s="3" t="str">
        <f>HYPERLINK("http://ictvonline.org/taxonomyHistory.asp?taxnode_id=20164587","ICTVonline=20164587")</f>
        <v>ICTVonline=20164587</v>
      </c>
    </row>
    <row r="4391" spans="1:14" x14ac:dyDescent="0.15">
      <c r="A4391" s="3">
        <v>4390</v>
      </c>
      <c r="B4391" s="1" t="s">
        <v>926</v>
      </c>
      <c r="C4391" s="1" t="s">
        <v>2071</v>
      </c>
      <c r="E4391" s="1" t="s">
        <v>449</v>
      </c>
      <c r="F4391" s="1" t="s">
        <v>1762</v>
      </c>
      <c r="G4391" s="3">
        <v>0</v>
      </c>
      <c r="H4391" s="20" t="s">
        <v>6415</v>
      </c>
      <c r="I4391" s="20" t="s">
        <v>6416</v>
      </c>
      <c r="J4391" s="20" t="s">
        <v>3160</v>
      </c>
      <c r="K4391" s="20" t="s">
        <v>10016</v>
      </c>
      <c r="L4391" s="3">
        <v>25</v>
      </c>
      <c r="M4391" s="3" t="s">
        <v>10436</v>
      </c>
      <c r="N4391" s="3" t="str">
        <f>HYPERLINK("http://ictvonline.org/taxonomyHistory.asp?taxnode_id=20164588","ICTVonline=20164588")</f>
        <v>ICTVonline=20164588</v>
      </c>
    </row>
    <row r="4392" spans="1:14" x14ac:dyDescent="0.15">
      <c r="A4392" s="3">
        <v>4391</v>
      </c>
      <c r="B4392" s="1" t="s">
        <v>926</v>
      </c>
      <c r="C4392" s="1" t="s">
        <v>2071</v>
      </c>
      <c r="E4392" s="1" t="s">
        <v>449</v>
      </c>
      <c r="F4392" s="1" t="s">
        <v>1763</v>
      </c>
      <c r="G4392" s="3">
        <v>1</v>
      </c>
      <c r="H4392" s="20" t="s">
        <v>6417</v>
      </c>
      <c r="I4392" s="20" t="s">
        <v>6418</v>
      </c>
      <c r="J4392" s="20" t="s">
        <v>3160</v>
      </c>
      <c r="K4392" s="20" t="s">
        <v>10016</v>
      </c>
      <c r="L4392" s="3">
        <v>25</v>
      </c>
      <c r="M4392" s="3" t="s">
        <v>10436</v>
      </c>
      <c r="N4392" s="3" t="str">
        <f>HYPERLINK("http://ictvonline.org/taxonomyHistory.asp?taxnode_id=20164589","ICTVonline=20164589")</f>
        <v>ICTVonline=20164589</v>
      </c>
    </row>
    <row r="4393" spans="1:14" x14ac:dyDescent="0.15">
      <c r="A4393" s="3">
        <v>4392</v>
      </c>
      <c r="B4393" s="1" t="s">
        <v>926</v>
      </c>
      <c r="C4393" s="1" t="s">
        <v>2071</v>
      </c>
      <c r="E4393" s="1" t="s">
        <v>449</v>
      </c>
      <c r="F4393" s="1" t="s">
        <v>10007</v>
      </c>
      <c r="G4393" s="3">
        <v>0</v>
      </c>
      <c r="H4393" s="20" t="s">
        <v>10008</v>
      </c>
      <c r="I4393" s="20" t="s">
        <v>10009</v>
      </c>
      <c r="J4393" s="20" t="s">
        <v>3160</v>
      </c>
      <c r="K4393" s="20" t="s">
        <v>10013</v>
      </c>
      <c r="L4393" s="3">
        <v>31</v>
      </c>
      <c r="M4393" s="3" t="s">
        <v>10006</v>
      </c>
      <c r="N4393" s="3" t="str">
        <f>HYPERLINK("http://ictvonline.org/taxonomyHistory.asp?taxnode_id=20165510","ICTVonline=20165510")</f>
        <v>ICTVonline=20165510</v>
      </c>
    </row>
    <row r="4394" spans="1:14" x14ac:dyDescent="0.15">
      <c r="A4394" s="3">
        <v>4393</v>
      </c>
      <c r="B4394" s="1" t="s">
        <v>926</v>
      </c>
      <c r="C4394" s="1" t="s">
        <v>2071</v>
      </c>
      <c r="E4394" s="1" t="s">
        <v>449</v>
      </c>
      <c r="F4394" s="1" t="s">
        <v>1764</v>
      </c>
      <c r="G4394" s="3">
        <v>0</v>
      </c>
      <c r="H4394" s="20" t="s">
        <v>6419</v>
      </c>
      <c r="I4394" s="20" t="s">
        <v>6420</v>
      </c>
      <c r="J4394" s="20" t="s">
        <v>3160</v>
      </c>
      <c r="K4394" s="20" t="s">
        <v>10016</v>
      </c>
      <c r="L4394" s="3">
        <v>25</v>
      </c>
      <c r="M4394" s="3" t="s">
        <v>10436</v>
      </c>
      <c r="N4394" s="3" t="str">
        <f>HYPERLINK("http://ictvonline.org/taxonomyHistory.asp?taxnode_id=20164590","ICTVonline=20164590")</f>
        <v>ICTVonline=20164590</v>
      </c>
    </row>
    <row r="4395" spans="1:14" x14ac:dyDescent="0.15">
      <c r="A4395" s="3">
        <v>4394</v>
      </c>
      <c r="B4395" s="1" t="s">
        <v>926</v>
      </c>
      <c r="C4395" s="1" t="s">
        <v>2071</v>
      </c>
      <c r="E4395" s="1" t="s">
        <v>449</v>
      </c>
      <c r="F4395" s="1" t="s">
        <v>2847</v>
      </c>
      <c r="G4395" s="3">
        <v>0</v>
      </c>
      <c r="H4395" s="20" t="s">
        <v>3227</v>
      </c>
      <c r="I4395" s="20" t="s">
        <v>6421</v>
      </c>
      <c r="J4395" s="20" t="s">
        <v>3160</v>
      </c>
      <c r="K4395" s="20" t="s">
        <v>10013</v>
      </c>
      <c r="L4395" s="3">
        <v>29</v>
      </c>
      <c r="M4395" s="3" t="s">
        <v>10442</v>
      </c>
      <c r="N4395" s="3" t="str">
        <f>HYPERLINK("http://ictvonline.org/taxonomyHistory.asp?taxnode_id=20164591","ICTVonline=20164591")</f>
        <v>ICTVonline=20164591</v>
      </c>
    </row>
    <row r="4396" spans="1:14" x14ac:dyDescent="0.15">
      <c r="A4396" s="3">
        <v>4395</v>
      </c>
      <c r="B4396" s="1" t="s">
        <v>926</v>
      </c>
      <c r="C4396" s="1" t="s">
        <v>2071</v>
      </c>
      <c r="E4396" s="1" t="s">
        <v>449</v>
      </c>
      <c r="F4396" s="1" t="s">
        <v>2379</v>
      </c>
      <c r="G4396" s="3">
        <v>0</v>
      </c>
      <c r="J4396" s="20" t="s">
        <v>3160</v>
      </c>
      <c r="K4396" s="20" t="s">
        <v>10013</v>
      </c>
      <c r="L4396" s="3">
        <v>27</v>
      </c>
      <c r="M4396" s="3" t="s">
        <v>10439</v>
      </c>
      <c r="N4396" s="3" t="str">
        <f>HYPERLINK("http://ictvonline.org/taxonomyHistory.asp?taxnode_id=20164592","ICTVonline=20164592")</f>
        <v>ICTVonline=20164592</v>
      </c>
    </row>
    <row r="4397" spans="1:14" x14ac:dyDescent="0.15">
      <c r="A4397" s="3">
        <v>4396</v>
      </c>
      <c r="B4397" s="1" t="s">
        <v>926</v>
      </c>
      <c r="C4397" s="1" t="s">
        <v>2071</v>
      </c>
      <c r="E4397" s="1" t="s">
        <v>449</v>
      </c>
      <c r="F4397" s="1" t="s">
        <v>1765</v>
      </c>
      <c r="G4397" s="3">
        <v>0</v>
      </c>
      <c r="H4397" s="20" t="s">
        <v>6422</v>
      </c>
      <c r="I4397" s="20" t="s">
        <v>6423</v>
      </c>
      <c r="J4397" s="20" t="s">
        <v>3160</v>
      </c>
      <c r="K4397" s="20" t="s">
        <v>10016</v>
      </c>
      <c r="L4397" s="3">
        <v>25</v>
      </c>
      <c r="M4397" s="3" t="s">
        <v>10436</v>
      </c>
      <c r="N4397" s="3" t="str">
        <f>HYPERLINK("http://ictvonline.org/taxonomyHistory.asp?taxnode_id=20164593","ICTVonline=20164593")</f>
        <v>ICTVonline=20164593</v>
      </c>
    </row>
    <row r="4398" spans="1:14" x14ac:dyDescent="0.15">
      <c r="A4398" s="3">
        <v>4397</v>
      </c>
      <c r="B4398" s="1" t="s">
        <v>926</v>
      </c>
      <c r="C4398" s="1" t="s">
        <v>2071</v>
      </c>
      <c r="E4398" s="1" t="s">
        <v>449</v>
      </c>
      <c r="F4398" s="1" t="s">
        <v>1766</v>
      </c>
      <c r="G4398" s="3">
        <v>0</v>
      </c>
      <c r="J4398" s="20" t="s">
        <v>3160</v>
      </c>
      <c r="K4398" s="20" t="s">
        <v>10016</v>
      </c>
      <c r="L4398" s="3">
        <v>25</v>
      </c>
      <c r="M4398" s="3" t="s">
        <v>10436</v>
      </c>
      <c r="N4398" s="3" t="str">
        <f>HYPERLINK("http://ictvonline.org/taxonomyHistory.asp?taxnode_id=20164594","ICTVonline=20164594")</f>
        <v>ICTVonline=20164594</v>
      </c>
    </row>
    <row r="4399" spans="1:14" x14ac:dyDescent="0.15">
      <c r="A4399" s="3">
        <v>4398</v>
      </c>
      <c r="B4399" s="1" t="s">
        <v>926</v>
      </c>
      <c r="C4399" s="1" t="s">
        <v>2071</v>
      </c>
      <c r="E4399" s="1" t="s">
        <v>449</v>
      </c>
      <c r="F4399" s="1" t="s">
        <v>1767</v>
      </c>
      <c r="G4399" s="3">
        <v>0</v>
      </c>
      <c r="H4399" s="20" t="s">
        <v>6424</v>
      </c>
      <c r="I4399" s="20" t="s">
        <v>6425</v>
      </c>
      <c r="J4399" s="20" t="s">
        <v>3160</v>
      </c>
      <c r="K4399" s="20" t="s">
        <v>10016</v>
      </c>
      <c r="L4399" s="3">
        <v>25</v>
      </c>
      <c r="M4399" s="3" t="s">
        <v>10436</v>
      </c>
      <c r="N4399" s="3" t="str">
        <f>HYPERLINK("http://ictvonline.org/taxonomyHistory.asp?taxnode_id=20164595","ICTVonline=20164595")</f>
        <v>ICTVonline=20164595</v>
      </c>
    </row>
    <row r="4400" spans="1:14" x14ac:dyDescent="0.15">
      <c r="A4400" s="3">
        <v>4399</v>
      </c>
      <c r="B4400" s="1" t="s">
        <v>926</v>
      </c>
      <c r="C4400" s="1" t="s">
        <v>2071</v>
      </c>
      <c r="E4400" s="1" t="s">
        <v>449</v>
      </c>
      <c r="F4400" s="1" t="s">
        <v>2848</v>
      </c>
      <c r="G4400" s="3">
        <v>0</v>
      </c>
      <c r="H4400" s="20" t="s">
        <v>3228</v>
      </c>
      <c r="I4400" s="20" t="s">
        <v>6426</v>
      </c>
      <c r="J4400" s="20" t="s">
        <v>3160</v>
      </c>
      <c r="K4400" s="20" t="s">
        <v>10013</v>
      </c>
      <c r="L4400" s="3">
        <v>29</v>
      </c>
      <c r="M4400" s="3" t="s">
        <v>10442</v>
      </c>
      <c r="N4400" s="3" t="str">
        <f>HYPERLINK("http://ictvonline.org/taxonomyHistory.asp?taxnode_id=20164596","ICTVonline=20164596")</f>
        <v>ICTVonline=20164596</v>
      </c>
    </row>
    <row r="4401" spans="1:14" x14ac:dyDescent="0.15">
      <c r="A4401" s="3">
        <v>4400</v>
      </c>
      <c r="B4401" s="1" t="s">
        <v>926</v>
      </c>
      <c r="C4401" s="1" t="s">
        <v>2071</v>
      </c>
      <c r="E4401" s="1" t="s">
        <v>449</v>
      </c>
      <c r="F4401" s="1" t="s">
        <v>1768</v>
      </c>
      <c r="G4401" s="3">
        <v>0</v>
      </c>
      <c r="H4401" s="20" t="s">
        <v>6427</v>
      </c>
      <c r="I4401" s="20" t="s">
        <v>6428</v>
      </c>
      <c r="J4401" s="20" t="s">
        <v>3160</v>
      </c>
      <c r="K4401" s="20" t="s">
        <v>10016</v>
      </c>
      <c r="L4401" s="3">
        <v>25</v>
      </c>
      <c r="M4401" s="3" t="s">
        <v>10436</v>
      </c>
      <c r="N4401" s="3" t="str">
        <f>HYPERLINK("http://ictvonline.org/taxonomyHistory.asp?taxnode_id=20164597","ICTVonline=20164597")</f>
        <v>ICTVonline=20164597</v>
      </c>
    </row>
    <row r="4402" spans="1:14" x14ac:dyDescent="0.15">
      <c r="A4402" s="3">
        <v>4401</v>
      </c>
      <c r="B4402" s="1" t="s">
        <v>926</v>
      </c>
      <c r="C4402" s="1" t="s">
        <v>2071</v>
      </c>
      <c r="E4402" s="1" t="s">
        <v>449</v>
      </c>
      <c r="F4402" s="1" t="s">
        <v>1769</v>
      </c>
      <c r="G4402" s="3">
        <v>0</v>
      </c>
      <c r="H4402" s="20" t="s">
        <v>6429</v>
      </c>
      <c r="I4402" s="20" t="s">
        <v>6430</v>
      </c>
      <c r="J4402" s="20" t="s">
        <v>3160</v>
      </c>
      <c r="K4402" s="20" t="s">
        <v>10016</v>
      </c>
      <c r="L4402" s="3">
        <v>25</v>
      </c>
      <c r="M4402" s="3" t="s">
        <v>10436</v>
      </c>
      <c r="N4402" s="3" t="str">
        <f>HYPERLINK("http://ictvonline.org/taxonomyHistory.asp?taxnode_id=20164598","ICTVonline=20164598")</f>
        <v>ICTVonline=20164598</v>
      </c>
    </row>
    <row r="4403" spans="1:14" x14ac:dyDescent="0.15">
      <c r="A4403" s="3">
        <v>4402</v>
      </c>
      <c r="B4403" s="1" t="s">
        <v>926</v>
      </c>
      <c r="C4403" s="1" t="s">
        <v>2071</v>
      </c>
      <c r="E4403" s="1" t="s">
        <v>1770</v>
      </c>
      <c r="F4403" s="1" t="s">
        <v>1771</v>
      </c>
      <c r="G4403" s="3">
        <v>0</v>
      </c>
      <c r="H4403" s="20" t="s">
        <v>7288</v>
      </c>
      <c r="I4403" s="20" t="s">
        <v>6431</v>
      </c>
      <c r="J4403" s="20" t="s">
        <v>3160</v>
      </c>
      <c r="K4403" s="20" t="s">
        <v>10016</v>
      </c>
      <c r="L4403" s="3">
        <v>25</v>
      </c>
      <c r="M4403" s="3" t="s">
        <v>10436</v>
      </c>
      <c r="N4403" s="3" t="str">
        <f>HYPERLINK("http://ictvonline.org/taxonomyHistory.asp?taxnode_id=20164600","ICTVonline=20164600")</f>
        <v>ICTVonline=20164600</v>
      </c>
    </row>
    <row r="4404" spans="1:14" x14ac:dyDescent="0.15">
      <c r="A4404" s="3">
        <v>4403</v>
      </c>
      <c r="B4404" s="1" t="s">
        <v>926</v>
      </c>
      <c r="C4404" s="1" t="s">
        <v>2071</v>
      </c>
      <c r="E4404" s="1" t="s">
        <v>1770</v>
      </c>
      <c r="F4404" s="1" t="s">
        <v>1772</v>
      </c>
      <c r="G4404" s="3">
        <v>0</v>
      </c>
      <c r="H4404" s="20" t="s">
        <v>7289</v>
      </c>
      <c r="I4404" s="20" t="s">
        <v>6432</v>
      </c>
      <c r="J4404" s="20" t="s">
        <v>3160</v>
      </c>
      <c r="K4404" s="20" t="s">
        <v>10016</v>
      </c>
      <c r="L4404" s="3">
        <v>25</v>
      </c>
      <c r="M4404" s="3" t="s">
        <v>10436</v>
      </c>
      <c r="N4404" s="3" t="str">
        <f>HYPERLINK("http://ictvonline.org/taxonomyHistory.asp?taxnode_id=20164601","ICTVonline=20164601")</f>
        <v>ICTVonline=20164601</v>
      </c>
    </row>
    <row r="4405" spans="1:14" x14ac:dyDescent="0.15">
      <c r="A4405" s="3">
        <v>4404</v>
      </c>
      <c r="B4405" s="1" t="s">
        <v>926</v>
      </c>
      <c r="C4405" s="1" t="s">
        <v>2071</v>
      </c>
      <c r="E4405" s="1" t="s">
        <v>1770</v>
      </c>
      <c r="F4405" s="1" t="s">
        <v>1773</v>
      </c>
      <c r="G4405" s="3">
        <v>1</v>
      </c>
      <c r="H4405" s="20" t="s">
        <v>10010</v>
      </c>
      <c r="I4405" s="20" t="s">
        <v>10011</v>
      </c>
      <c r="J4405" s="20" t="s">
        <v>3160</v>
      </c>
      <c r="K4405" s="20" t="s">
        <v>10016</v>
      </c>
      <c r="L4405" s="3">
        <v>25</v>
      </c>
      <c r="M4405" s="3" t="s">
        <v>10436</v>
      </c>
      <c r="N4405" s="3" t="str">
        <f>HYPERLINK("http://ictvonline.org/taxonomyHistory.asp?taxnode_id=20164602","ICTVonline=20164602")</f>
        <v>ICTVonline=20164602</v>
      </c>
    </row>
  </sheetData>
  <sortState ref="A2:N4405">
    <sortCondition ref="B2:B4405"/>
    <sortCondition ref="C2:C4405"/>
    <sortCondition ref="D2:D4405"/>
    <sortCondition ref="E2:E4405"/>
    <sortCondition ref="A2:A4405"/>
  </sortState>
  <phoneticPr fontId="1" type="noConversion"/>
  <conditionalFormatting sqref="H3152:H3155 H1853:I1855 H1858:I1859 H1864:I1864 H1868:I1870 H1876:I1878 H1842:I1842 G1:G1048576">
    <cfRule type="cellIs" dxfId="6" priority="17" stopIfTrue="1" operator="equal">
      <formula>1</formula>
    </cfRule>
  </conditionalFormatting>
  <conditionalFormatting sqref="B54:B56 H3152:H3155 B1:G53 D54:G56 H1853:I1855 H1858:I1859 H1864:I1864 H1868:I1870 H1876:I1878 H1842:I1842 A1 B57:G1048576">
    <cfRule type="expression" dxfId="5" priority="13" stopIfTrue="1">
      <formula>A1="Unassigned"</formula>
    </cfRule>
  </conditionalFormatting>
  <conditionalFormatting sqref="B54:B56 B4331:I4331 B2002:I2002 K4331:XFD4331 K2002:XFD2002 B57:XFD2001 D54:XFD56 A4406:XFD1048576 A1:XFD3 B4332:XFD4405 B4:XFD53 A4:A4405 B2003:XFD4330">
    <cfRule type="cellIs" dxfId="4" priority="12" stopIfTrue="1" operator="equal">
      <formula>"NULL"</formula>
    </cfRule>
  </conditionalFormatting>
  <conditionalFormatting sqref="M2:M1721 L1 M1723:M65536">
    <cfRule type="cellIs" dxfId="3" priority="11" stopIfTrue="1" operator="equal">
      <formula>29</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Version</vt:lpstr>
      <vt:lpstr>Column Definitions</vt:lpstr>
      <vt:lpstr>ICTV 2016 Master Species #31</vt:lpstr>
    </vt:vector>
  </TitlesOfParts>
  <Company>UAB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Microsoft Office User</cp:lastModifiedBy>
  <cp:lastPrinted>2009-10-04T23:39:18Z</cp:lastPrinted>
  <dcterms:created xsi:type="dcterms:W3CDTF">2009-08-13T19:43:48Z</dcterms:created>
  <dcterms:modified xsi:type="dcterms:W3CDTF">2017-05-25T15:39:10Z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