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a84cb1a44de039c/Coding/Languages/Powershell/Projects/WF-DataImporter/DamageCalcs/"/>
    </mc:Choice>
  </mc:AlternateContent>
  <xr:revisionPtr revIDLastSave="970" documentId="13_ncr:1_{2CF9823F-7CB6-4DBA-9B0B-03D4D46187BF}" xr6:coauthVersionLast="47" xr6:coauthVersionMax="47" xr10:uidLastSave="{A1F46502-DB4D-4331-B590-385B13AC2370}"/>
  <bookViews>
    <workbookView xWindow="-108" yWindow="-108" windowWidth="30936" windowHeight="17496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8" i="1" s="1" a="1"/>
  <c r="C28" i="1" s="1"/>
  <c r="G8" i="1"/>
  <c r="K16" i="1" a="1"/>
  <c r="K16" i="1" s="1"/>
  <c r="K28" i="1" s="1" a="1"/>
  <c r="K28" i="1" s="1"/>
  <c r="L16" i="1" a="1"/>
  <c r="L16" i="1" s="1"/>
  <c r="L28" i="1" s="1" a="1"/>
  <c r="L28" i="1" s="1"/>
  <c r="M16" i="1" a="1"/>
  <c r="M16" i="1" s="1"/>
  <c r="M28" i="1" s="1" a="1"/>
  <c r="M28" i="1" s="1"/>
  <c r="N16" i="1" a="1"/>
  <c r="N16" i="1" s="1"/>
  <c r="N28" i="1" s="1" a="1"/>
  <c r="N28" i="1" s="1"/>
  <c r="O16" i="1" a="1"/>
  <c r="O16" i="1" s="1"/>
  <c r="O28" i="1" s="1" a="1"/>
  <c r="O28" i="1" s="1"/>
  <c r="P16" i="1" a="1"/>
  <c r="P16" i="1" s="1"/>
  <c r="P28" i="1" s="1" a="1"/>
  <c r="P28" i="1" s="1"/>
  <c r="Q16" i="1" a="1"/>
  <c r="Q16" i="1" s="1"/>
  <c r="D16" i="1" a="1"/>
  <c r="D16" i="1" s="1"/>
  <c r="D28" i="1" s="1" a="1"/>
  <c r="D28" i="1" s="1"/>
  <c r="E16" i="1" a="1"/>
  <c r="E16" i="1" s="1"/>
  <c r="E28" i="1" s="1" a="1"/>
  <c r="E28" i="1" s="1"/>
  <c r="F16" i="1" a="1"/>
  <c r="F16" i="1" s="1"/>
  <c r="F28" i="1" s="1" a="1"/>
  <c r="F28" i="1" s="1"/>
  <c r="G16" i="1" a="1"/>
  <c r="G16" i="1" s="1"/>
  <c r="G28" i="1" s="1" a="1"/>
  <c r="G28" i="1" s="1"/>
  <c r="H16" i="1" a="1"/>
  <c r="H16" i="1" s="1"/>
  <c r="H28" i="1" s="1" a="1"/>
  <c r="H28" i="1" s="1"/>
  <c r="I16" i="1" a="1"/>
  <c r="I16" i="1" s="1"/>
  <c r="I28" i="1" s="1" a="1"/>
  <c r="I28" i="1" s="1"/>
  <c r="J16" i="1" a="1"/>
  <c r="J16" i="1" s="1"/>
  <c r="J28" i="1" s="1" a="1"/>
  <c r="J28" i="1" s="1"/>
  <c r="P12" i="1" a="1"/>
  <c r="P12" i="1" s="1"/>
  <c r="A24" i="1" a="1"/>
  <c r="A24" i="1" s="1"/>
  <c r="A20" i="1" a="1"/>
  <c r="A20" i="1" s="1"/>
  <c r="A28" i="1" a="1"/>
  <c r="A28" i="1" s="1"/>
  <c r="Q8" i="1"/>
  <c r="Q12" i="1" a="1"/>
  <c r="Q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R8" i="1"/>
  <c r="A8" i="1" a="1"/>
  <c r="A8" i="1" s="1"/>
  <c r="C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l="1"/>
  <c r="B4" i="1" s="1"/>
  <c r="F20" i="1" l="1" a="1"/>
  <c r="F20" i="1" s="1"/>
  <c r="B12" i="1" a="1"/>
  <c r="B12" i="1" s="1"/>
  <c r="G20" i="1" a="1"/>
  <c r="G20" i="1" s="1"/>
  <c r="B24" i="1" a="1"/>
  <c r="B24" i="1" s="1"/>
  <c r="B20" i="1" a="1"/>
  <c r="B20" i="1" s="1"/>
  <c r="C24" i="1" a="1"/>
  <c r="C24" i="1" s="1"/>
  <c r="D20" i="1" a="1"/>
  <c r="D20" i="1" s="1"/>
  <c r="D24" i="1" a="1"/>
  <c r="D24" i="1" s="1"/>
  <c r="C20" i="1" a="1"/>
  <c r="C20" i="1" s="1"/>
  <c r="E20" i="1" a="1"/>
  <c r="E20" i="1" s="1"/>
  <c r="E24" i="1" a="1"/>
  <c r="E24" i="1" s="1"/>
  <c r="P24" i="1" a="1"/>
  <c r="P24" i="1" s="1"/>
  <c r="M20" i="1" a="1"/>
  <c r="M20" i="1" s="1"/>
  <c r="I24" i="1" a="1"/>
  <c r="I24" i="1" s="1"/>
  <c r="L20" i="1" a="1"/>
  <c r="L20" i="1" s="1"/>
  <c r="P20" i="1" a="1"/>
  <c r="P20" i="1" s="1"/>
  <c r="F24" i="1" a="1"/>
  <c r="F24" i="1" s="1"/>
  <c r="N20" i="1" a="1"/>
  <c r="N20" i="1" s="1"/>
  <c r="L24" i="1" a="1"/>
  <c r="L24" i="1" s="1"/>
  <c r="J20" i="1" a="1"/>
  <c r="J20" i="1" s="1"/>
  <c r="G24" i="1" a="1"/>
  <c r="G24" i="1" s="1"/>
  <c r="O24" i="1" a="1"/>
  <c r="O24" i="1" s="1"/>
  <c r="N24" i="1" a="1"/>
  <c r="N24" i="1" s="1"/>
  <c r="I20" i="1" a="1"/>
  <c r="I20" i="1" s="1"/>
  <c r="K24" i="1" a="1"/>
  <c r="K24" i="1" s="1"/>
  <c r="K20" i="1" a="1"/>
  <c r="K20" i="1" s="1"/>
  <c r="M24" i="1" a="1"/>
  <c r="M24" i="1" s="1"/>
  <c r="H20" i="1" a="1"/>
  <c r="H20" i="1" s="1"/>
  <c r="H24" i="1" a="1"/>
  <c r="H24" i="1" s="1"/>
  <c r="J24" i="1" a="1"/>
  <c r="J24" i="1" s="1"/>
  <c r="O20" i="1" a="1"/>
  <c r="O20" i="1" s="1"/>
  <c r="B28" i="1" a="1"/>
  <c r="B28" i="1" s="1"/>
  <c r="B16" i="1" a="1"/>
  <c r="B16" i="1" s="1"/>
  <c r="B8" i="1" a="1"/>
  <c r="B8" i="1" s="1"/>
  <c r="R4" i="1"/>
  <c r="Q28" i="1" l="1" a="1"/>
  <c r="Q28" i="1" s="1"/>
  <c r="Q20" i="1" a="1"/>
  <c r="Q20" i="1" s="1"/>
  <c r="R20" i="1" s="1" a="1"/>
  <c r="R20" i="1" s="1"/>
  <c r="R24" i="1" a="1"/>
  <c r="R24" i="1" s="1"/>
  <c r="Q24" i="1" a="1"/>
  <c r="Q24" i="1" s="1"/>
  <c r="R28" i="1" a="1"/>
  <c r="R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<sst xmlns="http://schemas.openxmlformats.org/spreadsheetml/2006/main" count="962" uniqueCount="812">
  <si>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</si>
  <si>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</si>
  <si>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</si>
  <si>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</si>
  <si>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</si>
  <si>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</si>
  <si>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</si>
  <si>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</si>
  <si>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</si>
  <si>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</si>
  <si>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</si>
  <si>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</si>
  <si>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</si>
  <si>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</si>
  <si>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</si>
  <si>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</si>
  <si>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</si>
  <si>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</si>
  <si>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</si>
  <si>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</si>
  <si>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</si>
  <si>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</si>
  <si>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</si>
  <si>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</si>
  <si>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</si>
  <si>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</si>
  <si>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</si>
  <si>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</si>
  <si>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</si>
  <si>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</si>
  <si>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</si>
  <si>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</si>
  <si>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</si>
  <si>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</si>
  <si>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</si>
  <si>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</si>
  <si>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</si>
  <si>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</si>
  <si>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</si>
  <si>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</si>
  <si>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</si>
  <si>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</si>
  <si>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</si>
  <si>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</si>
  <si>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</si>
  <si>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</si>
  <si>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</si>
  <si>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</si>
  <si>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</si>
  <si>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</si>
  <si>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</si>
  <si>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</si>
  <si>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</si>
  <si>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</si>
  <si>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</si>
  <si>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</si>
  <si>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</si>
  <si>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</si>
  <si>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</si>
  <si>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</si>
  <si>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</si>
  <si>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</si>
  <si>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</si>
  <si>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</si>
  <si>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</si>
  <si>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</si>
  <si>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</si>
  <si>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</si>
  <si>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</si>
  <si>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</si>
  <si>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</si>
  <si>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</si>
  <si>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</si>
  <si>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</si>
  <si>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</si>
  <si>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</si>
  <si>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</si>
  <si>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</si>
  <si>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</si>
  <si>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</si>
  <si>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</si>
  <si>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</si>
  <si>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</si>
  <si>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</si>
  <si>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</si>
  <si>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</si>
  <si>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</si>
  <si>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</si>
  <si>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</si>
  <si>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</si>
  <si>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</si>
  <si>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</si>
  <si>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</si>
  <si>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</si>
  <si>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</si>
  <si>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</si>
  <si>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</si>
  <si>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</si>
  <si>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</si>
  <si>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</si>
  <si>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</si>
  <si>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</si>
  <si>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</si>
  <si>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</si>
  <si>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</si>
  <si>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</si>
  <si>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</si>
  <si>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</si>
  <si>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</si>
  <si>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</si>
  <si>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</si>
  <si>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</si>
  <si>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</si>
  <si>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</si>
  <si>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</si>
  <si>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</si>
  <si>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</si>
  <si>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</si>
  <si>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</si>
  <si>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</si>
  <si>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</si>
  <si>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</si>
  <si>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</si>
  <si>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</si>
  <si>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</si>
  <si>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</si>
  <si>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</si>
  <si>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</si>
  <si>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</si>
  <si>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</si>
  <si>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</si>
  <si>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</si>
  <si>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</si>
  <si>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</si>
  <si>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</si>
  <si>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</si>
  <si>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</si>
  <si>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</si>
  <si>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</si>
  <si>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</si>
  <si>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</si>
  <si>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</si>
  <si>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</si>
  <si>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</si>
  <si>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</si>
  <si>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</si>
  <si>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</si>
  <si>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</si>
  <si>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</si>
  <si>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</si>
  <si>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</si>
  <si>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</si>
  <si>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</si>
  <si>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</si>
  <si>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</si>
  <si>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</si>
  <si>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</si>
  <si>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</si>
  <si>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</si>
  <si>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</si>
  <si>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</si>
  <si>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</si>
  <si>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</si>
  <si>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</si>
  <si>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</si>
  <si>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</si>
  <si>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</si>
  <si>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</si>
  <si>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</si>
  <si>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</si>
  <si>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</si>
  <si>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</si>
  <si>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</si>
  <si>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</si>
  <si>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</si>
  <si>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</si>
  <si>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</si>
  <si>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</si>
  <si>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</si>
  <si>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</si>
  <si>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</si>
  <si>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</si>
  <si>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</si>
  <si>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</si>
  <si>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</si>
  <si>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</si>
  <si>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</si>
  <si>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</si>
  <si>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</si>
  <si>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</si>
  <si>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</si>
  <si>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</si>
  <si>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</si>
  <si>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</si>
  <si>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</si>
  <si>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</si>
  <si>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</si>
  <si>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</si>
  <si>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</si>
  <si>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</si>
  <si>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</si>
  <si>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</si>
  <si>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</si>
  <si>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</si>
  <si>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</si>
  <si>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</si>
  <si>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</si>
  <si>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</si>
  <si>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</si>
  <si>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</si>
  <si>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</si>
  <si>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</si>
  <si>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</si>
  <si>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</si>
  <si>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</si>
  <si>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</si>
  <si>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</si>
  <si>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</si>
  <si>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</si>
  <si>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</si>
  <si>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</si>
  <si>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</si>
  <si>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</si>
  <si>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</si>
  <si>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</si>
  <si>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</si>
  <si>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</si>
  <si>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</si>
  <si>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</si>
  <si>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</si>
  <si>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</si>
  <si>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</si>
  <si>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</si>
  <si>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</si>
  <si>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</si>
  <si>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</si>
  <si>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</si>
  <si>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</si>
  <si>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</si>
  <si>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</si>
  <si>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</si>
  <si>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</si>
  <si>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</si>
  <si>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</si>
  <si>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</si>
  <si>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</si>
  <si>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</si>
  <si>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</si>
  <si>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</si>
  <si>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</si>
  <si>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</si>
  <si>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</si>
  <si>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</si>
  <si>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</si>
  <si>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</si>
  <si>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</si>
  <si>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</si>
  <si>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</si>
  <si>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</si>
  <si>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</si>
  <si>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</si>
  <si>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</si>
  <si>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</si>
  <si>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</si>
  <si>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</si>
  <si>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</si>
  <si>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</si>
  <si>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</si>
  <si>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</si>
  <si>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</si>
  <si>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</si>
  <si>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</si>
  <si>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</si>
  <si>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</si>
  <si>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</si>
  <si>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</si>
  <si>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</si>
  <si>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</si>
  <si>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</si>
  <si>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</si>
  <si>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</si>
  <si>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</si>
  <si>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</si>
  <si>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</si>
  <si>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</si>
  <si>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</si>
  <si>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</si>
  <si>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</si>
  <si>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</si>
  <si>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</si>
  <si>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</si>
  <si>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</si>
  <si>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</si>
  <si>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</si>
  <si>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</si>
  <si>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</si>
  <si>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</si>
  <si>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</si>
  <si>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</si>
  <si>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</si>
  <si>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</si>
  <si>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</si>
  <si>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</si>
  <si>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</si>
  <si>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</si>
  <si>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</si>
  <si>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</si>
  <si>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</si>
  <si>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</si>
  <si>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</si>
  <si>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</si>
  <si>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</si>
  <si>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</si>
  <si>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</si>
  <si>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</si>
  <si>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</si>
  <si>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</si>
  <si>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</si>
  <si>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</si>
  <si>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</si>
  <si>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</si>
  <si>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</si>
  <si>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</si>
  <si>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</si>
  <si>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</si>
  <si>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</si>
  <si>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</si>
  <si>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</si>
  <si>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</si>
  <si>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</si>
  <si>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</si>
  <si>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</si>
  <si>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</si>
  <si>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</si>
  <si>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</si>
  <si>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</si>
  <si>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</si>
  <si>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</si>
  <si>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</si>
  <si>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</si>
  <si>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</si>
  <si>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</si>
  <si>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</si>
  <si>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</si>
  <si>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</si>
  <si>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</si>
  <si>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</si>
  <si>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</si>
  <si>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</si>
  <si>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</si>
  <si>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</si>
  <si>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</si>
  <si>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</si>
  <si>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</si>
  <si>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</si>
  <si>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</si>
  <si>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</si>
  <si>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</si>
  <si>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</si>
  <si>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</si>
  <si>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</si>
  <si>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</si>
  <si>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</si>
  <si>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</si>
  <si>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</si>
  <si>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</si>
  <si>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</si>
  <si>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</si>
  <si>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</si>
  <si>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</si>
  <si>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</si>
  <si>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</si>
  <si>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</si>
  <si>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</si>
  <si>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</si>
  <si>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</si>
  <si>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</si>
  <si>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</si>
  <si>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</si>
  <si>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</si>
  <si>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</si>
  <si>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</si>
  <si>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</si>
  <si>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</si>
  <si>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</si>
  <si>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</si>
  <si>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</si>
  <si>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</si>
  <si>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</si>
  <si>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</si>
  <si>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</si>
  <si>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</si>
  <si>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</si>
  <si>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</si>
  <si>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</si>
  <si>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</si>
  <si>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</si>
  <si>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</si>
  <si>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</si>
  <si>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</si>
  <si>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</si>
  <si>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</si>
  <si>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</si>
  <si>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</si>
  <si>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</si>
  <si>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</si>
  <si>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</si>
  <si>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</si>
  <si>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</si>
  <si>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</si>
  <si>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</si>
  <si>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</si>
  <si>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</si>
  <si>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</si>
  <si>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</si>
  <si>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</si>
  <si>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</si>
  <si>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</si>
  <si>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</si>
  <si>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</si>
  <si>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</si>
  <si>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</si>
  <si>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</si>
  <si>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</si>
  <si>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</si>
  <si>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</si>
  <si>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</si>
  <si>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</si>
  <si>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</si>
  <si>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</si>
  <si>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</si>
  <si>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</si>
  <si>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</si>
  <si>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</si>
  <si>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</si>
  <si>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</si>
  <si>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</si>
  <si>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</si>
  <si>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</si>
  <si>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</si>
  <si>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</si>
  <si>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</si>
  <si>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</si>
  <si>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</si>
  <si>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</si>
  <si>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</si>
  <si>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</si>
  <si>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</si>
  <si>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</si>
  <si>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</si>
  <si>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</si>
  <si>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</si>
  <si>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</si>
  <si>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</si>
  <si>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</si>
  <si>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</si>
  <si>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</si>
  <si>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</si>
  <si>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</si>
  <si>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</si>
  <si>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</si>
  <si>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</si>
  <si>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</si>
  <si>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</si>
  <si>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</si>
  <si>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</si>
  <si>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</si>
  <si>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</si>
  <si>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</si>
  <si>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</si>
  <si>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</si>
  <si>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</si>
  <si>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</si>
  <si>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</si>
  <si>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</si>
  <si>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</si>
  <si>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</si>
  <si>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</si>
  <si>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</si>
  <si>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</si>
  <si>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</si>
  <si>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</si>
  <si>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</si>
  <si>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</si>
  <si>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</si>
  <si>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</si>
  <si>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</si>
  <si>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</si>
  <si>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</si>
  <si>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</si>
  <si>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</si>
  <si>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</si>
  <si>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</si>
  <si>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</si>
  <si>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</si>
  <si>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</si>
  <si>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</si>
  <si>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</si>
  <si>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</si>
  <si>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</si>
  <si>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</si>
  <si>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</si>
  <si>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</si>
  <si>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</si>
  <si>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</si>
  <si>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</si>
  <si>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</si>
  <si>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</si>
  <si>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</si>
  <si>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</si>
  <si>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</si>
  <si>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</si>
  <si>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</si>
  <si>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</si>
  <si>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</si>
  <si>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</si>
  <si>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</si>
  <si>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</si>
  <si>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</si>
  <si>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</si>
  <si>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</si>
  <si>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</si>
  <si>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</si>
  <si>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</si>
  <si>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</si>
  <si>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</si>
  <si>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</si>
  <si>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</si>
  <si>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</si>
  <si>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</si>
  <si>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</si>
  <si>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</si>
  <si>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</si>
  <si>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</si>
  <si>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</si>
  <si>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</si>
  <si>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</si>
  <si>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</si>
  <si>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</si>
  <si>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</si>
  <si>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</si>
  <si>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</si>
  <si>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</si>
  <si>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</si>
  <si>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</si>
  <si>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</si>
  <si>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</si>
  <si>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</si>
  <si>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</si>
  <si>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</si>
  <si>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</si>
  <si>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</si>
  <si>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</si>
  <si>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</si>
  <si>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</si>
  <si>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</si>
  <si>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</si>
  <si>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</si>
  <si>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</si>
  <si>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</si>
  <si>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</si>
  <si>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</si>
  <si>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</si>
  <si>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</si>
  <si>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</si>
  <si>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</si>
  <si>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</si>
  <si>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</si>
  <si>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</si>
  <si>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</si>
  <si>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</si>
  <si>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</si>
  <si>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</si>
  <si>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</si>
  <si>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</si>
  <si>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</si>
  <si>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</si>
  <si>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</si>
  <si>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</si>
  <si>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</si>
  <si>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</si>
  <si>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</si>
  <si>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</si>
  <si>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</si>
  <si>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</si>
  <si>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</si>
  <si>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</si>
  <si>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</si>
  <si>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</si>
  <si>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</si>
  <si>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</si>
  <si>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</si>
  <si>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</si>
  <si>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</si>
  <si>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</si>
  <si>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</si>
  <si>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</si>
  <si>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</si>
  <si>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</si>
  <si>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</si>
  <si>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</si>
  <si>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</si>
  <si>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</si>
  <si>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</si>
  <si>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</si>
  <si>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</si>
  <si>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</si>
  <si>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</si>
  <si>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</si>
  <si>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</si>
  <si>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</si>
  <si>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</si>
  <si>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</si>
  <si>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</si>
  <si>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</si>
  <si>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</si>
  <si>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</si>
  <si>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</si>
  <si>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</si>
  <si>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</si>
  <si>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</si>
  <si>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</si>
  <si>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</si>
  <si>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</si>
  <si>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</si>
  <si>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</si>
  <si>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</si>
  <si>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</si>
  <si>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</si>
  <si>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</si>
  <si>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</si>
  <si>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</si>
  <si>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</si>
  <si>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</si>
  <si>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</si>
  <si>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</si>
  <si>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</si>
  <si>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</si>
  <si>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</si>
  <si>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</si>
  <si>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</si>
  <si>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</si>
  <si>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</si>
  <si>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</si>
  <si>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</si>
  <si>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</si>
  <si>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</si>
  <si>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</si>
  <si>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</si>
  <si>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</si>
  <si>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</si>
  <si>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</si>
  <si>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</si>
  <si>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</si>
  <si>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</si>
  <si>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</si>
  <si>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</si>
  <si>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</si>
  <si>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</si>
  <si>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</si>
  <si>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</si>
  <si>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</si>
  <si>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</si>
  <si>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</si>
  <si>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</si>
  <si>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</si>
  <si>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</si>
  <si>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</si>
  <si>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</si>
  <si>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</si>
  <si>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</si>
  <si>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</si>
  <si>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</si>
  <si>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</si>
  <si>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</si>
  <si>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</si>
  <si>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</si>
  <si>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</si>
  <si>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</si>
  <si>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</si>
  <si>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</si>
  <si>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</si>
  <si>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</si>
  <si>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</si>
  <si>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</si>
  <si>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</si>
  <si>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</si>
  <si>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</si>
  <si>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</si>
  <si>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</si>
  <si>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</si>
  <si>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</si>
  <si>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</si>
  <si>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</si>
  <si>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</si>
  <si>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</si>
  <si>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</si>
  <si>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</si>
  <si>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</si>
  <si>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</si>
  <si>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</si>
  <si>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</si>
  <si>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</si>
  <si>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</si>
  <si>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</si>
  <si>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</si>
  <si>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</si>
  <si>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</si>
  <si>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</si>
  <si>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</si>
  <si>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</si>
  <si>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</si>
  <si>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</si>
  <si>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</si>
  <si>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</si>
  <si>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</si>
  <si>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</si>
  <si>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</si>
  <si>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</si>
  <si>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</si>
  <si>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</si>
  <si>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</si>
  <si>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</si>
  <si>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</si>
  <si>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</si>
  <si>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</si>
  <si>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</si>
  <si>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</si>
  <si>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</si>
  <si>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</si>
  <si>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</si>
  <si>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</si>
  <si>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</si>
  <si>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</si>
  <si>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</si>
  <si>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</si>
  <si>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</si>
  <si>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</si>
  <si>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</si>
  <si>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</si>
  <si>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</si>
  <si>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</si>
  <si>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</si>
  <si>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</si>
  <si>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</si>
  <si>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</si>
  <si>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</si>
  <si>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</si>
  <si>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</si>
  <si>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</si>
  <si>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</si>
  <si>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</si>
  <si>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</si>
  <si>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</si>
  <si>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</si>
  <si>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</si>
  <si>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</si>
  <si>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</si>
  <si>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</si>
  <si>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</si>
  <si>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</si>
  <si>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</si>
  <si>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</si>
  <si>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</si>
  <si>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</si>
  <si>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</si>
  <si>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</si>
  <si>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</si>
  <si>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</si>
  <si>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</si>
  <si>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</si>
  <si>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</si>
  <si>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</si>
  <si>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</si>
  <si>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</si>
  <si>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</si>
  <si>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</si>
  <si>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</si>
  <si>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</si>
  <si>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</si>
  <si>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</si>
  <si>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</si>
  <si>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</si>
  <si>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</si>
  <si>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</si>
  <si>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</si>
  <si>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</si>
  <si>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</si>
  <si>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</si>
  <si>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</si>
  <si>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</si>
  <si>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</si>
  <si>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</si>
  <si>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</si>
  <si>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</si>
  <si>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FACTION</t>
  </si>
  <si>
    <t>ARMOR</t>
  </si>
  <si>
    <t>Grineer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</si>
  <si>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</si>
  <si>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</si>
  <si>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</si>
  <si>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</si>
  <si>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</si>
  <si>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</si>
  <si>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</si>
  <si>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</si>
  <si>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</si>
  <si>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</si>
  <si>
    <t>Faction Resistance/Weakness</t>
  </si>
  <si>
    <t>Final Damage Values (Faction+Armor/Shield/Overguard Modifiers)</t>
  </si>
  <si>
    <t>N/A</t>
  </si>
  <si>
    <t>Enemy Armor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</si>
</sst>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4" formatCode="0.000000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/>
    <xf numFmtId="17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30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305" dataDxfId="304">
  <autoFilter ref="A3:R4" xr:uid="{3A90822B-393F-4049-A399-753E70DCCA96}"/>
  <tableColumns count="18">
    <tableColumn id="1" xr3:uid="{480EAED2-C7A5-4D36-9D6E-17AC741D81F6}" name="WEAPON" dataDxfId="303" totalsRowDxfId="302"/>
    <tableColumn id="2" xr3:uid="{0D944825-FE74-4F70-B006-3A17ADFDFF23}" name="QUANTA" dataDxfId="301" totalsRowDxfId="300">
      <calculatedColumnFormula>BaseValues[[#This Row],[TOTAL]]/16</calculatedColumnFormula>
    </tableColumn>
    <tableColumn id="3" xr3:uid="{CC66DE8B-0DBC-486A-900A-51E3C9793CEF}" name="IMPACT" dataDxfId="299" totalsRowDxfId="298">
      <calculatedColumnFormula>_xlfn.XLOOKUP(BaseValues[[#This Row],[WEAPON]],WeaponData[WEAPON],WeaponData[IMPACT],0)</calculatedColumnFormula>
    </tableColumn>
    <tableColumn id="4" xr3:uid="{3131F927-7E6B-4AE6-8ABB-5A7E1D1668F6}" name="PUNC" dataDxfId="297" totalsRowDxfId="296">
      <calculatedColumnFormula>_xlfn.XLOOKUP(BaseValues[[#This Row],[WEAPON]],WeaponData[WEAPON],WeaponData[PUNC],0)</calculatedColumnFormula>
    </tableColumn>
    <tableColumn id="5" xr3:uid="{F2B5E26A-E038-49C0-958A-756017C34492}" name="SLASH" dataDxfId="295" totalsRowDxfId="294">
      <calculatedColumnFormula>_xlfn.XLOOKUP(BaseValues[[#This Row],[WEAPON]],WeaponData[WEAPON],WeaponData[SLASH],0)</calculatedColumnFormula>
    </tableColumn>
    <tableColumn id="6" xr3:uid="{721C2421-5FAF-4E69-B0A3-5F078DD41796}" name="HEAT" dataDxfId="293" totalsRowDxfId="292">
      <calculatedColumnFormula>_xlfn.XLOOKUP(BaseValues[[#This Row],[WEAPON]],WeaponData[WEAPON],WeaponData[HEAT],0)</calculatedColumnFormula>
    </tableColumn>
    <tableColumn id="7" xr3:uid="{75496494-478C-483A-8F62-7A3D5277E75F}" name="COLD" dataDxfId="291" totalsRowDxfId="290">
      <calculatedColumnFormula>_xlfn.XLOOKUP(BaseValues[[#This Row],[WEAPON]],WeaponData[WEAPON],WeaponData[COLD],0)</calculatedColumnFormula>
    </tableColumn>
    <tableColumn id="8" xr3:uid="{309D4709-0D36-4191-A5A5-6C8045D4F2B5}" name="ELEC" dataDxfId="289" totalsRowDxfId="288">
      <calculatedColumnFormula>_xlfn.XLOOKUP(BaseValues[[#This Row],[WEAPON]],WeaponData[WEAPON],WeaponData[ELEC],0)</calculatedColumnFormula>
    </tableColumn>
    <tableColumn id="9" xr3:uid="{ED125659-FE3E-494D-AEE4-DEEBFA0C570C}" name="TOXIN" dataDxfId="287" totalsRowDxfId="286">
      <calculatedColumnFormula>_xlfn.XLOOKUP(BaseValues[[#This Row],[WEAPON]],WeaponData[WEAPON],WeaponData[TOXIN],0)</calculatedColumnFormula>
    </tableColumn>
    <tableColumn id="12" xr3:uid="{674EE424-CAEA-4644-8FEF-783CBB3DC6C7}" name="BLAST" dataDxfId="285" totalsRowDxfId="284">
      <calculatedColumnFormula>_xlfn.XLOOKUP(BaseValues[[#This Row],[WEAPON]],WeaponData[WEAPON],WeaponData[BLAST],0)</calculatedColumnFormula>
    </tableColumn>
    <tableColumn id="16" xr3:uid="{DF70299C-5C96-4411-9C8C-99C3B18F5A8D}" name="RAD" dataDxfId="283" totalsRowDxfId="282">
      <calculatedColumnFormula>_xlfn.XLOOKUP(BaseValues[[#This Row],[WEAPON]],WeaponData[WEAPON],WeaponData[RAD],0)</calculatedColumnFormula>
    </tableColumn>
    <tableColumn id="14" xr3:uid="{46AE3FDE-0B2C-4C8E-9561-EA42FF8091B1}" name="GAS" dataDxfId="281" totalsRowDxfId="280">
      <calculatedColumnFormula>_xlfn.XLOOKUP(BaseValues[[#This Row],[WEAPON]],WeaponData[WEAPON],WeaponData[GAS],0)</calculatedColumnFormula>
    </tableColumn>
    <tableColumn id="15" xr3:uid="{56AA859D-AD50-41FC-B6D1-77B139205600}" name="MAG" dataDxfId="279" totalsRowDxfId="278">
      <calculatedColumnFormula>_xlfn.XLOOKUP(BaseValues[[#This Row],[WEAPON]],WeaponData[WEAPON],WeaponData[MAG],0)</calculatedColumnFormula>
    </tableColumn>
    <tableColumn id="17" xr3:uid="{6D015471-048E-424D-997E-E6D9B839B49A}" name="VIRAL" dataDxfId="277" totalsRowDxfId="276">
      <calculatedColumnFormula>_xlfn.XLOOKUP(BaseValues[[#This Row],[WEAPON]],WeaponData[WEAPON],WeaponData[VIRAL],0)</calculatedColumnFormula>
    </tableColumn>
    <tableColumn id="13" xr3:uid="{A7FF00A7-4D37-4253-8508-2AC03C464FE6}" name="CORR" dataDxfId="275" totalsRowDxfId="274">
      <calculatedColumnFormula>_xlfn.XLOOKUP(BaseValues[[#This Row],[WEAPON]],WeaponData[WEAPON],WeaponData[CORR],0)</calculatedColumnFormula>
    </tableColumn>
    <tableColumn id="10" xr3:uid="{CA7D12EF-1742-4627-8108-03659E5F3EEA}" name="VOID" dataDxfId="273" totalsRowDxfId="272">
      <calculatedColumnFormula>_xlfn.XLOOKUP(BaseValues[[#This Row],[WEAPON]],WeaponData[WEAPON],WeaponData[VOID],0)</calculatedColumnFormula>
    </tableColumn>
    <tableColumn id="18" xr3:uid="{7E1E9929-0FBC-4207-8B80-F3C8EAC2A92C}" name="TOTAL" dataDxfId="271" totalsRowDxfId="270">
      <calculatedColumnFormula>SUM(BaseValues[[#This Row],[IMPACT]:[VOID]])</calculatedColumnFormula>
    </tableColumn>
    <tableColumn id="11" xr3:uid="{F9AAC047-B8B4-4E8F-8F0F-348623281921}" name="RTOTAL" dataDxfId="269" totalsRowDxfId="268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267" dataDxfId="266">
  <autoFilter ref="A7:R8" xr:uid="{DBD27117-B79D-4E40-9835-D353C0C6E1AA}"/>
  <tableColumns count="18">
    <tableColumn id="1" xr3:uid="{529A0FD5-F34F-40B0-B961-CBAD530BD7CB}" name="WEAPON" dataDxfId="265" totalsRowDxfId="264">
      <calculatedColumnFormula array="1">BaseValues[WEAPON]</calculatedColumnFormula>
    </tableColumn>
    <tableColumn id="2" xr3:uid="{A7692FE2-B64E-48A3-BC5C-17DA27FF06BA}" name="QUANTA" dataDxfId="263" totalsRowDxfId="262">
      <calculatedColumnFormula array="1">ROUND(BaseValues[QUANTA],2)</calculatedColumnFormula>
    </tableColumn>
    <tableColumn id="3" xr3:uid="{C4A903CA-AAA8-4EF6-B25B-8C836F01631F}" name="IMPACT" dataDxfId="261" totalsRowDxfId="260"/>
    <tableColumn id="4" xr3:uid="{AAE8B413-770B-4E89-A313-EA350BD4A3E4}" name="PUNC" dataDxfId="259" totalsRowDxfId="258"/>
    <tableColumn id="5" xr3:uid="{11EABA99-2A29-4C7F-84D9-D9A2D96B55E1}" name="SLASH" dataDxfId="257" totalsRowDxfId="256"/>
    <tableColumn id="6" xr3:uid="{84D7162E-7FEF-404F-BF4A-3B7A4B7ED6DD}" name="HEAT" dataDxfId="255" totalsRowDxfId="254"/>
    <tableColumn id="7" xr3:uid="{052B6454-13AA-4C50-A9D8-0CC7E9CD641E}" name="COLD" dataDxfId="253" totalsRowDxfId="252">
      <calculatedColumnFormula>1.65</calculatedColumnFormula>
    </tableColumn>
    <tableColumn id="8" xr3:uid="{A2EA1F2A-9869-4DD7-8F7A-0825C933B7F7}" name="ELEC" dataDxfId="251" totalsRowDxfId="250"/>
    <tableColumn id="9" xr3:uid="{BA6CCDCD-09A3-4D8D-A2C4-8698AE5E4636}" name="TOXIN" dataDxfId="249" totalsRowDxfId="248"/>
    <tableColumn id="12" xr3:uid="{C95C9C6B-A60F-45F3-97F1-CEC8D900634C}" name="BLAST" dataDxfId="247" totalsRowDxfId="246"/>
    <tableColumn id="16" xr3:uid="{56722A68-1E3A-4DE8-ADC2-B71B4350E862}" name="RAD" dataDxfId="245" totalsRowDxfId="244"/>
    <tableColumn id="14" xr3:uid="{56F3584A-EA87-4E02-8FE8-B726026F29E5}" name="GAS" dataDxfId="243" totalsRowDxfId="242"/>
    <tableColumn id="15" xr3:uid="{5864FC43-9D2E-4019-B834-31907DC7D950}" name="MAG" dataDxfId="241" totalsRowDxfId="240"/>
    <tableColumn id="17" xr3:uid="{C9BCB6FF-C065-4BA8-ABDA-56DA218EABE8}" name="VIRAL" dataDxfId="239" totalsRowDxfId="238"/>
    <tableColumn id="13" xr3:uid="{D5D8398F-2F0D-4E27-8680-49FACEB5957A}" name="CORR" dataDxfId="237" totalsRowDxfId="236"/>
    <tableColumn id="10" xr3:uid="{975DFB64-F9FD-4099-95BF-E3092C6B22BB}" name="VOID" dataDxfId="235" totalsRowDxfId="234"/>
    <tableColumn id="18" xr3:uid="{32E28DB2-CDCB-4A77-94C9-342107F1DEE8}" name="TRUE" dataDxfId="233" totalsRowDxfId="232">
      <calculatedColumnFormula>1.65+1.65</calculatedColumnFormula>
    </tableColumn>
    <tableColumn id="11" xr3:uid="{B92A3A33-90F6-4A23-9B53-AC54E17113D9}" name="BANE" dataDxfId="231" totalsRowDxfId="230">
      <calculatedColumnFormula>1.05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ArmorMOD" displayName="ArmorMOD" ref="A15:R16" headerRowDxfId="229" dataDxfId="228">
  <autoFilter ref="A15:R16" xr:uid="{DF560950-92C3-4D0A-A7F2-60F81B19C513}"/>
  <tableColumns count="18">
    <tableColumn id="1" xr3:uid="{671E3145-786C-4F7D-A446-1EDB990019AE}" name="ARMOR" dataDxfId="15" totalsRowDxfId="227"/>
    <tableColumn id="2" xr3:uid="{B0B4F0B8-D874-4975-8E6E-B2F4BAFAE573}" name="QUANTA" dataDxfId="16" totalsRowDxfId="226">
      <calculatedColumnFormula array="1">BaseValues[QUANTA]</calculatedColumnFormula>
    </tableColumn>
    <tableColumn id="3" xr3:uid="{820B1EE7-44D5-454F-B882-E0CA6ADE5009}" name="IMPACT" dataDxfId="14" totalsRowDxfId="225">
      <calculatedColumnFormula array="1">0.9*SQRT(ArmorMOD[[ARMOR]:[ARMOR]]/2700)</calculatedColumnFormula>
    </tableColumn>
    <tableColumn id="4" xr3:uid="{7BD067DC-C3B7-4E7E-B644-08A3D1E308D8}" name="PUNC" dataDxfId="13" totalsRowDxfId="224">
      <calculatedColumnFormula array="1">0.9*SQRT(ArmorMOD[[ARMOR]:[ARMOR]]/2700)</calculatedColumnFormula>
    </tableColumn>
    <tableColumn id="5" xr3:uid="{D1B78B54-BD2D-402A-900E-A63E2679B302}" name="SLASH" dataDxfId="12" totalsRowDxfId="223">
      <calculatedColumnFormula array="1">0.9*SQRT(ArmorMOD[[ARMOR]:[ARMOR]]/2700)</calculatedColumnFormula>
    </tableColumn>
    <tableColumn id="6" xr3:uid="{A1A37641-5080-4BDA-865D-901B31960187}" name="HEAT" dataDxfId="11" totalsRowDxfId="222">
      <calculatedColumnFormula array="1">0.9*SQRT(ArmorMOD[[ARMOR]:[ARMOR]]/2700)</calculatedColumnFormula>
    </tableColumn>
    <tableColumn id="7" xr3:uid="{43D72337-DA51-4953-9636-5CB3F71E881E}" name="COLD" dataDxfId="10" totalsRowDxfId="221">
      <calculatedColumnFormula array="1">0.9*SQRT(ArmorMOD[[ARMOR]:[ARMOR]]/2700)</calculatedColumnFormula>
    </tableColumn>
    <tableColumn id="8" xr3:uid="{315EA1B2-555C-408D-9DAE-28062A286BD9}" name="ELEC" dataDxfId="9" totalsRowDxfId="220">
      <calculatedColumnFormula array="1">0.9*SQRT(ArmorMOD[[ARMOR]:[ARMOR]]/2700)</calculatedColumnFormula>
    </tableColumn>
    <tableColumn id="9" xr3:uid="{F32CBBBF-DB70-415F-A773-2E7974B6A1C5}" name="TOXIN" dataDxfId="8" totalsRowDxfId="219">
      <calculatedColumnFormula array="1">0.9*SQRT(ArmorMOD[[ARMOR]:[ARMOR]]/2700)</calculatedColumnFormula>
    </tableColumn>
    <tableColumn id="12" xr3:uid="{60428664-E2CD-4C78-834F-3B99EB30846E}" name="BLAST" dataDxfId="7" totalsRowDxfId="218">
      <calculatedColumnFormula array="1">0.9*SQRT(ArmorMOD[[ARMOR]:[ARMOR]]/2700)</calculatedColumnFormula>
    </tableColumn>
    <tableColumn id="16" xr3:uid="{D1837C78-78AD-4692-AD44-31C0B068B869}" name="RAD" dataDxfId="6" totalsRowDxfId="217">
      <calculatedColumnFormula array="1">0.9*SQRT(ArmorMOD[[ARMOR]:[ARMOR]]/2700)</calculatedColumnFormula>
    </tableColumn>
    <tableColumn id="14" xr3:uid="{7DFC35B2-4706-4AE3-A96B-F2996065D7AA}" name="GAS" dataDxfId="5" totalsRowDxfId="216">
      <calculatedColumnFormula array="1">0.9*SQRT(ArmorMOD[[ARMOR]:[ARMOR]]/2700)</calculatedColumnFormula>
    </tableColumn>
    <tableColumn id="15" xr3:uid="{EABEFAC6-21A0-4D0D-814B-53DDA09F13FC}" name="MAG" dataDxfId="4" totalsRowDxfId="215">
      <calculatedColumnFormula array="1">0.9*SQRT(ArmorMOD[[ARMOR]:[ARMOR]]/2700)</calculatedColumnFormula>
    </tableColumn>
    <tableColumn id="17" xr3:uid="{48811309-731B-4D3E-A293-AB918E5AAA84}" name="VIRAL" dataDxfId="3" totalsRowDxfId="214">
      <calculatedColumnFormula array="1">0.9*SQRT(ArmorMOD[[ARMOR]:[ARMOR]]/2700)</calculatedColumnFormula>
    </tableColumn>
    <tableColumn id="13" xr3:uid="{F998E0FF-9584-4053-837A-904C51049020}" name="CORR" dataDxfId="2" totalsRowDxfId="213">
      <calculatedColumnFormula array="1">0.9*SQRT(ArmorMOD[[ARMOR]:[ARMOR]]/2700)</calculatedColumnFormula>
    </tableColumn>
    <tableColumn id="10" xr3:uid="{CD2C3678-91F6-4E1B-8EF0-883C6054EF09}" name="VOID" dataDxfId="1" totalsRowDxfId="212">
      <calculatedColumnFormula array="1">0.9*SQRT(ArmorMOD[[ARMOR]:[ARMOR]]/2700)</calculatedColumnFormula>
    </tableColumn>
    <tableColumn id="18" xr3:uid="{7A74E9AA-727D-4FFF-9F30-8F0F56BC2768}" name="TRUE" dataDxfId="0" totalsRowDxfId="211">
      <calculatedColumnFormula array="1">0.9*SQRT(ArmorMOD[[ARMOR]:[ARMOR]]/2700)</calculatedColumnFormula>
    </tableColumn>
    <tableColumn id="11" xr3:uid="{5C60F2E0-0138-498F-A8DB-5617FA243647}" name="N/A" dataDxfId="210" totalsRowDxfId="20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FactionInfo" displayName="FactionInfo" ref="A11:R12" headerRowDxfId="208" dataDxfId="207">
  <autoFilter ref="A11:R12" xr:uid="{33439077-51FD-4559-8B14-6F06E30499DC}"/>
  <tableColumns count="18">
    <tableColumn id="1" xr3:uid="{50793B86-0EAA-4E83-9090-5DBB5B21F946}" name="FACTION" dataDxfId="19" totalsRowDxfId="206"/>
    <tableColumn id="19" xr3:uid="{E4CB4029-BA21-42B5-AE1D-02800EDC2F29}" name="QUANTA" dataDxfId="17" totalsRowDxfId="21">
      <calculatedColumnFormula array="1">BaseValues[QUANTA]</calculatedColumnFormula>
    </tableColumn>
    <tableColumn id="2" xr3:uid="{36C8BF1C-CC94-401F-B42D-2D3269163FFD}" name="IMPACT" dataDxfId="18" totalsRowDxfId="205">
      <calculatedColumnFormula array="1">_xlfn.XLOOKUP(FactionInfo[[#This Row],[FACTION]],FactionData[[FACTION]:[FACTION]],FactionData[IMPACT],0)</calculatedColumnFormula>
    </tableColumn>
    <tableColumn id="3" xr3:uid="{B3C27D35-2706-44F6-9555-61B0F6D4D443}" name="PUNC" dataDxfId="204" totalsRowDxfId="203">
      <calculatedColumnFormula array="1">_xlfn.XLOOKUP(FactionInfo[[#This Row],[FACTION]],FactionData[[FACTION]:[FACTION]],FactionData[PUNC],0)</calculatedColumnFormula>
    </tableColumn>
    <tableColumn id="4" xr3:uid="{F4D9A0A6-331D-4C9E-8559-E12ADA934C29}" name="SLASH" dataDxfId="202" totalsRowDxfId="201">
      <calculatedColumnFormula array="1">_xlfn.XLOOKUP(FactionInfo[[#This Row],[FACTION]],FactionData[[FACTION]:[FACTION]],FactionData[SLASH],0)</calculatedColumnFormula>
    </tableColumn>
    <tableColumn id="5" xr3:uid="{8D7976C5-E488-4AA2-ACD3-D6DDE095234E}" name="HEAT" dataDxfId="200" totalsRowDxfId="199">
      <calculatedColumnFormula array="1">_xlfn.XLOOKUP(FactionInfo[[#This Row],[FACTION]],FactionData[[FACTION]:[FACTION]],FactionData[HEAT],0)</calculatedColumnFormula>
    </tableColumn>
    <tableColumn id="6" xr3:uid="{43B2A855-43EA-4B5B-8C4C-094A90C18621}" name="COLD" dataDxfId="198" totalsRowDxfId="197">
      <calculatedColumnFormula array="1">_xlfn.XLOOKUP(FactionInfo[[#This Row],[FACTION]],FactionData[[FACTION]:[FACTION]],FactionData[COLD],0)</calculatedColumnFormula>
    </tableColumn>
    <tableColumn id="7" xr3:uid="{6AA8E83E-0886-4124-A605-69018B4F5CAF}" name="ELEC" dataDxfId="196" totalsRowDxfId="195">
      <calculatedColumnFormula array="1">_xlfn.XLOOKUP(FactionInfo[[#This Row],[FACTION]],FactionData[[FACTION]:[FACTION]],FactionData[ELEC],0)</calculatedColumnFormula>
    </tableColumn>
    <tableColumn id="8" xr3:uid="{F21013A1-0463-4784-8F50-C75F499DC529}" name="TOXIN" dataDxfId="194" totalsRowDxfId="193">
      <calculatedColumnFormula array="1">_xlfn.XLOOKUP(FactionInfo[[#This Row],[FACTION]],FactionData[[FACTION]:[FACTION]],FactionData[TOXIN],0)</calculatedColumnFormula>
    </tableColumn>
    <tableColumn id="9" xr3:uid="{7C0675A0-5B90-4CFB-8016-1689CEA25FBF}" name="BLAST" dataDxfId="192" totalsRowDxfId="191">
      <calculatedColumnFormula array="1">_xlfn.XLOOKUP(FactionInfo[[#This Row],[FACTION]],FactionData[[FACTION]:[FACTION]],FactionData[BLAST],0)</calculatedColumnFormula>
    </tableColumn>
    <tableColumn id="12" xr3:uid="{007D653B-B2A6-4041-8996-772F81DB6561}" name="RAD" dataDxfId="190" totalsRowDxfId="189">
      <calculatedColumnFormula array="1">_xlfn.XLOOKUP(FactionInfo[[#This Row],[FACTION]],FactionData[[FACTION]:[FACTION]],FactionData[RAD],0)</calculatedColumnFormula>
    </tableColumn>
    <tableColumn id="16" xr3:uid="{2A40495D-CF10-4CDD-8A1F-BAF58636960B}" name="GAS" dataDxfId="188" totalsRowDxfId="187">
      <calculatedColumnFormula array="1">_xlfn.XLOOKUP(FactionInfo[[#This Row],[FACTION]],FactionData[[FACTION]:[FACTION]],FactionData[GAS],0)</calculatedColumnFormula>
    </tableColumn>
    <tableColumn id="14" xr3:uid="{A077F0FA-0095-4F42-8CCD-4A6AFEE1497D}" name="MAG" dataDxfId="186" totalsRowDxfId="185">
      <calculatedColumnFormula array="1">_xlfn.XLOOKUP(FactionInfo[[#This Row],[FACTION]],FactionData[[FACTION]:[FACTION]],FactionData[MAG],0)</calculatedColumnFormula>
    </tableColumn>
    <tableColumn id="15" xr3:uid="{F197187F-7A72-4C14-9448-D512903A219C}" name="VIRAL" dataDxfId="184" totalsRowDxfId="183">
      <calculatedColumnFormula array="1">_xlfn.XLOOKUP(FactionInfo[[#This Row],[FACTION]],FactionData[[FACTION]:[FACTION]],FactionData[VIRAL],0)</calculatedColumnFormula>
    </tableColumn>
    <tableColumn id="17" xr3:uid="{533D1553-B264-4101-90A0-3D5A41D8823A}" name="CORR" dataDxfId="182" totalsRowDxfId="181">
      <calculatedColumnFormula array="1">_xlfn.XLOOKUP(FactionInfo[[#This Row],[FACTION]],FactionData[[FACTION]:[FACTION]],FactionData[CORR],0)</calculatedColumnFormula>
    </tableColumn>
    <tableColumn id="13" xr3:uid="{06B09C28-FDE1-46A2-A686-1C1EFFBF8378}" name="VOID" dataDxfId="180" totalsRowDxfId="179">
      <calculatedColumnFormula array="1">_xlfn.XLOOKUP(FactionInfo[[#This Row],[FACTION]],FactionData[[FACTION]:[FACTION]],FactionData[VOID],0)</calculatedColumnFormula>
    </tableColumn>
    <tableColumn id="10" xr3:uid="{41483E7F-0438-4FC7-9E0B-B716FB082799}" name="TRUE" dataDxfId="178" totalsRowDxfId="177">
      <calculatedColumnFormula array="1">_xlfn.XLOOKUP(FactionInfo[[#This Row],[FACTION]],FactionData[[FACTION]:[FACTION]],FactionData[TRUE],0)</calculatedColumnFormula>
    </tableColumn>
    <tableColumn id="18" xr3:uid="{D8377947-8CEF-420C-8745-309F9FB90C5D}" name="N/A" dataDxfId="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1B14C7-2ACB-4B3E-AA21-8F8E1E7CF94C}" name="FinalDMG" displayName="FinalDMG" ref="A27:R28" headerRowDxfId="135" dataDxfId="134">
  <autoFilter ref="A27:R28" xr:uid="{DF1B14C7-2ACB-4B3E-AA21-8F8E1E7CF94C}"/>
  <tableColumns count="18">
    <tableColumn id="1" xr3:uid="{7661EA6C-BC60-4D05-9C1F-15981BA8A98B}" name="WEAPON" dataDxfId="132" totalsRowDxfId="133">
      <calculatedColumnFormula array="1">BaseValues[WEAPON]</calculatedColumnFormula>
    </tableColumn>
    <tableColumn id="2" xr3:uid="{678F054E-0F50-40A3-AC06-8A6A5EC603EB}" name="QUANTA" dataDxfId="130" totalsRowDxfId="131">
      <calculatedColumnFormula array="1">BaseValues[QUANTA]</calculatedColumnFormula>
    </tableColumn>
    <tableColumn id="3" xr3:uid="{57208F39-B1F7-439C-B127-5E5FCED00286}" name="IMPACT" dataDxfId="128" totalsRowDxfId="129">
      <calculatedColumnFormula array="1">ROUND(ROUND(ROUND(BaseValues[IMPACT]*(1+ModValues[IMPACT])/BaseValues[[QUANTA]:[QUANTA]],0)*BaseValues[[QUANTA]:[QUANTA]],3)*(FactionInfo[IMPACT]-ArmorMOD[IMPACT]),3)</calculatedColumnFormula>
    </tableColumn>
    <tableColumn id="4" xr3:uid="{5C8E0E9A-C0F9-48A8-BB2C-B3939E7DAC14}" name="PUNC" dataDxfId="126" totalsRowDxfId="127">
      <calculatedColumnFormula array="1">ROUND(ROUND(BaseValues[PUNC]*(1+ModValues[PUNC])/BaseValues[[QUANTA]:[QUANTA]],0)*BaseValues[[QUANTA]:[QUANTA]],3)*(FactionInfo[PUNC]-ArmorMOD[PUNC])</calculatedColumnFormula>
    </tableColumn>
    <tableColumn id="5" xr3:uid="{8857454B-4E73-4A30-AD30-CF8C77B4C644}" name="SLASH" dataDxfId="124" totalsRowDxfId="125">
      <calculatedColumnFormula array="1">ROUND(ROUND(ROUND(BaseValues[SLASH]*(1+ModValues[SLASH])/BaseValues[[QUANTA]:[QUANTA]],0)*BaseValues[[QUANTA]:[QUANTA]],3)*(FactionInfo[SLASH]-ArmorMOD[SLASH]),3)</calculatedColumnFormula>
    </tableColumn>
    <tableColumn id="6" xr3:uid="{09C93641-4128-4F11-A6A6-1C62452DF00F}" name="HEAT" dataDxfId="122" totalsRowDxfId="123">
      <calculatedColumnFormula array="1">ROUND(ROUND((BaseValues[HEAT]+BaseValues[[TOTAL]:[TOTAL]]*ModValues[HEAT])/BaseValues[[QUANTA]:[QUANTA]],0)*BaseValues[[QUANTA]:[QUANTA]],3)*(FactionInfo[HEAT]-ArmorMOD[HEAT])</calculatedColumnFormula>
    </tableColumn>
    <tableColumn id="7" xr3:uid="{285B3804-A770-4B5E-A634-4B4FD9EAE90B}" name="COLD" dataDxfId="120" totalsRowDxfId="121">
      <calculatedColumnFormula array="1">ROUND(ROUND((BaseValues[COLD]+BaseValues[[TOTAL]:[TOTAL]]*ModValues[COLD])/BaseValues[[QUANTA]:[QUANTA]],0)*BaseValues[[QUANTA]:[QUANTA]],3)*(FactionInfo[COLD]-ArmorMOD[COLD])</calculatedColumnFormula>
    </tableColumn>
    <tableColumn id="8" xr3:uid="{EF763390-E62E-4A25-B22E-A5850C58C4D4}" name="ELEC" dataDxfId="118" totalsRowDxfId="119">
      <calculatedColumnFormula array="1">ROUND(ROUND((BaseValues[ELEC]+BaseValues[[TOTAL]:[TOTAL]]*ModValues[ELEC])/BaseValues[[QUANTA]:[QUANTA]],0)*BaseValues[[QUANTA]:[QUANTA]],3)*(FactionInfo[ELEC]-ArmorMOD[ELEC])</calculatedColumnFormula>
    </tableColumn>
    <tableColumn id="9" xr3:uid="{88076855-6F1B-47FE-AF08-4FEC800A17A7}" name="TOXIN" dataDxfId="116" totalsRowDxfId="117">
      <calculatedColumnFormula array="1">ROUND(ROUND((BaseValues[TOXIN]+BaseValues[[TOTAL]:[TOTAL]]*ModValues[TOXIN])/BaseValues[[QUANTA]:[QUANTA]],0)*BaseValues[[QUANTA]:[QUANTA]],3)*(FactionInfo[TOXIN]-ArmorMOD[TOXIN])</calculatedColumnFormula>
    </tableColumn>
    <tableColumn id="12" xr3:uid="{D50DD866-96F1-4C2E-94CC-138B835BADC8}" name="BLAST" dataDxfId="114" totalsRowDxfId="115">
      <calculatedColumnFormula array="1">ROUND(ROUND((BaseValues[BLAST]+BaseValues[[TOTAL]:[TOTAL]]*ModValues[BLAST])/BaseValues[[QUANTA]:[QUANTA]],0)*BaseValues[[QUANTA]:[QUANTA]],3)*(FactionInfo[BLAST]-ArmorMOD[BLAST])</calculatedColumnFormula>
    </tableColumn>
    <tableColumn id="16" xr3:uid="{745D2ED4-ED52-4AC3-AF62-D1260AA39A78}" name="RAD" dataDxfId="112" totalsRowDxfId="113">
      <calculatedColumnFormula array="1">ROUND(ROUND((BaseValues[RAD]+BaseValues[[TOTAL]:[TOTAL]]*ModValues[RAD])/BaseValues[[QUANTA]:[QUANTA]],0)*BaseValues[[QUANTA]:[QUANTA]],3)*(FactionInfo[RAD]-ArmorMOD[RAD])</calculatedColumnFormula>
    </tableColumn>
    <tableColumn id="14" xr3:uid="{70BD75B5-3A2C-4E95-BA4E-441C939A49AE}" name="GAS" dataDxfId="110" totalsRowDxfId="111">
      <calculatedColumnFormula array="1">ROUND(ROUND((BaseValues[GAS]+BaseValues[[TOTAL]:[TOTAL]]*ModValues[GAS])/BaseValues[[QUANTA]:[QUANTA]],0)*BaseValues[[QUANTA]:[QUANTA]],3)*(FactionInfo[GAS]-ArmorMOD[GAS])</calculatedColumnFormula>
    </tableColumn>
    <tableColumn id="15" xr3:uid="{2BC6EFD8-1FA7-4DFC-9305-E6DA2A6AB50B}" name="MAG" dataDxfId="108" totalsRowDxfId="109">
      <calculatedColumnFormula array="1">ROUND(ROUND((BaseValues[MAG]+BaseValues[[TOTAL]:[TOTAL]]*ModValues[MAG])/BaseValues[[QUANTA]:[QUANTA]],0)*BaseValues[[QUANTA]:[QUANTA]],3)*(FactionInfo[MAG]-ArmorMOD[MAG])</calculatedColumnFormula>
    </tableColumn>
    <tableColumn id="17" xr3:uid="{846053BC-CC2C-4FE4-8B8E-9D075EB59E32}" name="VIRAL" dataDxfId="106" totalsRowDxfId="107">
      <calculatedColumnFormula array="1">ROUND(ROUND((BaseValues[VIRAL]+BaseValues[[TOTAL]:[TOTAL]]*ModValues[VIRAL])/BaseValues[[QUANTA]:[QUANTA]],0)*BaseValues[[QUANTA]:[QUANTA]],3)*(FactionInfo[VIRAL]-ArmorMOD[VIRAL])</calculatedColumnFormula>
    </tableColumn>
    <tableColumn id="13" xr3:uid="{B3FD166E-66D4-46E8-8C03-C5350D2F00DB}" name="CORR" dataDxfId="104" totalsRowDxfId="105">
      <calculatedColumnFormula array="1">ROUND(ROUND((BaseValues[CORR]+BaseValues[[TOTAL]:[TOTAL]]*ModValues[CORR])/BaseValues[[QUANTA]:[QUANTA]],0)*BaseValues[[QUANTA]:[QUANTA]],3)*(FactionInfo[CORR]-ArmorMOD[CORR])</calculatedColumnFormula>
    </tableColumn>
    <tableColumn id="10" xr3:uid="{993447F6-C938-413E-A7C1-70A7CD6ECBA5}" name="VOID" dataDxfId="102" totalsRowDxfId="103">
      <calculatedColumnFormula array="1">ROUND(ROUND((BaseValues[VOID]+BaseValues[[TOTAL]:[TOTAL]]*ModValues[VOID])/BaseValues[[QUANTA]:[QUANTA]],0)*BaseValues[[QUANTA]:[QUANTA]],3)*(FactionInfo[VOID]-ArmorMOD[VOID])</calculatedColumnFormula>
    </tableColumn>
    <tableColumn id="18" xr3:uid="{1577D10B-4C35-4698-A0F7-7516FB8702F7}" name="DMG" dataDxfId="100" totalsRowDxfId="101">
      <calculatedColumnFormula array="1">ROUND(SUM(FinalDMG[[#This Row],[IMPACT]:[VOID]])+SUM(FinalDMG[[#This Row],[IMPACT]:[VOID]])*ModValues[TRUE],0)</calculatedColumnFormula>
    </tableColumn>
    <tableColumn id="11" xr3:uid="{14B4E930-A1F0-4AAC-A155-F143B3BDA990}" name="BANE" dataDxfId="98" totalsRowDxfId="99">
      <calculatedColumnFormula array="1">ROUND((SUM(FinalDMG[[#This Row],[IMPACT]:[VOID]])+SUM(FinalDMG[[#This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3442A6-FD9A-4ADA-B423-F5568C0540D3}" name="HudValues" displayName="HudValues" ref="A19:R20" headerRowDxfId="97" dataDxfId="96">
  <autoFilter ref="A19:R20" xr:uid="{D63442A6-FD9A-4ADA-B423-F5568C0540D3}"/>
  <tableColumns count="18">
    <tableColumn id="1" xr3:uid="{48C2C412-755E-4B48-8D79-A92CE03BEF47}" name="WEAPON" dataDxfId="94" totalsRowDxfId="95">
      <calculatedColumnFormula array="1">BaseValues[WEAPON]</calculatedColumnFormula>
    </tableColumn>
    <tableColumn id="2" xr3:uid="{13BDA6D7-CCE2-4A09-84AA-C61611B82738}" name="QUANTA" dataDxfId="92" totalsRowDxfId="93">
      <calculatedColumnFormula array="1">BaseValues[QUANTA]</calculatedColumnFormula>
    </tableColumn>
    <tableColumn id="3" xr3:uid="{F797E56E-4352-41A8-B039-E540BE9E2C70}" name="IMPACT" dataDxfId="90" totalsRowDxfId="91">
      <calculatedColumnFormula array="1">ROUND((BaseValues[IMPACT]*(1+ModValues[IMPACT])/BaseValues[[QUANTA]:[QUANTA]]),2)*BaseValues[[QUANTA]:[QUANTA]]</calculatedColumnFormula>
    </tableColumn>
    <tableColumn id="4" xr3:uid="{8DCDD833-6877-4ADC-B9A5-4109BEDFE0A9}" name="PUNC" dataDxfId="88" totalsRowDxfId="89">
      <calculatedColumnFormula array="1">ROUND((BaseValues[PUNC]*(1+ModValues[PUNC])/BaseValues[[QUANTA]:[QUANTA]]),2)*BaseValues[[QUANTA]:[QUANTA]]</calculatedColumnFormula>
    </tableColumn>
    <tableColumn id="5" xr3:uid="{EEDA3E32-2267-43B4-AD8F-36A88DBBD702}" name="SLASH" dataDxfId="86" totalsRowDxfId="87">
      <calculatedColumnFormula array="1">ROUND((BaseValues[SLASH]*(1+ModValues[SLASH])/BaseValues[[QUANTA]:[QUANTA]]),2)*BaseValues[[QUANTA]:[QUANTA]]</calculatedColumnFormula>
    </tableColumn>
    <tableColumn id="6" xr3:uid="{77A0F5DE-EBFF-471B-AC8E-9736FF1E3BB7}" name="HEAT" dataDxfId="84" totalsRowDxfId="85">
      <calculatedColumnFormula array="1">ROUND(((BaseValues[HEAT]+BaseValues[[TOTAL]:[TOTAL]]*ModValues[HEAT])/BaseValues[[QUANTA]:[QUANTA]]),2)*BaseValues[[QUANTA]:[QUANTA]]</calculatedColumnFormula>
    </tableColumn>
    <tableColumn id="7" xr3:uid="{FC719B03-FA4D-4BEA-9F08-7212BB2EC413}" name="COLD" dataDxfId="82" totalsRowDxfId="83">
      <calculatedColumnFormula array="1">ROUND(((BaseValues[COLD]+BaseValues[[TOTAL]:[TOTAL]]*ModValues[COLD])/BaseValues[[QUANTA]:[QUANTA]]),2)*BaseValues[[QUANTA]:[QUANTA]]</calculatedColumnFormula>
    </tableColumn>
    <tableColumn id="8" xr3:uid="{4431E76C-C45F-4658-B676-7AFC238A9BE4}" name="ELEC" dataDxfId="80" totalsRowDxfId="81">
      <calculatedColumnFormula array="1">ROUND(((BaseValues[ELEC]+BaseValues[[TOTAL]:[TOTAL]]*ModValues[ELEC])/BaseValues[[QUANTA]:[QUANTA]]),2)*BaseValues[[QUANTA]:[QUANTA]]</calculatedColumnFormula>
    </tableColumn>
    <tableColumn id="9" xr3:uid="{95D16F2E-5307-4B7C-95AA-5B2A4320FBCC}" name="TOXIN" dataDxfId="78" totalsRowDxfId="79">
      <calculatedColumnFormula array="1">ROUND(((BaseValues[TOXIN]+BaseValues[[TOTAL]:[TOTAL]]*ModValues[TOXIN])/BaseValues[[QUANTA]:[QUANTA]]),2)*BaseValues[[QUANTA]:[QUANTA]]</calculatedColumnFormula>
    </tableColumn>
    <tableColumn id="12" xr3:uid="{874D7A28-8C83-437D-AC2F-E5087EFB2EC3}" name="BLAST" dataDxfId="76" totalsRowDxfId="77">
      <calculatedColumnFormula array="1">ROUND(((BaseValues[BLAST]+BaseValues[[TOTAL]:[TOTAL]]*ModValues[BLAST])/BaseValues[[QUANTA]:[QUANTA]]),2)*BaseValues[[QUANTA]:[QUANTA]]</calculatedColumnFormula>
    </tableColumn>
    <tableColumn id="16" xr3:uid="{5DF62D78-C438-4782-8069-4DD90CACBDDE}" name="RAD" dataDxfId="74" totalsRowDxfId="75">
      <calculatedColumnFormula array="1">ROUND(((BaseValues[RAD]+BaseValues[[TOTAL]:[TOTAL]]*ModValues[RAD])/BaseValues[[QUANTA]:[QUANTA]]),2)*BaseValues[[QUANTA]:[QUANTA]]</calculatedColumnFormula>
    </tableColumn>
    <tableColumn id="14" xr3:uid="{2216DFFB-D19C-41C1-BCA6-48BF978CD9BC}" name="GAS" dataDxfId="72" totalsRowDxfId="73">
      <calculatedColumnFormula array="1">ROUND(((BaseValues[GAS]+BaseValues[[TOTAL]:[TOTAL]]*ModValues[GAS])/BaseValues[[QUANTA]:[QUANTA]]),2)*BaseValues[[QUANTA]:[QUANTA]]</calculatedColumnFormula>
    </tableColumn>
    <tableColumn id="15" xr3:uid="{E0D34BA7-BF0D-45D1-BB93-C02F12EC27A5}" name="MAG" dataDxfId="70" totalsRowDxfId="71">
      <calculatedColumnFormula array="1">ROUND(((BaseValues[MAG]+BaseValues[[TOTAL]:[TOTAL]]*ModValues[MAG])/BaseValues[[QUANTA]:[QUANTA]]),2)*BaseValues[[QUANTA]:[QUANTA]]</calculatedColumnFormula>
    </tableColumn>
    <tableColumn id="17" xr3:uid="{18FE5F7A-FC18-42EA-AA43-0B8D704B79DF}" name="VIRAL" dataDxfId="68" totalsRowDxfId="69">
      <calculatedColumnFormula array="1">ROUND(((BaseValues[VIRAL]+BaseValues[[TOTAL]:[TOTAL]]*ModValues[VIRAL])/BaseValues[[QUANTA]:[QUANTA]]),2)*BaseValues[[QUANTA]:[QUANTA]]</calculatedColumnFormula>
    </tableColumn>
    <tableColumn id="13" xr3:uid="{EED70621-BCDE-4476-8BDA-3DC7C7C7E4F0}" name="CORR" dataDxfId="66" totalsRowDxfId="67">
      <calculatedColumnFormula array="1">ROUND(((BaseValues[CORR]+BaseValues[[TOTAL]:[TOTAL]]*ModValues[CORR])/BaseValues[[QUANTA]:[QUANTA]]),2)*BaseValues[[QUANTA]:[QUANTA]]</calculatedColumnFormula>
    </tableColumn>
    <tableColumn id="10" xr3:uid="{F360CFAB-4C43-4516-A016-A55AB26FFF89}" name="VOID" dataDxfId="64" totalsRowDxfId="65">
      <calculatedColumnFormula array="1">ROUND(((BaseValues[VOID]+BaseValues[[TOTAL]:[TOTAL]]*ModValues[VOID])/BaseValues[[QUANTA]:[QUANTA]]),2)*BaseValues[[QUANTA]:[QUANTA]]</calculatedColumnFormula>
    </tableColumn>
    <tableColumn id="18" xr3:uid="{1E3D39AA-04D1-4E32-A1C0-5847055BEFA3}" name="DMG" dataDxfId="62" totalsRowDxfId="63">
      <calculatedColumnFormula array="1">ROUND(SUM(HudValues[[#This Row],[IMPACT]:[VOID]])+SUM(HudValues[[#This Row],[IMPACT]:[VOID]])*ModValues[TRUE],1)</calculatedColumnFormula>
    </tableColumn>
    <tableColumn id="11" xr3:uid="{34D1DDC5-9CC2-4E79-9ED6-D909E92B9CC8}" name="BANE" dataDxfId="60" totalsRowDxfId="61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73DAB8-4AFD-4D43-8F38-5C78CC5C68A4}" name="GameValues" displayName="GameValues" ref="A23:R24" headerRowDxfId="59" dataDxfId="58">
  <autoFilter ref="A23:R24" xr:uid="{0973DAB8-4AFD-4D43-8F38-5C78CC5C68A4}"/>
  <tableColumns count="18">
    <tableColumn id="1" xr3:uid="{B798B903-BCA2-4420-A5F5-8377E6C49741}" name="WEAPON" dataDxfId="56" totalsRowDxfId="57">
      <calculatedColumnFormula array="1">BaseValues[WEAPON]</calculatedColumnFormula>
    </tableColumn>
    <tableColumn id="2" xr3:uid="{49FFA8BD-4D0C-4B40-B938-3D713CDC69F7}" name="QUANTA" dataDxfId="54" totalsRowDxfId="55">
      <calculatedColumnFormula array="1">BaseValues[QUANTA]</calculatedColumnFormula>
    </tableColumn>
    <tableColumn id="3" xr3:uid="{5D092C06-5763-414F-9C51-EC9805AA4C75}" name="IMPACT" dataDxfId="52" totalsRowDxfId="53">
      <calculatedColumnFormula array="1">ROUND(ROUND(BaseValues[IMPACT]*(1+ModValues[IMPACT])/BaseValues[[QUANTA]:[QUANTA]],0)*BaseValues[[QUANTA]:[QUANTA]],3)*FactionInfo[IMPACT]</calculatedColumnFormula>
    </tableColumn>
    <tableColumn id="4" xr3:uid="{5B520403-5056-43FB-9F70-66AE8EB50841}" name="PUNC" dataDxfId="50" totalsRowDxfId="51">
      <calculatedColumnFormula array="1">ROUND(ROUND(BaseValues[PUNC]*(1+ModValues[PUNC])/BaseValues[[QUANTA]:[QUANTA]],0)*BaseValues[[QUANTA]:[QUANTA]],3)*FactionInfo[PUNC]</calculatedColumnFormula>
    </tableColumn>
    <tableColumn id="5" xr3:uid="{C55AEFDC-3CCC-42BB-AB4B-D632EE542605}" name="SLASH" dataDxfId="48" totalsRowDxfId="49">
      <calculatedColumnFormula array="1">ROUND(ROUND(BaseValues[SLASH]*(1+ModValues[SLASH])/BaseValues[[QUANTA]:[QUANTA]],0)*BaseValues[[QUANTA]:[QUANTA]],3)*FactionInfo[SLASH]</calculatedColumnFormula>
    </tableColumn>
    <tableColumn id="6" xr3:uid="{7174A6FA-516B-4AD2-931D-38C27EB1BC0F}" name="HEAT" dataDxfId="46" totalsRowDxfId="47">
      <calculatedColumnFormula array="1">ROUND(ROUND((BaseValues[HEAT]+BaseValues[[TOTAL]:[TOTAL]]*ModValues[HEAT])/BaseValues[[QUANTA]:[QUANTA]],0)*BaseValues[[QUANTA]:[QUANTA]],3)*FactionInfo[HEAT]</calculatedColumnFormula>
    </tableColumn>
    <tableColumn id="7" xr3:uid="{9BEC2A05-4891-4F99-A096-03E1624FE095}" name="COLD" dataDxfId="44" totalsRowDxfId="45">
      <calculatedColumnFormula array="1">ROUND(ROUND((BaseValues[COLD]+BaseValues[[TOTAL]:[TOTAL]]*ModValues[COLD])/BaseValues[[QUANTA]:[QUANTA]],0)*BaseValues[[QUANTA]:[QUANTA]],3)*FactionInfo[COLD]</calculatedColumnFormula>
    </tableColumn>
    <tableColumn id="8" xr3:uid="{3ED51991-15C8-4CA1-BB0A-50FBB3DEF003}" name="ELEC" dataDxfId="42" totalsRowDxfId="43">
      <calculatedColumnFormula array="1">ROUND(ROUND((BaseValues[ELEC]+BaseValues[[TOTAL]:[TOTAL]]*ModValues[ELEC])/BaseValues[[QUANTA]:[QUANTA]],0)*BaseValues[[QUANTA]:[QUANTA]],3)*FactionInfo[ELEC]</calculatedColumnFormula>
    </tableColumn>
    <tableColumn id="9" xr3:uid="{F1FC9C06-ADB4-45CB-84D0-13E44F7919F3}" name="TOXIN" dataDxfId="40" totalsRowDxfId="41">
      <calculatedColumnFormula array="1">ROUND(ROUND((BaseValues[TOXIN]+BaseValues[[TOTAL]:[TOTAL]]*ModValues[TOXIN])/BaseValues[[QUANTA]:[QUANTA]],0)*BaseValues[[QUANTA]:[QUANTA]],3)*FactionInfo[TOXIN]</calculatedColumnFormula>
    </tableColumn>
    <tableColumn id="12" xr3:uid="{54BAFC50-5435-4BC2-9940-12ABD5C506B7}" name="BLAST" dataDxfId="38" totalsRowDxfId="39">
      <calculatedColumnFormula array="1">ROUND(ROUND((BaseValues[BLAST]+BaseValues[[TOTAL]:[TOTAL]]*ModValues[BLAST])/BaseValues[[QUANTA]:[QUANTA]],0)*BaseValues[[QUANTA]:[QUANTA]],3)*FactionInfo[BLAST]</calculatedColumnFormula>
    </tableColumn>
    <tableColumn id="16" xr3:uid="{4C379D1C-0905-47EC-B14D-77B6B3C03CE1}" name="RAD" dataDxfId="36" totalsRowDxfId="37">
      <calculatedColumnFormula array="1">ROUND(ROUND((BaseValues[RAD]+BaseValues[[TOTAL]:[TOTAL]]*ModValues[RAD])/BaseValues[[QUANTA]:[QUANTA]],0)*BaseValues[[QUANTA]:[QUANTA]],3)*FactionInfo[RAD]</calculatedColumnFormula>
    </tableColumn>
    <tableColumn id="14" xr3:uid="{8D15F3F8-FBDD-44BE-AD4C-E4A4B4510F90}" name="GAS" dataDxfId="34" totalsRowDxfId="35">
      <calculatedColumnFormula array="1">ROUND(ROUND((BaseValues[GAS]+BaseValues[[TOTAL]:[TOTAL]]*ModValues[GAS])/BaseValues[[QUANTA]:[QUANTA]],0)*BaseValues[[QUANTA]:[QUANTA]],3)*FactionInfo[GAS]</calculatedColumnFormula>
    </tableColumn>
    <tableColumn id="15" xr3:uid="{4F8C5E55-EA0E-4C95-BCC9-E19FCF6DCA8A}" name="MAG" dataDxfId="32" totalsRowDxfId="33">
      <calculatedColumnFormula array="1">ROUND(ROUND((BaseValues[MAG]+BaseValues[[TOTAL]:[TOTAL]]*ModValues[MAG])/BaseValues[[QUANTA]:[QUANTA]],0)*BaseValues[[QUANTA]:[QUANTA]],3)*FactionInfo[MAG]</calculatedColumnFormula>
    </tableColumn>
    <tableColumn id="17" xr3:uid="{F88009A5-B1DE-4BD4-9047-C650C09D2D3E}" name="VIRAL" dataDxfId="30" totalsRowDxfId="31">
      <calculatedColumnFormula array="1">ROUND(ROUND((BaseValues[VIRAL]+BaseValues[[TOTAL]:[TOTAL]]*ModValues[VIRAL])/BaseValues[[QUANTA]:[QUANTA]],0)*BaseValues[[QUANTA]:[QUANTA]],3)*FactionInfo[VIRAL]</calculatedColumnFormula>
    </tableColumn>
    <tableColumn id="13" xr3:uid="{18371472-346F-4D5B-9E1B-15E251CAB919}" name="CORR" dataDxfId="28" totalsRowDxfId="29">
      <calculatedColumnFormula array="1">ROUND(ROUND((BaseValues[CORR]+BaseValues[[TOTAL]:[TOTAL]]*ModValues[CORR])/BaseValues[[QUANTA]:[QUANTA]],0)*BaseValues[[QUANTA]:[QUANTA]],3)*FactionInfo[CORR]</calculatedColumnFormula>
    </tableColumn>
    <tableColumn id="10" xr3:uid="{48D55CE6-2A88-4FEC-A32F-6958E469874C}" name="VOID" dataDxfId="26" totalsRowDxfId="27">
      <calculatedColumnFormula array="1">ROUND(ROUND((BaseValues[VOID]+BaseValues[[TOTAL]:[TOTAL]]*ModValues[VOID])/BaseValues[[QUANTA]:[QUANTA]],0)*BaseValues[[QUANTA]:[QUANTA]],3)*FactionInfo[VOID]</calculatedColumnFormula>
    </tableColumn>
    <tableColumn id="18" xr3:uid="{00208949-2227-4833-9F1E-3B70E77979B7}" name="DMG" dataDxfId="24" totalsRowDxfId="25">
      <calculatedColumnFormula array="1">ROUND(SUM(GameValues[[#This Row],[IMPACT]:[VOID]])+SUM(GameValues[[#This Row],[IMPACT]:[VOID]])*ModValues[TRUE],0)</calculatedColumnFormula>
    </tableColumn>
    <tableColumn id="11" xr3:uid="{897019C6-7647-4E2E-AC84-9743258DFB05}" name="BANE" dataDxfId="22" totalsRowDxfId="23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176" dataDxfId="175">
  <autoFilter ref="A2:U776" xr:uid="{1D5997DE-3B7F-4BC8-8136-89E7B95EA52A}"/>
  <tableColumns count="21">
    <tableColumn id="1" xr3:uid="{6E572A45-8AA2-4458-95DC-E32FAA785A6E}" name="WEAPON" dataDxfId="174"/>
    <tableColumn id="2" xr3:uid="{4AB7A4BF-BADA-4BD7-896E-9A1700DE00B0}" name="DMG" dataDxfId="173"/>
    <tableColumn id="3" xr3:uid="{A146A45B-3C63-40AB-B5B5-6531E9566734}" name="IMPACT" dataDxfId="172"/>
    <tableColumn id="5" xr3:uid="{D493C048-3BC4-48FB-BB7B-5F36474E5E77}" name="PUNC" dataDxfId="171"/>
    <tableColumn id="7" xr3:uid="{B45708B0-68EB-4DA8-80BB-342952107D55}" name="SLASH" dataDxfId="170"/>
    <tableColumn id="9" xr3:uid="{52A67703-2033-4F83-AAF7-E15FB3CF358C}" name="HEAT" dataDxfId="169"/>
    <tableColumn id="11" xr3:uid="{F045FEDC-4807-4C4B-965E-12270627A32E}" name="COLD" dataDxfId="168"/>
    <tableColumn id="13" xr3:uid="{CE69B63B-171A-45AF-9FC5-CD86A531DD24}" name="ELEC" dataDxfId="167"/>
    <tableColumn id="15" xr3:uid="{67D0D333-A3D7-40F4-B486-7959AFBD3A27}" name="TOXIN" dataDxfId="166"/>
    <tableColumn id="21" xr3:uid="{15541712-7D95-4DCD-BEC8-EE46387707FB}" name="BLAST" dataDxfId="165"/>
    <tableColumn id="29" xr3:uid="{36EF4DB4-DD37-4278-AFC3-68073E88DD8D}" name="RAD" dataDxfId="164"/>
    <tableColumn id="25" xr3:uid="{59C6482A-6B99-484D-B2AB-37DB200CE2CF}" name="GAS" dataDxfId="163"/>
    <tableColumn id="27" xr3:uid="{6A99EECD-FA7E-45D6-85DF-73144068C74F}" name="MAG" dataDxfId="162"/>
    <tableColumn id="31" xr3:uid="{62F387D0-B075-4603-A8D1-34A8352D85F4}" name="VIRAL" dataDxfId="161"/>
    <tableColumn id="23" xr3:uid="{5936C42E-078A-414D-AD77-23F6D0CAD415}" name="CORR" dataDxfId="160"/>
    <tableColumn id="17" xr3:uid="{3C50BA42-5768-47A1-A3D1-AE176C25E406}" name="VOID" dataDxfId="159"/>
    <tableColumn id="33" xr3:uid="{8A5AD898-65B0-4EFD-BDF6-F38D34418F1D}" name="CRITCHAN" dataDxfId="158"/>
    <tableColumn id="34" xr3:uid="{6B33F586-A377-4289-852A-AA8427F6582E}" name="CRITMULT" dataDxfId="157"/>
    <tableColumn id="37" xr3:uid="{E24F4E5D-BBCB-49E3-880E-6949267789EA}" name="STATCHAN" dataDxfId="156"/>
    <tableColumn id="35" xr3:uid="{FAEC12C3-E007-4016-AB86-318E6A3EA857}" name="FIRERATE" dataDxfId="155"/>
    <tableColumn id="36" xr3:uid="{82FC1AC8-7C0F-4B5B-91B1-7B76FF9DA8E6}" name="MULTI" dataDxfId="15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P13" totalsRowShown="0" headerRowDxfId="153" dataDxfId="152">
  <autoFilter ref="A2:P13" xr:uid="{1D5997DE-3B7F-4BC8-8136-89E7B95EA52A}"/>
  <sortState xmlns:xlrd2="http://schemas.microsoft.com/office/spreadsheetml/2017/richdata2" ref="A3:P3">
    <sortCondition ref="A2:A3"/>
  </sortState>
  <tableColumns count="16">
    <tableColumn id="1" xr3:uid="{35A3619D-5AD7-4DE1-8E32-60145934C907}" name="FACTION" dataDxfId="151"/>
    <tableColumn id="2" xr3:uid="{BD9C0D82-D946-4EFA-992A-0DB019A96366}" name="IMPACT" dataDxfId="150"/>
    <tableColumn id="3" xr3:uid="{D058F778-1482-4AF1-BA2D-9DFAE21C841D}" name="PUNC" dataDxfId="149"/>
    <tableColumn id="5" xr3:uid="{E37129ED-76D3-4096-A4E7-7B820B8EEED3}" name="SLASH" dataDxfId="148"/>
    <tableColumn id="7" xr3:uid="{A7A0A4A8-C45D-4F7B-AC54-2777CA0339D6}" name="HEAT" dataDxfId="147"/>
    <tableColumn id="9" xr3:uid="{EA5EEEA5-7180-444D-9CFE-84D8EE0B151A}" name="COLD" dataDxfId="146"/>
    <tableColumn id="11" xr3:uid="{17B29219-66E1-4C1F-8155-7A145E3F2990}" name="ELEC" dataDxfId="145"/>
    <tableColumn id="13" xr3:uid="{BC14516B-6FE2-4FA0-ABC1-76883A429D80}" name="TOXIN" dataDxfId="144"/>
    <tableColumn id="15" xr3:uid="{E7843E46-6996-49FA-88A9-AE7CBFBE1A11}" name="BLAST" dataDxfId="143"/>
    <tableColumn id="21" xr3:uid="{F1F99C44-A949-4341-A0A6-B6683EB16415}" name="RAD" dataDxfId="142"/>
    <tableColumn id="29" xr3:uid="{5DB1AB39-8E0A-44C2-ACDA-64B8A045410D}" name="GAS" dataDxfId="141"/>
    <tableColumn id="25" xr3:uid="{70A69EDA-3D0F-45DA-B0E4-9EEDBC7AB806}" name="MAG" dataDxfId="140"/>
    <tableColumn id="27" xr3:uid="{71FB4ACE-DC9C-4DEC-98E9-75CC299FE611}" name="VIRAL" dataDxfId="139"/>
    <tableColumn id="31" xr3:uid="{A65089F8-8943-413D-BF2F-7854E32B56CF}" name="CORR" dataDxfId="138"/>
    <tableColumn id="23" xr3:uid="{F96C3197-1EFD-4055-9A8A-4723273EB523}" name="VOID" dataDxfId="137"/>
    <tableColumn id="17" xr3:uid="{AD1A12A7-231D-4888-82CB-A5931B0073DF}" name="TRUE" dataDxfId="13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D64"/>
  <sheetViews>
    <sheetView tabSelected="1" topLeftCell="A5" zoomScale="115" zoomScaleNormal="115" workbookViewId="0">
      <selection activeCell="C20" sqref="C20"/>
    </sheetView>
  </sheetViews>
  <sheetFormatPr defaultRowHeight="14.4" x14ac:dyDescent="0.3"/>
  <cols>
    <col min="1" max="1" width="27.77734375" customWidth="1"/>
    <col min="2" max="18" width="16.109375" customWidth="1"/>
    <col min="19" max="19" width="14" bestFit="1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0" ht="49.35" customHeight="1" x14ac:dyDescent="0.3">
      <c r="A1" s="25" t="s">
        <v>774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30" ht="30" customHeight="1" x14ac:dyDescent="0.3">
      <c r="A2" s="19" t="s">
        <v>793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30" s="2" customFormat="1" ht="23.55" customHeight="1" x14ac:dyDescent="0.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R3" s="8" t="s">
        <v>776</v>
      </c>
      <c r="AD3" s="4"/>
    </row>
    <row r="4" spans="1:30" s="3" customFormat="1" ht="19.350000000000001" customHeight="1" thickBot="1" x14ac:dyDescent="0.35">
      <c r="A4" s="9" t="s">
        <v>362</v>
      </c>
      <c r="B4" s="6">
        <f>BaseValues[[#This Row],[TOTAL]]/16</f>
        <v>2.5</v>
      </c>
      <c r="C4" s="6">
        <f>_xlfn.XLOOKUP(BaseValues[[#This Row],[WEAPON]],WeaponData[WEAPON],WeaponData[IMPACT],0)</f>
        <v>0</v>
      </c>
      <c r="D4" s="6">
        <f>_xlfn.XLOOKUP(BaseValues[[#This Row],[WEAPON]],WeaponData[WEAPON],WeaponData[PUNC],0)</f>
        <v>40</v>
      </c>
      <c r="E4" s="6">
        <f>_xlfn.XLOOKUP(BaseValues[[#This Row],[WEAPON]],WeaponData[WEAPON],WeaponData[SLASH],0)</f>
        <v>0</v>
      </c>
      <c r="F4" s="6">
        <f>_xlfn.XLOOKUP(BaseValues[[#This Row],[WEAPON]],WeaponData[WEAPON],WeaponData[HEAT],0)</f>
        <v>0</v>
      </c>
      <c r="G4" s="6">
        <f>_xlfn.XLOOKUP(BaseValues[[#This Row],[WEAPON]],WeaponData[WEAPON],WeaponData[COLD],0)</f>
        <v>0</v>
      </c>
      <c r="H4" s="6">
        <f>_xlfn.XLOOKUP(BaseValues[[#This Row],[WEAPON]],WeaponData[WEAPON],WeaponData[ELEC],0)</f>
        <v>0</v>
      </c>
      <c r="I4" s="6">
        <f>_xlfn.XLOOKUP(BaseValues[[#This Row],[WEAPON]],WeaponData[WEAPON],WeaponData[TOXIN],0)</f>
        <v>0</v>
      </c>
      <c r="J4" s="6">
        <f>_xlfn.XLOOKUP(BaseValues[[#This Row],[WEAPON]],WeaponData[WEAPON],WeaponData[BLAST],0)</f>
        <v>0</v>
      </c>
      <c r="K4" s="6">
        <f>_xlfn.XLOOKUP(BaseValues[[#This Row],[WEAPON]],WeaponData[WEAPON],WeaponData[RAD],0)</f>
        <v>0</v>
      </c>
      <c r="L4" s="6">
        <f>_xlfn.XLOOKUP(BaseValues[[#This Row],[WEAPON]],WeaponData[WEAPON],WeaponData[GAS],0)</f>
        <v>0</v>
      </c>
      <c r="M4" s="6">
        <f>_xlfn.XLOOKUP(BaseValues[[#This Row],[WEAPON]],WeaponData[WEAPON],WeaponData[MAG],0)</f>
        <v>0</v>
      </c>
      <c r="N4" s="6">
        <f>_xlfn.XLOOKUP(BaseValues[[#This Row],[WEAPON]],WeaponData[WEAPON],WeaponData[VIRAL],0)</f>
        <v>0</v>
      </c>
      <c r="O4" s="6">
        <f>_xlfn.XLOOKUP(BaseValues[[#This Row],[WEAPON]],WeaponData[WEAPON],WeaponData[CORR],0)</f>
        <v>0</v>
      </c>
      <c r="P4" s="6">
        <f>_xlfn.XLOOKUP(BaseValues[[#This Row],[WEAPON]],WeaponData[WEAPON],WeaponData[VOID],0)</f>
        <v>0</v>
      </c>
      <c r="Q4" s="6">
        <f>SUM(BaseValues[[#This Row],[IMPACT]:[VOID]])</f>
        <v>40</v>
      </c>
      <c r="R4" s="10">
        <f>ROUND(BaseValues[[#This Row],[TOTAL]],0)</f>
        <v>40</v>
      </c>
    </row>
    <row r="5" spans="1:30" ht="10.8" customHeight="1" thickBot="1" x14ac:dyDescent="0.3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</row>
    <row r="6" spans="1:30" ht="30" customHeight="1" x14ac:dyDescent="0.3">
      <c r="A6" s="16" t="s">
        <v>794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30" ht="23.55" customHeight="1" x14ac:dyDescent="0.3">
      <c r="A7" s="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  <c r="K7" s="1" t="s">
        <v>16</v>
      </c>
      <c r="L7" s="1" t="s">
        <v>14</v>
      </c>
      <c r="M7" s="1" t="s">
        <v>15</v>
      </c>
      <c r="N7" s="1" t="s">
        <v>17</v>
      </c>
      <c r="O7" s="1" t="s">
        <v>13</v>
      </c>
      <c r="P7" s="1" t="s">
        <v>11</v>
      </c>
      <c r="Q7" s="1" t="s">
        <v>775</v>
      </c>
      <c r="R7" s="8" t="s">
        <v>777</v>
      </c>
    </row>
    <row r="8" spans="1:30" ht="19.350000000000001" customHeight="1" thickBot="1" x14ac:dyDescent="0.35">
      <c r="A8" s="9" t="str" cm="1">
        <f t="array" ref="A8">BaseValues[WEAPON]</f>
        <v>AX-52</v>
      </c>
      <c r="B8" s="6" cm="1">
        <f t="array" ref="B8">ROUND(BaseValues[QUANTA],2)</f>
        <v>2.5</v>
      </c>
      <c r="C8" s="6">
        <v>0</v>
      </c>
      <c r="D8" s="6">
        <v>0</v>
      </c>
      <c r="E8" s="6">
        <v>0</v>
      </c>
      <c r="F8" s="6">
        <v>0</v>
      </c>
      <c r="G8" s="6">
        <f>1.65</f>
        <v>1.65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f>1.65+1.65</f>
        <v>3.3</v>
      </c>
      <c r="R8" s="10">
        <f>1.05</f>
        <v>1.05</v>
      </c>
    </row>
    <row r="9" spans="1:30" ht="10.8" customHeight="1" thickBot="1" x14ac:dyDescent="0.3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</row>
    <row r="10" spans="1:30" ht="30" customHeight="1" x14ac:dyDescent="0.3">
      <c r="A10" s="16" t="s">
        <v>808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1:30" ht="23.55" customHeight="1" x14ac:dyDescent="0.3">
      <c r="A11" s="7" t="s">
        <v>795</v>
      </c>
      <c r="B11" s="36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12</v>
      </c>
      <c r="K11" s="1" t="s">
        <v>16</v>
      </c>
      <c r="L11" s="1" t="s">
        <v>14</v>
      </c>
      <c r="M11" s="1" t="s">
        <v>15</v>
      </c>
      <c r="N11" s="1" t="s">
        <v>17</v>
      </c>
      <c r="O11" s="1" t="s">
        <v>13</v>
      </c>
      <c r="P11" s="1" t="s">
        <v>11</v>
      </c>
      <c r="Q11" s="1" t="s">
        <v>775</v>
      </c>
      <c r="R11" s="8" t="s">
        <v>810</v>
      </c>
    </row>
    <row r="12" spans="1:30" ht="19.350000000000001" customHeight="1" x14ac:dyDescent="0.3">
      <c r="A12" s="9" t="s">
        <v>797</v>
      </c>
      <c r="B12" s="45" cm="1">
        <f t="array" ref="B12">BaseValues[QUANTA]</f>
        <v>2.5</v>
      </c>
      <c r="C12" s="6" cm="1">
        <f t="array" ref="C12">_xlfn.XLOOKUP(FactionInfo[[#This Row],[FACTION]],FactionData[[FACTION]:[FACTION]],FactionData[IMPACT],0)</f>
        <v>1.5</v>
      </c>
      <c r="D12" s="6" cm="1">
        <f t="array" ref="D12">_xlfn.XLOOKUP(FactionInfo[[#This Row],[FACTION]],FactionData[[FACTION]:[FACTION]],FactionData[PUNC],0)</f>
        <v>1</v>
      </c>
      <c r="E12" s="6" cm="1">
        <f t="array" ref="E12">_xlfn.XLOOKUP(FactionInfo[[#This Row],[FACTION]],FactionData[[FACTION]:[FACTION]],FactionData[SLASH],0)</f>
        <v>1</v>
      </c>
      <c r="F12" s="6" cm="1">
        <f t="array" ref="F12">_xlfn.XLOOKUP(FactionInfo[[#This Row],[FACTION]],FactionData[[FACTION]:[FACTION]],FactionData[HEAT],0)</f>
        <v>1</v>
      </c>
      <c r="G12" s="6" cm="1">
        <f t="array" ref="G12">_xlfn.XLOOKUP(FactionInfo[[#This Row],[FACTION]],FactionData[[FACTION]:[FACTION]],FactionData[COLD],0)</f>
        <v>1</v>
      </c>
      <c r="H12" s="6" cm="1">
        <f t="array" ref="H12">_xlfn.XLOOKUP(FactionInfo[[#This Row],[FACTION]],FactionData[[FACTION]:[FACTION]],FactionData[ELEC],0)</f>
        <v>1</v>
      </c>
      <c r="I12" s="6" cm="1">
        <f t="array" ref="I12">_xlfn.XLOOKUP(FactionInfo[[#This Row],[FACTION]],FactionData[[FACTION]:[FACTION]],FactionData[TOXIN],0)</f>
        <v>1</v>
      </c>
      <c r="J12" s="6" cm="1">
        <f t="array" ref="J12">_xlfn.XLOOKUP(FactionInfo[[#This Row],[FACTION]],FactionData[[FACTION]:[FACTION]],FactionData[BLAST],0)</f>
        <v>1</v>
      </c>
      <c r="K12" s="6" cm="1">
        <f t="array" ref="K12">_xlfn.XLOOKUP(FactionInfo[[#This Row],[FACTION]],FactionData[[FACTION]:[FACTION]],FactionData[RAD],0)</f>
        <v>1</v>
      </c>
      <c r="L12" s="6" cm="1">
        <f t="array" ref="L12">_xlfn.XLOOKUP(FactionInfo[[#This Row],[FACTION]],FactionData[[FACTION]:[FACTION]],FactionData[GAS],0)</f>
        <v>1</v>
      </c>
      <c r="M12" s="6" cm="1">
        <f t="array" ref="M12">_xlfn.XLOOKUP(FactionInfo[[#This Row],[FACTION]],FactionData[[FACTION]:[FACTION]],FactionData[MAG],0)</f>
        <v>1</v>
      </c>
      <c r="N12" s="6" cm="1">
        <f t="array" ref="N12">_xlfn.XLOOKUP(FactionInfo[[#This Row],[FACTION]],FactionData[[FACTION]:[FACTION]],FactionData[VIRAL],0)</f>
        <v>1</v>
      </c>
      <c r="O12" s="6" cm="1">
        <f t="array" ref="O12">_xlfn.XLOOKUP(FactionInfo[[#This Row],[FACTION]],FactionData[[FACTION]:[FACTION]],FactionData[CORR],0)</f>
        <v>1.5</v>
      </c>
      <c r="P12" s="6" cm="1">
        <f t="array" ref="P12">_xlfn.XLOOKUP(FactionInfo[[#This Row],[FACTION]],FactionData[[FACTION]:[FACTION]],FactionData[VOID],0)</f>
        <v>1</v>
      </c>
      <c r="Q12" s="6" cm="1">
        <f t="array" ref="Q12">_xlfn.XLOOKUP(FactionInfo[[#This Row],[FACTION]],FactionData[[FACTION]:[FACTION]],FactionData[TRUE],0)</f>
        <v>1</v>
      </c>
      <c r="R12" s="10" t="s">
        <v>810</v>
      </c>
    </row>
    <row r="13" spans="1:30" ht="10.8" customHeight="1" thickBot="1" x14ac:dyDescent="0.3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/>
    </row>
    <row r="14" spans="1:30" ht="30" customHeight="1" x14ac:dyDescent="0.3">
      <c r="A14" s="16" t="s">
        <v>811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8"/>
    </row>
    <row r="15" spans="1:30" ht="23.55" customHeight="1" x14ac:dyDescent="0.3">
      <c r="A15" s="7" t="s">
        <v>796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12</v>
      </c>
      <c r="K15" s="1" t="s">
        <v>16</v>
      </c>
      <c r="L15" s="1" t="s">
        <v>14</v>
      </c>
      <c r="M15" s="1" t="s">
        <v>15</v>
      </c>
      <c r="N15" s="1" t="s">
        <v>17</v>
      </c>
      <c r="O15" s="1" t="s">
        <v>13</v>
      </c>
      <c r="P15" s="1" t="s">
        <v>11</v>
      </c>
      <c r="Q15" s="1" t="s">
        <v>775</v>
      </c>
      <c r="R15" s="8" t="s">
        <v>810</v>
      </c>
    </row>
    <row r="16" spans="1:30" ht="19.350000000000001" customHeight="1" thickBot="1" x14ac:dyDescent="0.35">
      <c r="A16" s="46">
        <v>2700</v>
      </c>
      <c r="B16" s="6" cm="1">
        <f t="array" ref="B16">BaseValues[QUANTA]</f>
        <v>2.5</v>
      </c>
      <c r="C16" s="40" cm="1">
        <f t="array" ref="C16">0.9*SQRT(ArmorMOD[[ARMOR]:[ARMOR]]/2700)</f>
        <v>0.9</v>
      </c>
      <c r="D16" s="40" cm="1">
        <f t="array" ref="D16">0.9*SQRT(ArmorMOD[[ARMOR]:[ARMOR]]/2700)</f>
        <v>0.9</v>
      </c>
      <c r="E16" s="40" cm="1">
        <f t="array" ref="E16">0.9*SQRT(ArmorMOD[[ARMOR]:[ARMOR]]/2700)</f>
        <v>0.9</v>
      </c>
      <c r="F16" s="40" cm="1">
        <f t="array" ref="F16">0.9*SQRT(ArmorMOD[[ARMOR]:[ARMOR]]/2700)</f>
        <v>0.9</v>
      </c>
      <c r="G16" s="40" cm="1">
        <f t="array" ref="G16">0.9*SQRT(ArmorMOD[[ARMOR]:[ARMOR]]/2700)</f>
        <v>0.9</v>
      </c>
      <c r="H16" s="40" cm="1">
        <f t="array" ref="H16">0.9*SQRT(ArmorMOD[[ARMOR]:[ARMOR]]/2700)</f>
        <v>0.9</v>
      </c>
      <c r="I16" s="40" cm="1">
        <f t="array" ref="I16">0.9*SQRT(ArmorMOD[[ARMOR]:[ARMOR]]/2700)</f>
        <v>0.9</v>
      </c>
      <c r="J16" s="40" cm="1">
        <f t="array" ref="J16">0.9*SQRT(ArmorMOD[[ARMOR]:[ARMOR]]/2700)</f>
        <v>0.9</v>
      </c>
      <c r="K16" s="40" cm="1">
        <f t="array" ref="K16">0.9*SQRT(ArmorMOD[[ARMOR]:[ARMOR]]/2700)</f>
        <v>0.9</v>
      </c>
      <c r="L16" s="40" cm="1">
        <f t="array" ref="L16">0.9*SQRT(ArmorMOD[[ARMOR]:[ARMOR]]/2700)</f>
        <v>0.9</v>
      </c>
      <c r="M16" s="40" cm="1">
        <f t="array" ref="M16">0.9*SQRT(ArmorMOD[[ARMOR]:[ARMOR]]/2700)</f>
        <v>0.9</v>
      </c>
      <c r="N16" s="40" cm="1">
        <f t="array" ref="N16">0.9*SQRT(ArmorMOD[[ARMOR]:[ARMOR]]/2700)</f>
        <v>0.9</v>
      </c>
      <c r="O16" s="40" cm="1">
        <f t="array" ref="O16">0.9*SQRT(ArmorMOD[[ARMOR]:[ARMOR]]/2700)</f>
        <v>0.9</v>
      </c>
      <c r="P16" s="40" cm="1">
        <f t="array" ref="P16">0.9*SQRT(ArmorMOD[[ARMOR]:[ARMOR]]/2700)</f>
        <v>0.9</v>
      </c>
      <c r="Q16" s="40" cm="1">
        <f t="array" ref="Q16">0.9*SQRT(ArmorMOD[[ARMOR]:[ARMOR]]/2700)</f>
        <v>0.9</v>
      </c>
      <c r="R16" s="10" t="s">
        <v>810</v>
      </c>
    </row>
    <row r="17" spans="1:18" ht="10.8" customHeight="1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1:18" ht="30" customHeight="1" x14ac:dyDescent="0.3">
      <c r="A18" s="16" t="s">
        <v>792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</row>
    <row r="19" spans="1:18" ht="23.55" customHeight="1" x14ac:dyDescent="0.3">
      <c r="A19" s="7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16</v>
      </c>
      <c r="L19" s="1" t="s">
        <v>14</v>
      </c>
      <c r="M19" s="1" t="s">
        <v>15</v>
      </c>
      <c r="N19" s="1" t="s">
        <v>17</v>
      </c>
      <c r="O19" s="1" t="s">
        <v>13</v>
      </c>
      <c r="P19" s="1" t="s">
        <v>11</v>
      </c>
      <c r="Q19" s="1" t="s">
        <v>1</v>
      </c>
      <c r="R19" s="8" t="s">
        <v>777</v>
      </c>
    </row>
    <row r="20" spans="1:18" ht="19.350000000000001" customHeight="1" thickBot="1" x14ac:dyDescent="0.35">
      <c r="A20" s="9" t="str" cm="1">
        <f t="array" ref="A20">BaseValues[WEAPON]</f>
        <v>AX-52</v>
      </c>
      <c r="B20" s="6" cm="1">
        <f t="array" ref="B20">BaseValues[QUANTA]</f>
        <v>2.5</v>
      </c>
      <c r="C20" s="12" cm="1">
        <f t="array" ref="C20">ROUND((BaseValues[IMPACT]*(1+ModValues[IMPACT])/BaseValues[[QUANTA]:[QUANTA]]),2)*BaseValues[[QUANTA]:[QUANTA]]</f>
        <v>0</v>
      </c>
      <c r="D20" s="12" cm="1">
        <f t="array" ref="D20">ROUND((BaseValues[PUNC]*(1+ModValues[PUNC])/BaseValues[[QUANTA]:[QUANTA]]),2)*BaseValues[[QUANTA]:[QUANTA]]</f>
        <v>40</v>
      </c>
      <c r="E20" s="12" cm="1">
        <f t="array" ref="E20">ROUND((BaseValues[SLASH]*(1+ModValues[SLASH])/BaseValues[[QUANTA]:[QUANTA]]),2)*BaseValues[[QUANTA]:[QUANTA]]</f>
        <v>0</v>
      </c>
      <c r="F20" s="12" cm="1">
        <f t="array" ref="F20">ROUND(((BaseValues[HEAT]+BaseValues[[TOTAL]:[TOTAL]]*ModValues[HEAT])/BaseValues[[QUANTA]:[QUANTA]]),2)*BaseValues[[QUANTA]:[QUANTA]]</f>
        <v>0</v>
      </c>
      <c r="G20" s="12" cm="1">
        <f t="array" ref="G20">ROUND(((BaseValues[COLD]+BaseValues[[TOTAL]:[TOTAL]]*ModValues[COLD])/BaseValues[[QUANTA]:[QUANTA]]),2)*BaseValues[[QUANTA]:[QUANTA]]</f>
        <v>66</v>
      </c>
      <c r="H20" s="12" cm="1">
        <f t="array" ref="H20">ROUND(((BaseValues[ELEC]+BaseValues[[TOTAL]:[TOTAL]]*ModValues[ELEC])/BaseValues[[QUANTA]:[QUANTA]]),2)*BaseValues[[QUANTA]:[QUANTA]]</f>
        <v>0</v>
      </c>
      <c r="I20" s="12" cm="1">
        <f t="array" ref="I20">ROUND(((BaseValues[TOXIN]+BaseValues[[TOTAL]:[TOTAL]]*ModValues[TOXIN])/BaseValues[[QUANTA]:[QUANTA]]),2)*BaseValues[[QUANTA]:[QUANTA]]</f>
        <v>0</v>
      </c>
      <c r="J20" s="12" cm="1">
        <f t="array" ref="J20">ROUND(((BaseValues[BLAST]+BaseValues[[TOTAL]:[TOTAL]]*ModValues[BLAST])/BaseValues[[QUANTA]:[QUANTA]]),2)*BaseValues[[QUANTA]:[QUANTA]]</f>
        <v>0</v>
      </c>
      <c r="K20" s="12" cm="1">
        <f t="array" ref="K20">ROUND(((BaseValues[RAD]+BaseValues[[TOTAL]:[TOTAL]]*ModValues[RAD])/BaseValues[[QUANTA]:[QUANTA]]),2)*BaseValues[[QUANTA]:[QUANTA]]</f>
        <v>0</v>
      </c>
      <c r="L20" s="12" cm="1">
        <f t="array" ref="L20">ROUND(((BaseValues[GAS]+BaseValues[[TOTAL]:[TOTAL]]*ModValues[GAS])/BaseValues[[QUANTA]:[QUANTA]]),2)*BaseValues[[QUANTA]:[QUANTA]]</f>
        <v>0</v>
      </c>
      <c r="M20" s="12" cm="1">
        <f t="array" ref="M20">ROUND(((BaseValues[MAG]+BaseValues[[TOTAL]:[TOTAL]]*ModValues[MAG])/BaseValues[[QUANTA]:[QUANTA]]),2)*BaseValues[[QUANTA]:[QUANTA]]</f>
        <v>0</v>
      </c>
      <c r="N20" s="12" cm="1">
        <f t="array" ref="N20">ROUND(((BaseValues[VIRAL]+BaseValues[[TOTAL]:[TOTAL]]*ModValues[VIRAL])/BaseValues[[QUANTA]:[QUANTA]]),2)*BaseValues[[QUANTA]:[QUANTA]]</f>
        <v>0</v>
      </c>
      <c r="O20" s="12" cm="1">
        <f t="array" ref="O20">ROUND(((BaseValues[CORR]+BaseValues[[TOTAL]:[TOTAL]]*ModValues[CORR])/BaseValues[[QUANTA]:[QUANTA]]),2)*BaseValues[[QUANTA]:[QUANTA]]</f>
        <v>0</v>
      </c>
      <c r="P20" s="12" cm="1">
        <f t="array" ref="P20">ROUND(((BaseValues[VOID]+BaseValues[[TOTAL]:[TOTAL]]*ModValues[VOID])/BaseValues[[QUANTA]:[QUANTA]]),2)*BaseValues[[QUANTA]:[QUANTA]]</f>
        <v>0</v>
      </c>
      <c r="Q20" s="6" cm="1">
        <f t="array" ref="Q20">ROUND(SUM(HudValues[[#This Row],[IMPACT]:[VOID]])+SUM(HudValues[[#This Row],[IMPACT]:[VOID]])*ModValues[TRUE],1)</f>
        <v>455.8</v>
      </c>
      <c r="R20" s="10" cm="1">
        <f t="array" ref="R20">HudValues[[#This Row],[DMG]]*ModValues[BANE]</f>
        <v>478.59000000000003</v>
      </c>
    </row>
    <row r="21" spans="1:18" ht="10.8" customHeight="1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</row>
    <row r="22" spans="1:18" ht="30" customHeight="1" x14ac:dyDescent="0.3">
      <c r="A22" s="19" t="s">
        <v>791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spans="1:18" ht="23.55" customHeight="1" x14ac:dyDescent="0.3">
      <c r="A23" s="7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12</v>
      </c>
      <c r="K23" s="1" t="s">
        <v>16</v>
      </c>
      <c r="L23" s="1" t="s">
        <v>14</v>
      </c>
      <c r="M23" s="1" t="s">
        <v>15</v>
      </c>
      <c r="N23" s="1" t="s">
        <v>17</v>
      </c>
      <c r="O23" s="1" t="s">
        <v>13</v>
      </c>
      <c r="P23" s="1" t="s">
        <v>11</v>
      </c>
      <c r="Q23" s="1" t="s">
        <v>1</v>
      </c>
      <c r="R23" s="8" t="s">
        <v>777</v>
      </c>
    </row>
    <row r="24" spans="1:18" ht="19.350000000000001" customHeight="1" x14ac:dyDescent="0.3">
      <c r="A24" s="9" t="str" cm="1">
        <f t="array" ref="A24">BaseValues[WEAPON]</f>
        <v>AX-52</v>
      </c>
      <c r="B24" s="6" cm="1">
        <f t="array" ref="B24">BaseValues[QUANTA]</f>
        <v>2.5</v>
      </c>
      <c r="C24" s="6" cm="1">
        <f t="array" ref="C24">ROUND(ROUND(BaseValues[IMPACT]*(1+ModValues[IMPACT])/BaseValues[[QUANTA]:[QUANTA]],0)*BaseValues[[QUANTA]:[QUANTA]],3)*FactionInfo[IMPACT]</f>
        <v>0</v>
      </c>
      <c r="D24" s="6" cm="1">
        <f t="array" ref="D24">ROUND(ROUND(BaseValues[PUNC]*(1+ModValues[PUNC])/BaseValues[[QUANTA]:[QUANTA]],0)*BaseValues[[QUANTA]:[QUANTA]],3)*FactionInfo[PUNC]</f>
        <v>40</v>
      </c>
      <c r="E24" s="6" cm="1">
        <f t="array" ref="E24">ROUND(ROUND(BaseValues[SLASH]*(1+ModValues[SLASH])/BaseValues[[QUANTA]:[QUANTA]],0)*BaseValues[[QUANTA]:[QUANTA]],3)*FactionInfo[SLASH]</f>
        <v>0</v>
      </c>
      <c r="F24" s="6" cm="1">
        <f t="array" ref="F24">ROUND(ROUND((BaseValues[HEAT]+BaseValues[[TOTAL]:[TOTAL]]*ModValues[HEAT])/BaseValues[[QUANTA]:[QUANTA]],0)*BaseValues[[QUANTA]:[QUANTA]],3)*FactionInfo[HEAT]</f>
        <v>0</v>
      </c>
      <c r="G24" s="6" cm="1">
        <f t="array" ref="G24">ROUND(ROUND((BaseValues[COLD]+BaseValues[[TOTAL]:[TOTAL]]*ModValues[COLD])/BaseValues[[QUANTA]:[QUANTA]],0)*BaseValues[[QUANTA]:[QUANTA]],3)*FactionInfo[COLD]</f>
        <v>65</v>
      </c>
      <c r="H24" s="6" cm="1">
        <f t="array" ref="H24">ROUND(ROUND((BaseValues[ELEC]+BaseValues[[TOTAL]:[TOTAL]]*ModValues[ELEC])/BaseValues[[QUANTA]:[QUANTA]],0)*BaseValues[[QUANTA]:[QUANTA]],3)*FactionInfo[ELEC]</f>
        <v>0</v>
      </c>
      <c r="I24" s="6" cm="1">
        <f t="array" ref="I24">ROUND(ROUND((BaseValues[TOXIN]+BaseValues[[TOTAL]:[TOTAL]]*ModValues[TOXIN])/BaseValues[[QUANTA]:[QUANTA]],0)*BaseValues[[QUANTA]:[QUANTA]],3)*FactionInfo[TOXIN]</f>
        <v>0</v>
      </c>
      <c r="J24" s="6" cm="1">
        <f t="array" ref="J24">ROUND(ROUND((BaseValues[BLAST]+BaseValues[[TOTAL]:[TOTAL]]*ModValues[BLAST])/BaseValues[[QUANTA]:[QUANTA]],0)*BaseValues[[QUANTA]:[QUANTA]],3)*FactionInfo[BLAST]</f>
        <v>0</v>
      </c>
      <c r="K24" s="6" cm="1">
        <f t="array" ref="K24">ROUND(ROUND((BaseValues[RAD]+BaseValues[[TOTAL]:[TOTAL]]*ModValues[RAD])/BaseValues[[QUANTA]:[QUANTA]],0)*BaseValues[[QUANTA]:[QUANTA]],3)*FactionInfo[RAD]</f>
        <v>0</v>
      </c>
      <c r="L24" s="6" cm="1">
        <f t="array" ref="L24">ROUND(ROUND((BaseValues[GAS]+BaseValues[[TOTAL]:[TOTAL]]*ModValues[GAS])/BaseValues[[QUANTA]:[QUANTA]],0)*BaseValues[[QUANTA]:[QUANTA]],3)*FactionInfo[GAS]</f>
        <v>0</v>
      </c>
      <c r="M24" s="6" cm="1">
        <f t="array" ref="M24">ROUND(ROUND((BaseValues[MAG]+BaseValues[[TOTAL]:[TOTAL]]*ModValues[MAG])/BaseValues[[QUANTA]:[QUANTA]],0)*BaseValues[[QUANTA]:[QUANTA]],3)*FactionInfo[MAG]</f>
        <v>0</v>
      </c>
      <c r="N24" s="6" cm="1">
        <f t="array" ref="N24">ROUND(ROUND((BaseValues[VIRAL]+BaseValues[[TOTAL]:[TOTAL]]*ModValues[VIRAL])/BaseValues[[QUANTA]:[QUANTA]],0)*BaseValues[[QUANTA]:[QUANTA]],3)*FactionInfo[VIRAL]</f>
        <v>0</v>
      </c>
      <c r="O24" s="6" cm="1">
        <f t="array" ref="O24">ROUND(ROUND((BaseValues[CORR]+BaseValues[[TOTAL]:[TOTAL]]*ModValues[CORR])/BaseValues[[QUANTA]:[QUANTA]],0)*BaseValues[[QUANTA]:[QUANTA]],3)*FactionInfo[CORR]</f>
        <v>0</v>
      </c>
      <c r="P24" s="6" cm="1">
        <f t="array" ref="P24">ROUND(ROUND((BaseValues[VOID]+BaseValues[[TOTAL]:[TOTAL]]*ModValues[VOID])/BaseValues[[QUANTA]:[QUANTA]],0)*BaseValues[[QUANTA]:[QUANTA]],3)*FactionInfo[VOID]</f>
        <v>0</v>
      </c>
      <c r="Q24" s="6" cm="1">
        <f t="array" ref="Q24">ROUND(SUM(GameValues[[#This Row],[IMPACT]:[VOID]])+SUM(GameValues[[#This Row],[IMPACT]:[VOID]])*ModValues[TRUE],0)</f>
        <v>452</v>
      </c>
      <c r="R24" s="10" cm="1">
        <f t="array" ref="R24">ROUND((SUM(GameValues[[#This Row],[IMPACT]:[VOID]])+SUM(GameValues[[#This Row],[IMPACT]:[VOID]])*ModValues[TRUE])*ModValues[BANE],0)</f>
        <v>474</v>
      </c>
    </row>
    <row r="25" spans="1:18" ht="10.8" customHeight="1" thickBot="1" x14ac:dyDescent="0.3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</row>
    <row r="26" spans="1:18" ht="30" customHeight="1" x14ac:dyDescent="0.3">
      <c r="A26" s="19" t="s">
        <v>809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1:18" ht="23.55" customHeight="1" x14ac:dyDescent="0.3">
      <c r="A27" s="7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12</v>
      </c>
      <c r="K27" s="1" t="s">
        <v>16</v>
      </c>
      <c r="L27" s="1" t="s">
        <v>14</v>
      </c>
      <c r="M27" s="1" t="s">
        <v>15</v>
      </c>
      <c r="N27" s="1" t="s">
        <v>17</v>
      </c>
      <c r="O27" s="1" t="s">
        <v>13</v>
      </c>
      <c r="P27" s="1" t="s">
        <v>11</v>
      </c>
      <c r="Q27" s="1" t="s">
        <v>1</v>
      </c>
      <c r="R27" s="8" t="s">
        <v>777</v>
      </c>
    </row>
    <row r="28" spans="1:18" ht="19.350000000000001" customHeight="1" x14ac:dyDescent="0.3">
      <c r="A28" s="9" t="str" cm="1">
        <f t="array" ref="A28">BaseValues[WEAPON]</f>
        <v>AX-52</v>
      </c>
      <c r="B28" s="6" cm="1">
        <f t="array" ref="B28">BaseValues[QUANTA]</f>
        <v>2.5</v>
      </c>
      <c r="C28" s="6" cm="1">
        <f t="array" ref="C28">ROUND(ROUND(ROUND(BaseValues[IMPACT]*(1+ModValues[IMPACT])/BaseValues[[QUANTA]:[QUANTA]],0)*BaseValues[[QUANTA]:[QUANTA]],3)*(FactionInfo[IMPACT]-ArmorMOD[IMPACT]),3)</f>
        <v>0</v>
      </c>
      <c r="D28" s="6" cm="1">
        <f t="array" ref="D28">ROUND(ROUND(BaseValues[PUNC]*(1+ModValues[PUNC])/BaseValues[[QUANTA]:[QUANTA]],0)*BaseValues[[QUANTA]:[QUANTA]],3)*(FactionInfo[PUNC]-ArmorMOD[PUNC])</f>
        <v>3.9999999999999991</v>
      </c>
      <c r="E28" s="6" cm="1">
        <f t="array" ref="E28">ROUND(ROUND(ROUND(BaseValues[SLASH]*(1+ModValues[SLASH])/BaseValues[[QUANTA]:[QUANTA]],0)*BaseValues[[QUANTA]:[QUANTA]],3)*(FactionInfo[SLASH]-ArmorMOD[SLASH]),3)</f>
        <v>0</v>
      </c>
      <c r="F28" s="6" cm="1">
        <f t="array" ref="F28">ROUND(ROUND((BaseValues[HEAT]+BaseValues[[TOTAL]:[TOTAL]]*ModValues[HEAT])/BaseValues[[QUANTA]:[QUANTA]],0)*BaseValues[[QUANTA]:[QUANTA]],3)*(FactionInfo[HEAT]-ArmorMOD[HEAT])</f>
        <v>0</v>
      </c>
      <c r="G28" s="6" cm="1">
        <f t="array" ref="G28">ROUND(ROUND((BaseValues[COLD]+BaseValues[[TOTAL]:[TOTAL]]*ModValues[COLD])/BaseValues[[QUANTA]:[QUANTA]],0)*BaseValues[[QUANTA]:[QUANTA]],3)*(FactionInfo[COLD]-ArmorMOD[COLD])</f>
        <v>6.4999999999999982</v>
      </c>
      <c r="H28" s="6" cm="1">
        <f t="array" ref="H28">ROUND(ROUND((BaseValues[ELEC]+BaseValues[[TOTAL]:[TOTAL]]*ModValues[ELEC])/BaseValues[[QUANTA]:[QUANTA]],0)*BaseValues[[QUANTA]:[QUANTA]],3)*(FactionInfo[ELEC]-ArmorMOD[ELEC])</f>
        <v>0</v>
      </c>
      <c r="I28" s="6" cm="1">
        <f t="array" ref="I28">ROUND(ROUND((BaseValues[TOXIN]+BaseValues[[TOTAL]:[TOTAL]]*ModValues[TOXIN])/BaseValues[[QUANTA]:[QUANTA]],0)*BaseValues[[QUANTA]:[QUANTA]],3)*(FactionInfo[TOXIN]-ArmorMOD[TOXIN])</f>
        <v>0</v>
      </c>
      <c r="J28" s="6" cm="1">
        <f t="array" ref="J28">ROUND(ROUND((BaseValues[BLAST]+BaseValues[[TOTAL]:[TOTAL]]*ModValues[BLAST])/BaseValues[[QUANTA]:[QUANTA]],0)*BaseValues[[QUANTA]:[QUANTA]],3)*(FactionInfo[BLAST]-ArmorMOD[BLAST])</f>
        <v>0</v>
      </c>
      <c r="K28" s="6" cm="1">
        <f t="array" ref="K28">ROUND(ROUND((BaseValues[RAD]+BaseValues[[TOTAL]:[TOTAL]]*ModValues[RAD])/BaseValues[[QUANTA]:[QUANTA]],0)*BaseValues[[QUANTA]:[QUANTA]],3)*(FactionInfo[RAD]-ArmorMOD[RAD])</f>
        <v>0</v>
      </c>
      <c r="L28" s="6" cm="1">
        <f t="array" ref="L28">ROUND(ROUND((BaseValues[GAS]+BaseValues[[TOTAL]:[TOTAL]]*ModValues[GAS])/BaseValues[[QUANTA]:[QUANTA]],0)*BaseValues[[QUANTA]:[QUANTA]],3)*(FactionInfo[GAS]-ArmorMOD[GAS])</f>
        <v>0</v>
      </c>
      <c r="M28" s="6" cm="1">
        <f t="array" ref="M28">ROUND(ROUND((BaseValues[MAG]+BaseValues[[TOTAL]:[TOTAL]]*ModValues[MAG])/BaseValues[[QUANTA]:[QUANTA]],0)*BaseValues[[QUANTA]:[QUANTA]],3)*(FactionInfo[MAG]-ArmorMOD[MAG])</f>
        <v>0</v>
      </c>
      <c r="N28" s="6" cm="1">
        <f t="array" ref="N28">ROUND(ROUND((BaseValues[VIRAL]+BaseValues[[TOTAL]:[TOTAL]]*ModValues[VIRAL])/BaseValues[[QUANTA]:[QUANTA]],0)*BaseValues[[QUANTA]:[QUANTA]],3)*(FactionInfo[VIRAL]-ArmorMOD[VIRAL])</f>
        <v>0</v>
      </c>
      <c r="O28" s="6" cm="1">
        <f t="array" ref="O28">ROUND(ROUND((BaseValues[CORR]+BaseValues[[TOTAL]:[TOTAL]]*ModValues[CORR])/BaseValues[[QUANTA]:[QUANTA]],0)*BaseValues[[QUANTA]:[QUANTA]],3)*(FactionInfo[CORR]-ArmorMOD[CORR])</f>
        <v>0</v>
      </c>
      <c r="P28" s="6" cm="1">
        <f t="array" ref="P28">ROUND(ROUND((BaseValues[VOID]+BaseValues[[TOTAL]:[TOTAL]]*ModValues[VOID])/BaseValues[[QUANTA]:[QUANTA]],0)*BaseValues[[QUANTA]:[QUANTA]],3)*(FactionInfo[VOID]-ArmorMOD[VOID])</f>
        <v>0</v>
      </c>
      <c r="Q28" s="6" cm="1">
        <f t="array" ref="Q28">ROUND(SUM(FinalDMG[[#This Row],[IMPACT]:[VOID]])+SUM(FinalDMG[[#This Row],[IMPACT]:[VOID]])*ModValues[TRUE],0)</f>
        <v>45</v>
      </c>
      <c r="R28" s="10" cm="1">
        <f t="array" ref="R28">ROUND((SUM(FinalDMG[[#This Row],[IMPACT]:[VOID]])+SUM(FinalDMG[[#This Row],[IMPACT]:[VOID]])*ModValues[TRUE])*ModValues[BANE],0)</f>
        <v>47</v>
      </c>
    </row>
    <row r="29" spans="1:18" ht="10.8" customHeight="1" thickBot="1" x14ac:dyDescent="0.3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</row>
    <row r="33" spans="1:10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spans="1:10" x14ac:dyDescent="0.3">
      <c r="A34" s="35"/>
      <c r="B34" s="35"/>
      <c r="C34" s="41"/>
      <c r="D34" s="41"/>
      <c r="E34" s="41"/>
      <c r="F34" s="41"/>
      <c r="G34" s="41"/>
      <c r="H34" s="42"/>
      <c r="I34" s="42"/>
      <c r="J34" s="42"/>
    </row>
    <row r="35" spans="1:10" x14ac:dyDescent="0.3">
      <c r="A35" s="35"/>
      <c r="B35" s="35"/>
      <c r="C35" s="41"/>
      <c r="D35" s="41"/>
      <c r="E35" s="41"/>
      <c r="F35" s="41"/>
      <c r="G35" s="41"/>
      <c r="H35" s="42"/>
      <c r="I35" s="42"/>
      <c r="J35" s="42"/>
    </row>
    <row r="36" spans="1:10" x14ac:dyDescent="0.3">
      <c r="A36" s="35"/>
      <c r="B36" s="35"/>
      <c r="C36" s="41"/>
      <c r="D36" s="41"/>
      <c r="E36" s="41"/>
      <c r="F36" s="41"/>
      <c r="G36" s="41"/>
      <c r="H36" s="42"/>
      <c r="I36" s="42"/>
      <c r="J36" s="42"/>
    </row>
    <row r="37" spans="1:10" x14ac:dyDescent="0.3">
      <c r="A37" s="35"/>
      <c r="B37" s="35"/>
      <c r="C37" s="41"/>
      <c r="D37" s="41"/>
      <c r="E37" s="41"/>
      <c r="F37" s="41"/>
      <c r="G37" s="41"/>
      <c r="H37" s="42"/>
      <c r="I37" s="42"/>
      <c r="J37" s="42"/>
    </row>
    <row r="39" spans="1:10" x14ac:dyDescent="0.3">
      <c r="C39" s="33"/>
      <c r="D39" s="33"/>
      <c r="E39" s="33"/>
      <c r="F39" s="33"/>
      <c r="G39" s="33"/>
      <c r="H39" s="33"/>
      <c r="I39" s="33"/>
      <c r="J39" s="33"/>
    </row>
    <row r="40" spans="1:10" x14ac:dyDescent="0.3">
      <c r="H40" s="34"/>
      <c r="I40" s="34"/>
      <c r="J40" s="34"/>
    </row>
    <row r="41" spans="1:10" x14ac:dyDescent="0.3">
      <c r="H41" s="34"/>
      <c r="I41" s="34"/>
      <c r="J41" s="34"/>
    </row>
    <row r="42" spans="1:10" x14ac:dyDescent="0.3">
      <c r="H42" s="34"/>
      <c r="I42" s="34"/>
      <c r="J42" s="34"/>
    </row>
    <row r="43" spans="1:10" x14ac:dyDescent="0.3">
      <c r="H43" s="34"/>
      <c r="I43" s="34"/>
      <c r="J43" s="34"/>
    </row>
    <row r="44" spans="1:10" x14ac:dyDescent="0.3">
      <c r="H44" s="34"/>
      <c r="I44" s="34"/>
      <c r="J44" s="34"/>
    </row>
    <row r="45" spans="1:10" x14ac:dyDescent="0.3">
      <c r="H45" s="34"/>
      <c r="I45" s="34"/>
      <c r="J45" s="34"/>
    </row>
    <row r="46" spans="1:10" x14ac:dyDescent="0.3">
      <c r="H46" s="34"/>
      <c r="I46" s="34"/>
      <c r="J46" s="34"/>
    </row>
    <row r="47" spans="1:10" x14ac:dyDescent="0.3">
      <c r="H47" s="34"/>
      <c r="I47" s="34"/>
      <c r="J47" s="34"/>
    </row>
    <row r="48" spans="1:10" x14ac:dyDescent="0.3">
      <c r="H48" s="34"/>
      <c r="I48" s="34"/>
      <c r="J48" s="34"/>
    </row>
    <row r="49" spans="8:10" x14ac:dyDescent="0.3">
      <c r="H49" s="34"/>
      <c r="I49" s="34"/>
      <c r="J49" s="34"/>
    </row>
    <row r="50" spans="8:10" x14ac:dyDescent="0.3">
      <c r="H50" s="34"/>
      <c r="I50" s="34"/>
      <c r="J50" s="34"/>
    </row>
    <row r="51" spans="8:10" x14ac:dyDescent="0.3">
      <c r="H51" s="34"/>
      <c r="I51" s="34"/>
      <c r="J51" s="34"/>
    </row>
    <row r="52" spans="8:10" x14ac:dyDescent="0.3">
      <c r="H52" s="34"/>
      <c r="I52" s="34"/>
      <c r="J52" s="34"/>
    </row>
    <row r="53" spans="8:10" x14ac:dyDescent="0.3">
      <c r="H53" s="34"/>
      <c r="I53" s="34"/>
      <c r="J53" s="34"/>
    </row>
    <row r="54" spans="8:10" x14ac:dyDescent="0.3">
      <c r="H54" s="34"/>
      <c r="I54" s="34"/>
      <c r="J54" s="34"/>
    </row>
    <row r="55" spans="8:10" x14ac:dyDescent="0.3">
      <c r="H55" s="34"/>
      <c r="I55" s="34"/>
      <c r="J55" s="34"/>
    </row>
    <row r="56" spans="8:10" x14ac:dyDescent="0.3">
      <c r="H56" s="34"/>
      <c r="I56" s="34"/>
      <c r="J56" s="34"/>
    </row>
    <row r="57" spans="8:10" x14ac:dyDescent="0.3">
      <c r="H57" s="34"/>
      <c r="I57" s="34"/>
      <c r="J57" s="34"/>
    </row>
    <row r="58" spans="8:10" x14ac:dyDescent="0.3">
      <c r="H58" s="34"/>
      <c r="I58" s="34"/>
      <c r="J58" s="34"/>
    </row>
    <row r="59" spans="8:10" x14ac:dyDescent="0.3">
      <c r="H59" s="34"/>
      <c r="I59" s="34"/>
      <c r="J59" s="34"/>
    </row>
    <row r="61" spans="8:10" x14ac:dyDescent="0.3">
      <c r="H61" s="44"/>
      <c r="I61" s="44"/>
      <c r="J61" s="44"/>
    </row>
    <row r="64" spans="8:10" x14ac:dyDescent="0.3">
      <c r="H64" s="43"/>
    </row>
  </sheetData>
  <mergeCells count="14">
    <mergeCell ref="A22:R22"/>
    <mergeCell ref="A25:R25"/>
    <mergeCell ref="A26:R26"/>
    <mergeCell ref="A29:R29"/>
    <mergeCell ref="A1:R1"/>
    <mergeCell ref="A9:R9"/>
    <mergeCell ref="A17:R17"/>
    <mergeCell ref="A6:R6"/>
    <mergeCell ref="A2:R2"/>
    <mergeCell ref="A21:R21"/>
    <mergeCell ref="A10:R10"/>
    <mergeCell ref="A13:R13"/>
    <mergeCell ref="A14:R14"/>
    <mergeCell ref="A18:R18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workbookViewId="0">
      <selection activeCell="E56" sqref="E56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4.88671875" bestFit="1" customWidth="1"/>
    <col min="4" max="4" width="12.21875" bestFit="1" customWidth="1"/>
    <col min="5" max="5" width="12.77734375" bestFit="1" customWidth="1"/>
    <col min="6" max="6" width="11.6640625" bestFit="1" customWidth="1"/>
    <col min="7" max="7" width="11.88671875" bestFit="1" customWidth="1"/>
    <col min="8" max="8" width="11" bestFit="1" customWidth="1"/>
    <col min="9" max="9" width="12.88671875" bestFit="1" customWidth="1"/>
    <col min="10" max="10" width="12.6640625" bestFit="1" customWidth="1"/>
    <col min="11" max="11" width="10.5546875" bestFit="1" customWidth="1"/>
    <col min="12" max="12" width="10.33203125" bestFit="1" customWidth="1"/>
    <col min="13" max="13" width="11.44140625" bestFit="1" customWidth="1"/>
    <col min="14" max="14" width="12.44140625" bestFit="1" customWidth="1"/>
    <col min="15" max="15" width="12.109375" bestFit="1" customWidth="1"/>
    <col min="16" max="16" width="11.6640625" bestFit="1" customWidth="1"/>
    <col min="17" max="17" width="17.6640625" bestFit="1" customWidth="1"/>
    <col min="18" max="18" width="17.77734375" bestFit="1" customWidth="1"/>
    <col min="19" max="19" width="18.109375" bestFit="1" customWidth="1"/>
    <col min="20" max="20" width="16.6640625" bestFit="1" customWidth="1"/>
    <col min="21" max="21" width="13.109375" bestFit="1" customWidth="1"/>
  </cols>
  <sheetData>
    <row r="1" spans="1:21" s="11" customFormat="1" ht="49.35" customHeight="1" thickBot="1" x14ac:dyDescent="0.7">
      <c r="A1" s="28" t="s">
        <v>773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3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3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3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3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3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3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3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3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3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3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3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3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3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3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3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3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3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3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3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3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3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3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3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3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3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3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3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3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3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3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3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3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3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3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3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3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3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3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3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3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3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3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3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3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3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3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3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3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3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3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3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3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3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3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3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3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3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3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3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3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3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3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3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3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3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3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3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3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3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3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3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3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3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3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3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3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3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3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3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3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3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3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3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3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3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3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3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3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3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3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3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3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3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3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3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3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3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3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3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3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3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3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3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3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3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3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3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3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3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3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3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3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3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3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3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3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3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3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3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3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3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3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3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3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3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3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3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3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3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3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3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3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3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3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3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3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3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3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3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3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3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3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3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3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3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3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3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3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3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3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3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3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3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3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3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3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3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3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3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3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3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3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3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3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3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3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3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3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3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3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3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3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3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3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3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3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3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3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3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3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3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3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3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3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3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3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3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3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3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3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3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3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3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3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3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3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3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3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3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3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3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3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3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3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3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3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3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3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3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3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3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3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3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3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3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3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3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3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3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3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3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3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3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3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3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3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3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3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3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3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3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3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3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3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3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3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3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3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3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3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3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3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3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3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3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3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3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3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3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3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3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3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3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3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3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3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3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3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3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3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3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3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3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3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3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3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3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3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3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3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3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3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3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3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3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3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3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3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3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3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3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3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3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3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3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3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3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3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3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3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3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3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3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3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3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3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3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3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3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3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3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3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3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3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3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3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3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3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3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3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3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3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3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3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3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3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3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3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3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3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3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3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3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3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3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3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3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3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3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3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3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3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3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3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3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3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3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3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3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3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3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3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3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3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3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3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3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3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3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3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3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3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3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3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3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3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3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3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3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3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3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3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3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3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3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3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3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3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3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3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3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3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3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3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3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3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3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3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3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3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3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3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3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3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3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3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3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3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3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3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3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3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3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3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3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3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3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3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3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3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3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3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3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3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3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3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3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3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3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3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3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3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3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3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3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3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3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3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3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3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3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3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3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3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3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3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3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3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3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3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3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3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3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3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3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3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3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3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3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3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3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3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3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3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3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3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3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3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3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3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3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3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3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3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3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3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3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3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3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3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3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3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3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3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3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3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3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3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3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3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3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3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3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3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3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3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3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3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3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3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3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3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3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3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3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3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3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3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3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3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3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3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3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3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3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3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3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3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3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3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3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3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3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3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3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3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3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3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3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3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3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3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3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3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3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3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3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3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3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3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3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3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3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3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3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3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3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3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3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3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3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3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3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3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3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3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3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3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3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3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3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3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3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3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3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3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3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3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3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3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3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3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3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3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3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3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3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3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3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3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3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3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3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3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3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3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3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3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3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3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3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3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3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3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3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3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3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3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3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3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3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P13"/>
  <sheetViews>
    <sheetView workbookViewId="0">
      <selection activeCell="J18" sqref="J18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2.21875" bestFit="1" customWidth="1"/>
    <col min="4" max="4" width="12.77734375" bestFit="1" customWidth="1"/>
    <col min="5" max="5" width="11.6640625" bestFit="1" customWidth="1"/>
    <col min="6" max="6" width="11.88671875" bestFit="1" customWidth="1"/>
    <col min="7" max="7" width="11" bestFit="1" customWidth="1"/>
    <col min="8" max="8" width="12.88671875" bestFit="1" customWidth="1"/>
    <col min="9" max="9" width="12.6640625" bestFit="1" customWidth="1"/>
    <col min="10" max="10" width="10.5546875" bestFit="1" customWidth="1"/>
    <col min="11" max="11" width="10.33203125" bestFit="1" customWidth="1"/>
    <col min="12" max="12" width="11.44140625" bestFit="1" customWidth="1"/>
    <col min="13" max="13" width="12.44140625" bestFit="1" customWidth="1"/>
    <col min="14" max="14" width="12.109375" bestFit="1" customWidth="1"/>
    <col min="15" max="15" width="11.6640625" bestFit="1" customWidth="1"/>
    <col min="16" max="16" width="14.77734375" bestFit="1" customWidth="1"/>
  </cols>
  <sheetData>
    <row r="1" spans="1:16" ht="54" customHeight="1" thickBot="1" x14ac:dyDescent="0.35">
      <c r="A1" s="31" t="s">
        <v>773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s="2" customFormat="1" ht="27" customHeight="1" x14ac:dyDescent="0.4">
      <c r="A2" s="1" t="s">
        <v>795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775</v>
      </c>
    </row>
    <row r="3" spans="1:16" s="3" customFormat="1" ht="15.6" x14ac:dyDescent="0.3">
      <c r="A3" s="5" t="s">
        <v>797</v>
      </c>
      <c r="B3" s="6">
        <v>1.5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1.5</v>
      </c>
      <c r="O3" s="6">
        <v>1</v>
      </c>
      <c r="P3" s="6">
        <v>1</v>
      </c>
    </row>
    <row r="4" spans="1:16" ht="15.6" x14ac:dyDescent="0.3">
      <c r="A4" s="5" t="s">
        <v>805</v>
      </c>
      <c r="B4" s="6">
        <v>1.5</v>
      </c>
      <c r="C4" s="6">
        <v>1</v>
      </c>
      <c r="D4" s="6">
        <v>1</v>
      </c>
      <c r="E4" s="6">
        <v>0.5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1.5</v>
      </c>
      <c r="O4" s="6">
        <v>1</v>
      </c>
      <c r="P4" s="6">
        <v>1</v>
      </c>
    </row>
    <row r="5" spans="1:16" ht="15.6" x14ac:dyDescent="0.3">
      <c r="A5" s="5" t="s">
        <v>798</v>
      </c>
      <c r="B5" s="6">
        <v>1</v>
      </c>
      <c r="C5" s="6">
        <v>1.5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1.5</v>
      </c>
      <c r="M5" s="6">
        <v>1</v>
      </c>
      <c r="N5" s="6">
        <v>1</v>
      </c>
      <c r="O5" s="6">
        <v>1</v>
      </c>
      <c r="P5" s="6">
        <v>1</v>
      </c>
    </row>
    <row r="6" spans="1:16" ht="15.6" x14ac:dyDescent="0.3">
      <c r="A6" s="5" t="s">
        <v>806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1.5</v>
      </c>
      <c r="H6" s="6">
        <v>1</v>
      </c>
      <c r="I6" s="6">
        <v>0.5</v>
      </c>
      <c r="J6" s="6">
        <v>1</v>
      </c>
      <c r="K6" s="6">
        <v>1</v>
      </c>
      <c r="L6" s="6">
        <v>1.5</v>
      </c>
      <c r="M6" s="6">
        <v>1</v>
      </c>
      <c r="N6" s="6">
        <v>1</v>
      </c>
      <c r="O6" s="6">
        <v>1</v>
      </c>
      <c r="P6" s="6">
        <v>1</v>
      </c>
    </row>
    <row r="7" spans="1:16" ht="15.6" x14ac:dyDescent="0.3">
      <c r="A7" s="5" t="s">
        <v>799</v>
      </c>
      <c r="B7" s="6">
        <v>1</v>
      </c>
      <c r="C7" s="6">
        <v>1</v>
      </c>
      <c r="D7" s="6">
        <v>1.5</v>
      </c>
      <c r="E7" s="6">
        <v>1.5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ht="15.6" x14ac:dyDescent="0.3">
      <c r="A8" s="5" t="s">
        <v>807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1.5</v>
      </c>
      <c r="J8" s="6">
        <v>1</v>
      </c>
      <c r="K8" s="6">
        <v>1.5</v>
      </c>
      <c r="L8" s="6">
        <v>1</v>
      </c>
      <c r="M8" s="6">
        <v>0.5</v>
      </c>
      <c r="N8" s="6">
        <v>1</v>
      </c>
      <c r="O8" s="6">
        <v>1</v>
      </c>
      <c r="P8" s="6">
        <v>1</v>
      </c>
    </row>
    <row r="9" spans="1:16" ht="15.6" x14ac:dyDescent="0.3">
      <c r="A9" s="5" t="s">
        <v>800</v>
      </c>
      <c r="B9" s="6">
        <v>1</v>
      </c>
      <c r="C9" s="6">
        <v>1.5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</v>
      </c>
      <c r="K9" s="6">
        <v>1</v>
      </c>
      <c r="L9" s="6">
        <v>1</v>
      </c>
      <c r="M9" s="6">
        <v>1.5</v>
      </c>
      <c r="N9" s="6">
        <v>1</v>
      </c>
      <c r="O9" s="6">
        <v>1</v>
      </c>
      <c r="P9" s="6">
        <v>1</v>
      </c>
    </row>
    <row r="10" spans="1:16" ht="15.6" x14ac:dyDescent="0.3">
      <c r="A10" s="5" t="s">
        <v>801</v>
      </c>
      <c r="B10" s="6">
        <v>1</v>
      </c>
      <c r="C10" s="6">
        <v>1</v>
      </c>
      <c r="D10" s="6">
        <v>1</v>
      </c>
      <c r="E10" s="6">
        <v>1</v>
      </c>
      <c r="F10" s="6">
        <v>1.5</v>
      </c>
      <c r="G10" s="6">
        <v>1</v>
      </c>
      <c r="H10" s="6">
        <v>1</v>
      </c>
      <c r="I10" s="6">
        <v>1</v>
      </c>
      <c r="J10" s="6">
        <v>1.5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ht="15.6" x14ac:dyDescent="0.3">
      <c r="A11" s="5" t="s">
        <v>802</v>
      </c>
      <c r="B11" s="6">
        <v>1</v>
      </c>
      <c r="C11" s="6">
        <v>1</v>
      </c>
      <c r="D11" s="6">
        <v>1.5</v>
      </c>
      <c r="E11" s="6">
        <v>1</v>
      </c>
      <c r="F11" s="6">
        <v>1</v>
      </c>
      <c r="G11" s="6">
        <v>1</v>
      </c>
      <c r="H11" s="6">
        <v>1.5</v>
      </c>
      <c r="I11" s="6">
        <v>1</v>
      </c>
      <c r="J11" s="6">
        <v>1</v>
      </c>
      <c r="K11" s="6">
        <v>1</v>
      </c>
      <c r="L11" s="6">
        <v>0.5</v>
      </c>
      <c r="M11" s="6">
        <v>1</v>
      </c>
      <c r="N11" s="6">
        <v>1</v>
      </c>
      <c r="O11" s="6">
        <v>1</v>
      </c>
      <c r="P11" s="6">
        <v>1</v>
      </c>
    </row>
    <row r="12" spans="1:16" ht="15.6" x14ac:dyDescent="0.3">
      <c r="A12" s="5" t="s">
        <v>803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1.5</v>
      </c>
      <c r="H12" s="6">
        <v>1</v>
      </c>
      <c r="I12" s="6">
        <v>1</v>
      </c>
      <c r="J12" s="6">
        <v>1.5</v>
      </c>
      <c r="K12" s="6">
        <v>1</v>
      </c>
      <c r="L12" s="6">
        <v>1</v>
      </c>
      <c r="M12" s="6">
        <v>0.5</v>
      </c>
      <c r="N12" s="6">
        <v>1</v>
      </c>
      <c r="O12" s="6">
        <v>1</v>
      </c>
      <c r="P12" s="6">
        <v>1</v>
      </c>
    </row>
    <row r="13" spans="1:16" ht="15.6" x14ac:dyDescent="0.3">
      <c r="A13" s="5" t="s">
        <v>804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1.5</v>
      </c>
      <c r="P13" s="6">
        <v>1</v>
      </c>
    </row>
  </sheetData>
  <mergeCells count="2">
    <mergeCell ref="A1:L1"/>
    <mergeCell ref="M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Corey Eacret</cp:lastModifiedBy>
  <dcterms:created xsi:type="dcterms:W3CDTF">2024-07-31T01:02:05Z</dcterms:created>
  <dcterms:modified xsi:type="dcterms:W3CDTF">2024-08-27T08:46:50Z</dcterms:modified>
</cp:coreProperties>
</file>