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44" i="1" l="1"/>
  <c r="B46" i="1"/>
  <c r="B45" i="1"/>
  <c r="E10" i="1" l="1"/>
  <c r="C10" i="1"/>
  <c r="E9" i="1"/>
  <c r="C9" i="1"/>
  <c r="B38" i="1" s="1"/>
  <c r="B39" i="1" l="1"/>
  <c r="B43" i="1"/>
  <c r="C23" i="1"/>
  <c r="C30" i="1"/>
  <c r="C31" i="1" s="1"/>
  <c r="C33" i="1"/>
  <c r="C26" i="1"/>
  <c r="K10" i="1" l="1"/>
  <c r="K14" i="1"/>
  <c r="K11" i="1"/>
  <c r="K19" i="1"/>
  <c r="K16" i="1"/>
  <c r="K20" i="1"/>
  <c r="C27" i="1"/>
  <c r="K9" i="1" s="1"/>
  <c r="B41" i="1"/>
  <c r="J48" i="1"/>
  <c r="B40" i="1"/>
  <c r="J35" i="1"/>
  <c r="J53" i="1"/>
  <c r="J50" i="1"/>
  <c r="J42" i="1"/>
  <c r="J12" i="1"/>
  <c r="J24" i="1"/>
  <c r="C34" i="1"/>
  <c r="K33" i="1" s="1"/>
  <c r="K34" i="1"/>
  <c r="K44" i="1"/>
  <c r="C24" i="1"/>
  <c r="J7" i="1" s="1"/>
  <c r="K51" i="1" l="1"/>
  <c r="K50" i="1"/>
  <c r="K48" i="1"/>
  <c r="K42" i="1"/>
  <c r="J13" i="1"/>
  <c r="J23" i="1"/>
  <c r="K8" i="1"/>
  <c r="K7" i="1"/>
  <c r="K17" i="1"/>
  <c r="K47" i="1"/>
  <c r="K37" i="1"/>
  <c r="K36" i="1"/>
  <c r="J17" i="1"/>
  <c r="K24" i="1"/>
  <c r="K23" i="1"/>
  <c r="K6" i="1"/>
  <c r="K13" i="1"/>
  <c r="J39" i="1"/>
  <c r="K41" i="1"/>
  <c r="K46" i="1"/>
  <c r="K53" i="1"/>
  <c r="K40" i="1"/>
  <c r="K52" i="1"/>
  <c r="J16" i="1"/>
  <c r="J20" i="1"/>
  <c r="J8" i="1"/>
  <c r="J22" i="1"/>
  <c r="J19" i="1"/>
  <c r="J47" i="1"/>
  <c r="J32" i="1"/>
  <c r="J36" i="1"/>
  <c r="J40" i="1"/>
  <c r="J44" i="1"/>
  <c r="K18" i="1"/>
  <c r="K21" i="1"/>
  <c r="J18" i="1"/>
  <c r="J21" i="1"/>
  <c r="J15" i="1"/>
  <c r="J37" i="1"/>
  <c r="J46" i="1"/>
  <c r="J49" i="1"/>
  <c r="J52" i="1"/>
  <c r="J34" i="1"/>
  <c r="J10" i="1"/>
  <c r="J9" i="1"/>
  <c r="K45" i="1"/>
  <c r="K49" i="1"/>
  <c r="K35" i="1"/>
  <c r="K39" i="1"/>
  <c r="K32" i="1"/>
  <c r="J11" i="1"/>
  <c r="J14" i="1"/>
  <c r="J6" i="1"/>
  <c r="J25" i="1"/>
  <c r="J51" i="1"/>
  <c r="J33" i="1"/>
  <c r="J41" i="1"/>
  <c r="J45" i="1"/>
  <c r="K12" i="1"/>
  <c r="K15" i="1"/>
  <c r="K22" i="1"/>
  <c r="K25" i="1"/>
</calcChain>
</file>

<file path=xl/sharedStrings.xml><?xml version="1.0" encoding="utf-8"?>
<sst xmlns="http://schemas.openxmlformats.org/spreadsheetml/2006/main" count="72" uniqueCount="41">
  <si>
    <t>Measurements from Gulper</t>
  </si>
  <si>
    <t>dD</t>
  </si>
  <si>
    <t>d18O</t>
  </si>
  <si>
    <t>d18O_uncertainty</t>
  </si>
  <si>
    <t>Florida</t>
  </si>
  <si>
    <t>Antarctica</t>
  </si>
  <si>
    <t>Standards</t>
  </si>
  <si>
    <t>dD_uncertainty</t>
  </si>
  <si>
    <t xml:space="preserve">Florida </t>
  </si>
  <si>
    <t xml:space="preserve">Boulder </t>
  </si>
  <si>
    <t xml:space="preserve">Antarctica </t>
  </si>
  <si>
    <t>Mean Florida</t>
  </si>
  <si>
    <t>Mean Antarctica</t>
  </si>
  <si>
    <t>Calibration</t>
  </si>
  <si>
    <t xml:space="preserve">Slope of calibration curve = </t>
  </si>
  <si>
    <t xml:space="preserve">Intercept of cal curve = </t>
  </si>
  <si>
    <t>calc using b = y - mx</t>
  </si>
  <si>
    <t>Testing the fit parameters</t>
  </si>
  <si>
    <t>x</t>
  </si>
  <si>
    <t>y_dD</t>
  </si>
  <si>
    <t>y_d18O</t>
  </si>
  <si>
    <t>For measured over standard:</t>
  </si>
  <si>
    <t>For standard over measured</t>
  </si>
  <si>
    <t>Measured over standard:</t>
  </si>
  <si>
    <t>Standard over measured:</t>
  </si>
  <si>
    <t xml:space="preserve">dD_uncertainty </t>
  </si>
  <si>
    <t xml:space="preserve">sig_m = </t>
  </si>
  <si>
    <t xml:space="preserve">sig_b = </t>
  </si>
  <si>
    <t xml:space="preserve">Uncertainties </t>
  </si>
  <si>
    <t>, calc same as for dD</t>
  </si>
  <si>
    <t xml:space="preserve">s_b = </t>
  </si>
  <si>
    <t xml:space="preserve">sig_dD = </t>
  </si>
  <si>
    <t xml:space="preserve">sig_d18O = </t>
  </si>
  <si>
    <t>, calc using sig_dD = sqrt(m^2*sig_x^2 + sig_b^2)</t>
  </si>
  <si>
    <t xml:space="preserve">m_shifted = </t>
  </si>
  <si>
    <t>*</t>
  </si>
  <si>
    <t>**</t>
  </si>
  <si>
    <t>***</t>
  </si>
  <si>
    <t xml:space="preserve">* m_shifted is the slope that would have been calculated in the worst-case senario, where the measurements and standards for each of the data points (i.e. x and y data) were shifted by their full uncertainties in opposing directions such that m shifted by its maximum amount. </t>
  </si>
  <si>
    <t>** sig_m is the difference between the estimate of m and m_shifted</t>
  </si>
  <si>
    <t>*** sig_b was calculated using the partial derivative method on the function b = y - mx, and the uncertainties for measured and standard, as well as sig_m.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</si>
</sst>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16" fontId="0" fillId="0" borderId="4" xfId="0" applyNumberFormat="1" applyBorder="1"/>
    <xf numFmtId="0" fontId="1" fillId="0" borderId="4" xfId="0" applyFont="1" applyFill="1" applyBorder="1"/>
    <xf numFmtId="0" fontId="2" fillId="0" borderId="4" xfId="0" applyFont="1" applyBorder="1"/>
    <xf numFmtId="0" fontId="2" fillId="0" borderId="4" xfId="0" applyFont="1" applyFill="1" applyBorder="1"/>
    <xf numFmtId="0" fontId="3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8" xfId="0" applyFont="1" applyBorder="1"/>
    <xf numFmtId="0" fontId="4" fillId="2" borderId="2" xfId="1" applyBorder="1"/>
    <xf numFmtId="0" fontId="4" fillId="2" borderId="3" xfId="1" applyBorder="1"/>
    <xf numFmtId="0" fontId="4" fillId="2" borderId="4" xfId="1" applyBorder="1"/>
    <xf numFmtId="0" fontId="4" fillId="2" borderId="0" xfId="1" applyBorder="1"/>
    <xf numFmtId="0" fontId="4" fillId="2" borderId="5" xfId="1" applyBorder="1"/>
    <xf numFmtId="0" fontId="5" fillId="2" borderId="1" xfId="1" applyFont="1" applyBorder="1"/>
    <xf numFmtId="0" fontId="5" fillId="2" borderId="4" xfId="1" applyFont="1" applyBorder="1"/>
    <xf numFmtId="0" fontId="5" fillId="2" borderId="0" xfId="1" applyFont="1" applyBorder="1"/>
    <xf numFmtId="0" fontId="5" fillId="2" borderId="0" xfId="1" applyFont="1" applyBorder="1" applyAlignment="1">
      <alignment wrapText="1"/>
    </xf>
    <xf numFmtId="0" fontId="5" fillId="2" borderId="4" xfId="1" applyFont="1" applyBorder="1" applyAlignment="1">
      <alignment wrapText="1"/>
    </xf>
    <xf numFmtId="0" fontId="5" fillId="2" borderId="5" xfId="1" applyFont="1" applyBorder="1" applyAlignment="1">
      <alignment wrapText="1"/>
    </xf>
    <xf numFmtId="0" fontId="5" fillId="2" borderId="5" xfId="1" applyFont="1" applyBorder="1"/>
    <xf numFmtId="0" fontId="5" fillId="2" borderId="6" xfId="1" applyFont="1" applyBorder="1" applyAlignment="1">
      <alignment wrapText="1"/>
    </xf>
    <xf numFmtId="0" fontId="5" fillId="2" borderId="7" xfId="1" applyFont="1" applyBorder="1" applyAlignment="1">
      <alignment wrapText="1"/>
    </xf>
    <xf numFmtId="0" fontId="5" fillId="2" borderId="8" xfId="1" applyFont="1" applyBorder="1" applyAlignment="1">
      <alignment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dD - measured vs standard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(Sheet1!$B$15,Sheet1!$B$17)</c:f>
              <c:numCache>
                <c:formatCode>General</c:formatCode>
                <c:ptCount val="2"/>
                <c:pt idx="0">
                  <c:v>-3.56</c:v>
                </c:pt>
                <c:pt idx="1">
                  <c:v>-235.3</c:v>
                </c:pt>
              </c:numCache>
            </c:numRef>
          </c:xVal>
          <c:yVal>
            <c:numRef>
              <c:f>(Sheet1!$C$9,Sheet1!$C$10)</c:f>
              <c:numCache>
                <c:formatCode>General</c:formatCode>
                <c:ptCount val="2"/>
                <c:pt idx="0">
                  <c:v>-5.5763316664999998</c:v>
                </c:pt>
                <c:pt idx="1">
                  <c:v>-217.3972857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9-4A2B-863B-663CACAE46E1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Sheet1!$I$6:$I$25</c:f>
              <c:numCache>
                <c:formatCode>General</c:formatCode>
                <c:ptCount val="20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-15</c:v>
                </c:pt>
                <c:pt idx="7">
                  <c:v>-20</c:v>
                </c:pt>
                <c:pt idx="8">
                  <c:v>-40</c:v>
                </c:pt>
                <c:pt idx="9">
                  <c:v>-60</c:v>
                </c:pt>
                <c:pt idx="10">
                  <c:v>-80</c:v>
                </c:pt>
                <c:pt idx="11">
                  <c:v>-100</c:v>
                </c:pt>
                <c:pt idx="12">
                  <c:v>-120</c:v>
                </c:pt>
                <c:pt idx="13">
                  <c:v>-140</c:v>
                </c:pt>
                <c:pt idx="14">
                  <c:v>-160</c:v>
                </c:pt>
                <c:pt idx="15">
                  <c:v>-180</c:v>
                </c:pt>
                <c:pt idx="16">
                  <c:v>-200</c:v>
                </c:pt>
                <c:pt idx="17">
                  <c:v>-220</c:v>
                </c:pt>
                <c:pt idx="18">
                  <c:v>-240</c:v>
                </c:pt>
                <c:pt idx="19">
                  <c:v>-260</c:v>
                </c:pt>
              </c:numCache>
            </c:numRef>
          </c:xVal>
          <c:yVal>
            <c:numRef>
              <c:f>Sheet1!$J$6:$J$25</c:f>
              <c:numCache>
                <c:formatCode>General</c:formatCode>
                <c:ptCount val="20"/>
                <c:pt idx="0">
                  <c:v>-2.3223289204947548</c:v>
                </c:pt>
                <c:pt idx="1">
                  <c:v>-4.150420350834791</c:v>
                </c:pt>
                <c:pt idx="2">
                  <c:v>-5.9785117811748272</c:v>
                </c:pt>
                <c:pt idx="3">
                  <c:v>-7.8066032115148625</c:v>
                </c:pt>
                <c:pt idx="4">
                  <c:v>-9.6346946418548995</c:v>
                </c:pt>
                <c:pt idx="5">
                  <c:v>-11.462786072194934</c:v>
                </c:pt>
                <c:pt idx="6">
                  <c:v>-16.033014648045025</c:v>
                </c:pt>
                <c:pt idx="7">
                  <c:v>-20.603243223895113</c:v>
                </c:pt>
                <c:pt idx="8">
                  <c:v>-38.884157527295471</c:v>
                </c:pt>
                <c:pt idx="9">
                  <c:v>-57.165071830695837</c:v>
                </c:pt>
                <c:pt idx="10">
                  <c:v>-75.445986134096188</c:v>
                </c:pt>
                <c:pt idx="11">
                  <c:v>-93.726900437496553</c:v>
                </c:pt>
                <c:pt idx="12">
                  <c:v>-112.00781474089692</c:v>
                </c:pt>
                <c:pt idx="13">
                  <c:v>-130.28872904429727</c:v>
                </c:pt>
                <c:pt idx="14">
                  <c:v>-148.56964334769762</c:v>
                </c:pt>
                <c:pt idx="15">
                  <c:v>-166.850557651098</c:v>
                </c:pt>
                <c:pt idx="16">
                  <c:v>-185.13147195449835</c:v>
                </c:pt>
                <c:pt idx="17">
                  <c:v>-203.4123862578987</c:v>
                </c:pt>
                <c:pt idx="18">
                  <c:v>-221.69330056129908</c:v>
                </c:pt>
                <c:pt idx="19">
                  <c:v>-239.97421486469943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9-4A2B-863B-663CACAE4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10216"/>
        <c:axId val="329207472"/>
      </c:scatterChart>
      <c:valAx>
        <c:axId val="32921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standard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07472"/>
        <c:crosses val="autoZero"/>
        <c:crossBetween val="midCat"/>
      </c:valAx>
      <c:valAx>
        <c:axId val="3292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</a:t>
                </a:r>
              </a:p>
            </c:rich>
          </c:tx>
          <c:layout>
            <c:manualLayout>
              <c:xMode val="edge"/>
              <c:yMode val="edge"/>
              <c:x val="3.2505910165484632E-2"/>
              <c:y val="0.4119557949993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1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d18O - measurements</a:t>
            </a:r>
            <a:r>
              <a:rPr lang="en-US" b="1" baseline="0"/>
              <a:t> vs standards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(Sheet1!$D$15,Sheet1!$D$17)</c:f>
              <c:numCache>
                <c:formatCode>General</c:formatCode>
                <c:ptCount val="2"/>
                <c:pt idx="0">
                  <c:v>-0.95</c:v>
                </c:pt>
                <c:pt idx="1">
                  <c:v>-29.74</c:v>
                </c:pt>
              </c:numCache>
            </c:numRef>
          </c:xVal>
          <c:yVal>
            <c:numRef>
              <c:f>(Sheet1!$E$9,Sheet1!$E$10)</c:f>
              <c:numCache>
                <c:formatCode>General</c:formatCode>
                <c:ptCount val="2"/>
                <c:pt idx="0">
                  <c:v>6.2209446110000002</c:v>
                </c:pt>
                <c:pt idx="1">
                  <c:v>-20.728042854999998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6-49DC-84C3-224E9BBAEC52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Sheet1!$I$6:$I$13</c:f>
              <c:numCache>
                <c:formatCode>General</c:formatCode>
                <c:ptCount val="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-15</c:v>
                </c:pt>
                <c:pt idx="7">
                  <c:v>-20</c:v>
                </c:pt>
              </c:numCache>
            </c:numRef>
          </c:xVal>
          <c:yVal>
            <c:numRef>
              <c:f>Sheet1!$K$6:$K$13</c:f>
              <c:numCache>
                <c:formatCode>General</c:formatCode>
                <c:ptCount val="8"/>
                <c:pt idx="0">
                  <c:v>7.1101956736154932</c:v>
                </c:pt>
                <c:pt idx="1">
                  <c:v>5.2380881733723532</c:v>
                </c:pt>
                <c:pt idx="2">
                  <c:v>3.3659806731292132</c:v>
                </c:pt>
                <c:pt idx="3">
                  <c:v>1.4938731728860732</c:v>
                </c:pt>
                <c:pt idx="4">
                  <c:v>-0.37823432735706675</c:v>
                </c:pt>
                <c:pt idx="5">
                  <c:v>-2.2503418276002058</c:v>
                </c:pt>
                <c:pt idx="6">
                  <c:v>-6.9306105782080571</c:v>
                </c:pt>
                <c:pt idx="7">
                  <c:v>-11.610879328815905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36-49DC-84C3-224E9BBAE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07080"/>
        <c:axId val="329209824"/>
      </c:scatterChart>
      <c:valAx>
        <c:axId val="32920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standard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09824"/>
        <c:crosses val="autoZero"/>
        <c:crossBetween val="midCat"/>
      </c:valAx>
      <c:valAx>
        <c:axId val="3292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0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over measured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293375532509063E-2"/>
          <c:y val="6.4520466015194441E-2"/>
          <c:w val="0.91709030112543299"/>
          <c:h val="0.81449599873462142"/>
        </c:manualLayout>
      </c:layout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(Sheet1!$C$9,Sheet1!$C$10)</c:f>
              <c:numCache>
                <c:formatCode>General</c:formatCode>
                <c:ptCount val="2"/>
                <c:pt idx="0">
                  <c:v>-5.5763316664999998</c:v>
                </c:pt>
                <c:pt idx="1">
                  <c:v>-217.3972857</c:v>
                </c:pt>
              </c:numCache>
            </c:numRef>
          </c:xVal>
          <c:yVal>
            <c:numRef>
              <c:f>(Sheet1!$B$15,Sheet1!$B$17)</c:f>
              <c:numCache>
                <c:formatCode>General</c:formatCode>
                <c:ptCount val="2"/>
                <c:pt idx="0">
                  <c:v>-3.56</c:v>
                </c:pt>
                <c:pt idx="1">
                  <c:v>-235.3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1-4F6C-98F4-6EB70DE8BDCA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Sheet1!$I$32:$I$53</c:f>
              <c:numCache>
                <c:formatCode>General</c:formatCode>
                <c:ptCount val="22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7">
                  <c:v>-15</c:v>
                </c:pt>
                <c:pt idx="8">
                  <c:v>-20</c:v>
                </c:pt>
                <c:pt idx="9">
                  <c:v>-40</c:v>
                </c:pt>
                <c:pt idx="10">
                  <c:v>-60</c:v>
                </c:pt>
                <c:pt idx="12">
                  <c:v>-80</c:v>
                </c:pt>
                <c:pt idx="13">
                  <c:v>-100</c:v>
                </c:pt>
                <c:pt idx="14">
                  <c:v>-120</c:v>
                </c:pt>
                <c:pt idx="15">
                  <c:v>-140</c:v>
                </c:pt>
                <c:pt idx="16">
                  <c:v>-160</c:v>
                </c:pt>
                <c:pt idx="17">
                  <c:v>-180</c:v>
                </c:pt>
                <c:pt idx="18">
                  <c:v>-200</c:v>
                </c:pt>
                <c:pt idx="19">
                  <c:v>-220</c:v>
                </c:pt>
                <c:pt idx="20">
                  <c:v>-240</c:v>
                </c:pt>
                <c:pt idx="21">
                  <c:v>-260</c:v>
                </c:pt>
              </c:numCache>
            </c:numRef>
          </c:xVal>
          <c:yVal>
            <c:numRef>
              <c:f>Sheet1!$J$32:$J$53</c:f>
              <c:numCache>
                <c:formatCode>General</c:formatCode>
                <c:ptCount val="22"/>
                <c:pt idx="0">
                  <c:v>2.5407141918090699</c:v>
                </c:pt>
                <c:pt idx="1">
                  <c:v>0.35263982440394726</c:v>
                </c:pt>
                <c:pt idx="2">
                  <c:v>-1.8354345430011754</c:v>
                </c:pt>
                <c:pt idx="3">
                  <c:v>-4.0235089104062975</c:v>
                </c:pt>
                <c:pt idx="4">
                  <c:v>-6.2115832778114211</c:v>
                </c:pt>
                <c:pt idx="5">
                  <c:v>-8.3996576452165428</c:v>
                </c:pt>
                <c:pt idx="7">
                  <c:v>-13.869843563729351</c:v>
                </c:pt>
                <c:pt idx="8">
                  <c:v>-19.340029482242155</c:v>
                </c:pt>
                <c:pt idx="9">
                  <c:v>-41.220773156293376</c:v>
                </c:pt>
                <c:pt idx="10">
                  <c:v>-63.101516830344607</c:v>
                </c:pt>
                <c:pt idx="12">
                  <c:v>-84.982260504395825</c:v>
                </c:pt>
                <c:pt idx="13">
                  <c:v>-106.86300417844706</c:v>
                </c:pt>
                <c:pt idx="14">
                  <c:v>-128.7437478524983</c:v>
                </c:pt>
                <c:pt idx="15">
                  <c:v>-150.62449152654952</c:v>
                </c:pt>
                <c:pt idx="16">
                  <c:v>-172.50523520060074</c:v>
                </c:pt>
                <c:pt idx="17">
                  <c:v>-194.38597887465198</c:v>
                </c:pt>
                <c:pt idx="18">
                  <c:v>-216.2667225487032</c:v>
                </c:pt>
                <c:pt idx="19">
                  <c:v>-238.14746622275442</c:v>
                </c:pt>
                <c:pt idx="20">
                  <c:v>-260.02820989680566</c:v>
                </c:pt>
                <c:pt idx="21">
                  <c:v>-281.90895357085691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21-4F6C-98F4-6EB70DE8B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18280"/>
        <c:axId val="330817496"/>
      </c:scatterChart>
      <c:valAx>
        <c:axId val="33081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7496"/>
        <c:crosses val="autoZero"/>
        <c:crossBetween val="midCat"/>
      </c:valAx>
      <c:valAx>
        <c:axId val="33081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5716972878390219E-2"/>
          <c:y val="0.28119760653187048"/>
          <c:w val="0.13466994476872587"/>
          <c:h val="0.10593294482257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over measured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(Sheet1!$E$9,Sheet1!$E$10)</c:f>
              <c:numCache>
                <c:formatCode>General</c:formatCode>
                <c:ptCount val="2"/>
                <c:pt idx="0">
                  <c:v>6.2209446110000002</c:v>
                </c:pt>
                <c:pt idx="1">
                  <c:v>-20.728042854999998</c:v>
                </c:pt>
              </c:numCache>
            </c:numRef>
          </c:xVal>
          <c:yVal>
            <c:numRef>
              <c:f>(Sheet1!$D$15,Sheet1!$D$17)</c:f>
              <c:numCache>
                <c:formatCode>General</c:formatCode>
                <c:ptCount val="2"/>
                <c:pt idx="0">
                  <c:v>-0.95</c:v>
                </c:pt>
                <c:pt idx="1">
                  <c:v>-29.74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C-4324-BD99-1DC68AE3F357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Sheet1!$I$32:$I$53</c:f>
              <c:numCache>
                <c:formatCode>General</c:formatCode>
                <c:ptCount val="22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7">
                  <c:v>-15</c:v>
                </c:pt>
                <c:pt idx="8">
                  <c:v>-20</c:v>
                </c:pt>
                <c:pt idx="9">
                  <c:v>-40</c:v>
                </c:pt>
                <c:pt idx="10">
                  <c:v>-60</c:v>
                </c:pt>
                <c:pt idx="12">
                  <c:v>-80</c:v>
                </c:pt>
                <c:pt idx="13">
                  <c:v>-100</c:v>
                </c:pt>
                <c:pt idx="14">
                  <c:v>-120</c:v>
                </c:pt>
                <c:pt idx="15">
                  <c:v>-140</c:v>
                </c:pt>
                <c:pt idx="16">
                  <c:v>-160</c:v>
                </c:pt>
                <c:pt idx="17">
                  <c:v>-180</c:v>
                </c:pt>
                <c:pt idx="18">
                  <c:v>-200</c:v>
                </c:pt>
                <c:pt idx="19">
                  <c:v>-220</c:v>
                </c:pt>
                <c:pt idx="20">
                  <c:v>-240</c:v>
                </c:pt>
                <c:pt idx="21">
                  <c:v>-260</c:v>
                </c:pt>
              </c:numCache>
            </c:numRef>
          </c:xVal>
          <c:yVal>
            <c:numRef>
              <c:f>Sheet1!$K$32:$K$53</c:f>
              <c:numCache>
                <c:formatCode>General</c:formatCode>
                <c:ptCount val="22"/>
                <c:pt idx="0">
                  <c:v>-7.5959267004614377</c:v>
                </c:pt>
                <c:pt idx="1">
                  <c:v>-9.7325561405339229</c:v>
                </c:pt>
                <c:pt idx="2">
                  <c:v>-11.869185580606409</c:v>
                </c:pt>
                <c:pt idx="3">
                  <c:v>-14.005815020678893</c:v>
                </c:pt>
                <c:pt idx="4">
                  <c:v>-16.142444460751378</c:v>
                </c:pt>
                <c:pt idx="5">
                  <c:v>-18.279073900823864</c:v>
                </c:pt>
                <c:pt idx="7">
                  <c:v>-23.620647501005077</c:v>
                </c:pt>
                <c:pt idx="8">
                  <c:v>-28.962221101186291</c:v>
                </c:pt>
                <c:pt idx="9">
                  <c:v>-50.328515501911149</c:v>
                </c:pt>
                <c:pt idx="10">
                  <c:v>-71.694809902635996</c:v>
                </c:pt>
                <c:pt idx="12">
                  <c:v>-93.06110430336085</c:v>
                </c:pt>
                <c:pt idx="13">
                  <c:v>-114.42739870408569</c:v>
                </c:pt>
                <c:pt idx="14">
                  <c:v>-135.79369310481056</c:v>
                </c:pt>
                <c:pt idx="15">
                  <c:v>-157.15998750553541</c:v>
                </c:pt>
                <c:pt idx="16">
                  <c:v>-178.52628190626027</c:v>
                </c:pt>
                <c:pt idx="17">
                  <c:v>-199.89257630698509</c:v>
                </c:pt>
                <c:pt idx="18">
                  <c:v>-221.25887070770995</c:v>
                </c:pt>
                <c:pt idx="19">
                  <c:v>-242.6251651084348</c:v>
                </c:pt>
                <c:pt idx="20">
                  <c:v>-263.99145950915971</c:v>
                </c:pt>
                <c:pt idx="21">
                  <c:v>-285.35775390988454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2C-4324-BD99-1DC68AE3F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15144"/>
        <c:axId val="330817104"/>
      </c:scatterChart>
      <c:valAx>
        <c:axId val="33081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7104"/>
        <c:crosses val="autoZero"/>
        <c:crossBetween val="midCat"/>
      </c:valAx>
      <c:valAx>
        <c:axId val="3308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213360</xdr:rowOff>
    </xdr:from>
    <xdr:to>
      <xdr:col>18</xdr:col>
      <xdr:colOff>182880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144780</xdr:colOff>
      <xdr:row>19</xdr:row>
      <xdr:rowOff>167640</xdr:rowOff>
    </xdr:from>
    <xdr:to>
      <xdr:col>18</xdr:col>
      <xdr:colOff>190500</xdr:colOff>
      <xdr:row>43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175260</xdr:colOff>
      <xdr:row>44</xdr:row>
      <xdr:rowOff>45720</xdr:rowOff>
    </xdr:from>
    <xdr:to>
      <xdr:col>20</xdr:col>
      <xdr:colOff>167640</xdr:colOff>
      <xdr:row>66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99060</xdr:colOff>
      <xdr:row>66</xdr:row>
      <xdr:rowOff>144780</xdr:rowOff>
    </xdr:from>
    <xdr:to>
      <xdr:col>20</xdr:col>
      <xdr:colOff>160020</xdr:colOff>
      <xdr:row>84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28" workbookViewId="0">
      <selection activeCell="C52" sqref="C52"/>
    </sheetView>
  </sheetViews>
  <sheetFormatPr defaultRowHeight="15" x14ac:dyDescent="0.25"/>
  <cols>
    <col min="1" max="1" width="11.85546875" customWidth="1"/>
    <col min="2" max="2" width="13.140625" customWidth="1"/>
    <col min="3" max="3" width="13" customWidth="1"/>
    <col min="4" max="4" width="10.28515625" customWidth="1"/>
  </cols>
  <sheetData>
    <row r="1" spans="1:11" ht="23.25" x14ac:dyDescent="0.35">
      <c r="A1" s="11" t="s">
        <v>0</v>
      </c>
      <c r="B1" s="3"/>
      <c r="C1" s="3"/>
      <c r="D1" s="3"/>
      <c r="E1" s="3"/>
      <c r="F1" s="3"/>
      <c r="G1" s="4"/>
    </row>
    <row r="2" spans="1:11" ht="15.75" thickBot="1" x14ac:dyDescent="0.3">
      <c r="A2" s="5"/>
      <c r="B2" s="6"/>
      <c r="C2" s="6"/>
      <c r="D2" s="6"/>
      <c r="E2" s="6"/>
      <c r="F2" s="6"/>
      <c r="G2" s="7"/>
    </row>
    <row r="3" spans="1:11" s="1" customFormat="1" ht="15.75" thickBot="1" x14ac:dyDescent="0.3">
      <c r="A3" s="12"/>
      <c r="B3" s="13"/>
      <c r="C3" s="13" t="s">
        <v>1</v>
      </c>
      <c r="D3" s="13" t="s">
        <v>25</v>
      </c>
      <c r="E3" s="13" t="s">
        <v>2</v>
      </c>
      <c r="F3" s="13" t="s">
        <v>3</v>
      </c>
      <c r="G3" s="14"/>
      <c r="I3" s="20" t="s">
        <v>23</v>
      </c>
      <c r="J3" s="21"/>
      <c r="K3" s="22"/>
    </row>
    <row r="4" spans="1:11" ht="15.75" thickBot="1" x14ac:dyDescent="0.3">
      <c r="A4" s="15">
        <v>42878</v>
      </c>
      <c r="B4" s="13" t="s">
        <v>4</v>
      </c>
      <c r="C4" s="2">
        <v>-5.3233333329999999</v>
      </c>
      <c r="D4" s="3">
        <v>0.58555199999999996</v>
      </c>
      <c r="E4" s="3">
        <v>6.2602222220000003</v>
      </c>
      <c r="F4" s="3">
        <v>6.2336999999999997E-2</v>
      </c>
      <c r="G4" s="4"/>
      <c r="I4" s="23" t="s">
        <v>17</v>
      </c>
      <c r="J4" s="9"/>
      <c r="K4" s="24"/>
    </row>
    <row r="5" spans="1:11" x14ac:dyDescent="0.25">
      <c r="A5" s="15">
        <v>42878</v>
      </c>
      <c r="B5" s="13" t="s">
        <v>5</v>
      </c>
      <c r="C5" s="5">
        <v>-215.32757140000001</v>
      </c>
      <c r="D5" s="6">
        <v>2.3683450000000001</v>
      </c>
      <c r="E5" s="6">
        <v>-20.37828571</v>
      </c>
      <c r="F5" s="6">
        <v>0.59455000000000002</v>
      </c>
      <c r="G5" s="7"/>
      <c r="I5" s="2" t="s">
        <v>18</v>
      </c>
      <c r="J5" s="3" t="s">
        <v>19</v>
      </c>
      <c r="K5" s="4" t="s">
        <v>20</v>
      </c>
    </row>
    <row r="6" spans="1:11" x14ac:dyDescent="0.25">
      <c r="A6" s="15">
        <v>42881</v>
      </c>
      <c r="B6" s="13" t="s">
        <v>4</v>
      </c>
      <c r="C6" s="5">
        <v>-5.8293299999999997</v>
      </c>
      <c r="D6" s="6">
        <v>1.0465</v>
      </c>
      <c r="E6" s="6">
        <v>6.181667</v>
      </c>
      <c r="F6" s="6">
        <v>7.6130000000000003E-2</v>
      </c>
      <c r="G6" s="7"/>
      <c r="I6" s="5">
        <v>0</v>
      </c>
      <c r="J6" s="6">
        <f xml:space="preserve"> $C$23*I6 + $C$24</f>
        <v>-2.3223289204947548</v>
      </c>
      <c r="K6" s="7">
        <f xml:space="preserve"> $C$26*I6 + $C$27</f>
        <v>7.1101956736154932</v>
      </c>
    </row>
    <row r="7" spans="1:11" ht="15.75" thickBot="1" x14ac:dyDescent="0.3">
      <c r="A7" s="15">
        <v>42881</v>
      </c>
      <c r="B7" s="13" t="s">
        <v>5</v>
      </c>
      <c r="C7" s="8">
        <v>-219.46700000000001</v>
      </c>
      <c r="D7" s="9">
        <v>0.48054999999999998</v>
      </c>
      <c r="E7" s="9">
        <v>-21.0778</v>
      </c>
      <c r="F7" s="9">
        <v>3.7089999999999998E-2</v>
      </c>
      <c r="G7" s="10"/>
      <c r="I7" s="5">
        <v>-2</v>
      </c>
      <c r="J7" s="6">
        <f t="shared" ref="J7:J25" si="0" xml:space="preserve"> $C$23*I7 + $C$24</f>
        <v>-4.150420350834791</v>
      </c>
      <c r="K7" s="7">
        <f t="shared" ref="K7:K25" si="1" xml:space="preserve"> $C$26*I7 + $C$27</f>
        <v>5.2380881733723532</v>
      </c>
    </row>
    <row r="8" spans="1:11" ht="15.75" thickBot="1" x14ac:dyDescent="0.3">
      <c r="A8" s="5"/>
      <c r="B8" s="6"/>
      <c r="C8" s="13" t="s">
        <v>1</v>
      </c>
      <c r="D8" s="6"/>
      <c r="E8" s="13" t="s">
        <v>2</v>
      </c>
      <c r="F8" s="6"/>
      <c r="G8" s="7"/>
      <c r="I8" s="5">
        <v>-4</v>
      </c>
      <c r="J8" s="6">
        <f t="shared" si="0"/>
        <v>-5.9785117811748272</v>
      </c>
      <c r="K8" s="7">
        <f t="shared" si="1"/>
        <v>3.3659806731292132</v>
      </c>
    </row>
    <row r="9" spans="1:11" x14ac:dyDescent="0.25">
      <c r="A9" s="16" t="s">
        <v>11</v>
      </c>
      <c r="B9" s="6"/>
      <c r="C9" s="2">
        <f xml:space="preserve"> AVERAGE(C4,C6)</f>
        <v>-5.5763316664999998</v>
      </c>
      <c r="D9" s="3"/>
      <c r="E9" s="3">
        <f>AVERAGE(E4,E6)</f>
        <v>6.2209446110000002</v>
      </c>
      <c r="F9" s="3"/>
      <c r="G9" s="4"/>
      <c r="I9" s="5">
        <v>-6</v>
      </c>
      <c r="J9" s="6">
        <f t="shared" si="0"/>
        <v>-7.8066032115148625</v>
      </c>
      <c r="K9" s="7">
        <f t="shared" si="1"/>
        <v>1.4938731728860732</v>
      </c>
    </row>
    <row r="10" spans="1:11" ht="15.75" thickBot="1" x14ac:dyDescent="0.3">
      <c r="A10" s="12" t="s">
        <v>12</v>
      </c>
      <c r="B10" s="6"/>
      <c r="C10" s="8">
        <f>AVERAGE(C5,C7)</f>
        <v>-217.3972857</v>
      </c>
      <c r="D10" s="9"/>
      <c r="E10" s="9">
        <f xml:space="preserve"> AVERAGE(E5,E7)</f>
        <v>-20.728042854999998</v>
      </c>
      <c r="F10" s="9"/>
      <c r="G10" s="10"/>
      <c r="I10" s="5">
        <v>-8</v>
      </c>
      <c r="J10" s="6">
        <f t="shared" si="0"/>
        <v>-9.6346946418548995</v>
      </c>
      <c r="K10" s="7">
        <f t="shared" si="1"/>
        <v>-0.37823432735706675</v>
      </c>
    </row>
    <row r="11" spans="1:11" x14ac:dyDescent="0.25">
      <c r="A11" s="5"/>
      <c r="B11" s="6"/>
      <c r="C11" s="6"/>
      <c r="D11" s="6"/>
      <c r="E11" s="6"/>
      <c r="F11" s="6"/>
      <c r="G11" s="7"/>
      <c r="I11" s="5">
        <v>-10</v>
      </c>
      <c r="J11" s="6">
        <f t="shared" si="0"/>
        <v>-11.462786072194934</v>
      </c>
      <c r="K11" s="7">
        <f t="shared" si="1"/>
        <v>-2.2503418276002058</v>
      </c>
    </row>
    <row r="12" spans="1:11" x14ac:dyDescent="0.25">
      <c r="A12" s="5"/>
      <c r="B12" s="6"/>
      <c r="C12" s="6"/>
      <c r="D12" s="6"/>
      <c r="E12" s="6"/>
      <c r="F12" s="6"/>
      <c r="G12" s="7"/>
      <c r="H12" s="6"/>
      <c r="I12" s="5">
        <v>-15</v>
      </c>
      <c r="J12" s="6">
        <f t="shared" si="0"/>
        <v>-16.033014648045025</v>
      </c>
      <c r="K12" s="7">
        <f t="shared" si="1"/>
        <v>-6.9306105782080571</v>
      </c>
    </row>
    <row r="13" spans="1:11" ht="23.25" x14ac:dyDescent="0.35">
      <c r="A13" s="17" t="s">
        <v>6</v>
      </c>
      <c r="B13" s="6"/>
      <c r="C13" s="6"/>
      <c r="D13" s="6"/>
      <c r="E13" s="6"/>
      <c r="F13" s="6"/>
      <c r="G13" s="7"/>
      <c r="I13" s="5">
        <v>-20</v>
      </c>
      <c r="J13" s="6">
        <f t="shared" si="0"/>
        <v>-20.603243223895113</v>
      </c>
      <c r="K13" s="7">
        <f t="shared" si="1"/>
        <v>-11.610879328815905</v>
      </c>
    </row>
    <row r="14" spans="1:11" ht="15.75" thickBot="1" x14ac:dyDescent="0.3">
      <c r="A14" s="12"/>
      <c r="B14" s="13" t="s">
        <v>1</v>
      </c>
      <c r="C14" s="13" t="s">
        <v>7</v>
      </c>
      <c r="D14" s="13" t="s">
        <v>2</v>
      </c>
      <c r="E14" s="13" t="s">
        <v>3</v>
      </c>
      <c r="F14" s="6"/>
      <c r="G14" s="7"/>
      <c r="I14" s="5">
        <v>-40</v>
      </c>
      <c r="J14" s="6">
        <f t="shared" si="0"/>
        <v>-38.884157527295471</v>
      </c>
      <c r="K14" s="7">
        <f t="shared" si="1"/>
        <v>-30.331954331247303</v>
      </c>
    </row>
    <row r="15" spans="1:11" x14ac:dyDescent="0.25">
      <c r="A15" s="12" t="s">
        <v>8</v>
      </c>
      <c r="B15" s="2">
        <v>-3.56</v>
      </c>
      <c r="C15" s="3">
        <v>7.0000000000000007E-2</v>
      </c>
      <c r="D15" s="3">
        <v>-0.95</v>
      </c>
      <c r="E15" s="4">
        <v>0.06</v>
      </c>
      <c r="F15" s="6"/>
      <c r="G15" s="7"/>
      <c r="I15" s="5">
        <v>-60</v>
      </c>
      <c r="J15" s="6">
        <f t="shared" si="0"/>
        <v>-57.165071830695837</v>
      </c>
      <c r="K15" s="7">
        <f t="shared" si="1"/>
        <v>-49.053029333678708</v>
      </c>
    </row>
    <row r="16" spans="1:11" x14ac:dyDescent="0.25">
      <c r="A16" s="12" t="s">
        <v>9</v>
      </c>
      <c r="B16" s="5">
        <v>-120.68</v>
      </c>
      <c r="C16" s="6">
        <v>0.28000000000000003</v>
      </c>
      <c r="D16" s="6">
        <v>-16</v>
      </c>
      <c r="E16" s="7">
        <v>0.06</v>
      </c>
      <c r="F16" s="6"/>
      <c r="G16" s="7"/>
      <c r="H16" s="6"/>
      <c r="I16" s="5">
        <v>-80</v>
      </c>
      <c r="J16" s="6">
        <f t="shared" si="0"/>
        <v>-75.445986134096188</v>
      </c>
      <c r="K16" s="7">
        <f t="shared" si="1"/>
        <v>-67.774104336110099</v>
      </c>
    </row>
    <row r="17" spans="1:11" ht="15.75" thickBot="1" x14ac:dyDescent="0.3">
      <c r="A17" s="12" t="s">
        <v>10</v>
      </c>
      <c r="B17" s="8">
        <v>-235.3</v>
      </c>
      <c r="C17" s="9">
        <v>0.26</v>
      </c>
      <c r="D17" s="9">
        <v>-29.74</v>
      </c>
      <c r="E17" s="10">
        <v>2.5000000000000001E-2</v>
      </c>
      <c r="F17" s="6"/>
      <c r="G17" s="7"/>
      <c r="I17" s="5">
        <v>-100</v>
      </c>
      <c r="J17" s="6">
        <f t="shared" si="0"/>
        <v>-93.726900437496553</v>
      </c>
      <c r="K17" s="7">
        <f t="shared" si="1"/>
        <v>-86.495179338541504</v>
      </c>
    </row>
    <row r="18" spans="1:11" x14ac:dyDescent="0.25">
      <c r="A18" s="5"/>
      <c r="B18" s="6"/>
      <c r="C18" s="6"/>
      <c r="D18" s="6"/>
      <c r="E18" s="6"/>
      <c r="F18" s="6"/>
      <c r="G18" s="7"/>
      <c r="I18" s="5">
        <v>-120</v>
      </c>
      <c r="J18" s="6">
        <f t="shared" si="0"/>
        <v>-112.00781474089692</v>
      </c>
      <c r="K18" s="7">
        <f t="shared" si="1"/>
        <v>-105.21625434097291</v>
      </c>
    </row>
    <row r="19" spans="1:11" x14ac:dyDescent="0.25">
      <c r="A19" s="5"/>
      <c r="B19" s="6"/>
      <c r="C19" s="6"/>
      <c r="D19" s="6"/>
      <c r="E19" s="6"/>
      <c r="F19" s="6"/>
      <c r="G19" s="7"/>
      <c r="I19" s="5">
        <v>-140</v>
      </c>
      <c r="J19" s="6">
        <f t="shared" si="0"/>
        <v>-130.28872904429727</v>
      </c>
      <c r="K19" s="7">
        <f t="shared" si="1"/>
        <v>-123.93732934340431</v>
      </c>
    </row>
    <row r="20" spans="1:11" ht="24" thickBot="1" x14ac:dyDescent="0.4">
      <c r="A20" s="18" t="s">
        <v>13</v>
      </c>
      <c r="B20" s="6"/>
      <c r="C20" s="6"/>
      <c r="D20" s="6"/>
      <c r="E20" s="6"/>
      <c r="F20" s="6"/>
      <c r="G20" s="7"/>
      <c r="I20" s="5">
        <v>-160</v>
      </c>
      <c r="J20" s="6">
        <f t="shared" si="0"/>
        <v>-148.56964334769762</v>
      </c>
      <c r="K20" s="7">
        <f t="shared" si="1"/>
        <v>-142.65840434583569</v>
      </c>
    </row>
    <row r="21" spans="1:11" ht="18.75" x14ac:dyDescent="0.3">
      <c r="A21" s="19" t="s">
        <v>21</v>
      </c>
      <c r="B21" s="3"/>
      <c r="C21" s="3"/>
      <c r="D21" s="3"/>
      <c r="E21" s="3"/>
      <c r="F21" s="3"/>
      <c r="G21" s="4"/>
      <c r="I21" s="5">
        <v>-180</v>
      </c>
      <c r="J21" s="6">
        <f t="shared" si="0"/>
        <v>-166.850557651098</v>
      </c>
      <c r="K21" s="7">
        <f t="shared" si="1"/>
        <v>-161.3794793482671</v>
      </c>
    </row>
    <row r="22" spans="1:11" x14ac:dyDescent="0.25">
      <c r="A22" s="12" t="s">
        <v>1</v>
      </c>
      <c r="B22" s="6"/>
      <c r="C22" s="6"/>
      <c r="D22" s="6"/>
      <c r="E22" s="6"/>
      <c r="F22" s="6"/>
      <c r="G22" s="7"/>
      <c r="I22" s="5">
        <v>-200</v>
      </c>
      <c r="J22" s="6">
        <f t="shared" si="0"/>
        <v>-185.13147195449835</v>
      </c>
      <c r="K22" s="7">
        <f t="shared" si="1"/>
        <v>-180.1005543506985</v>
      </c>
    </row>
    <row r="23" spans="1:11" x14ac:dyDescent="0.25">
      <c r="A23" s="5" t="s">
        <v>14</v>
      </c>
      <c r="B23" s="6"/>
      <c r="C23" s="13">
        <f xml:space="preserve"> (C9-C10)/(B15-B17)</f>
        <v>0.91404571517001798</v>
      </c>
      <c r="D23" s="6"/>
      <c r="E23" s="6"/>
      <c r="F23" s="6"/>
      <c r="G23" s="7"/>
      <c r="I23" s="5">
        <v>-220</v>
      </c>
      <c r="J23" s="6">
        <f t="shared" si="0"/>
        <v>-203.4123862578987</v>
      </c>
      <c r="K23" s="7">
        <f t="shared" si="1"/>
        <v>-198.82162935312991</v>
      </c>
    </row>
    <row r="24" spans="1:11" x14ac:dyDescent="0.25">
      <c r="A24" s="5" t="s">
        <v>15</v>
      </c>
      <c r="B24" s="6"/>
      <c r="C24" s="13">
        <f xml:space="preserve"> C10 - C23*B17</f>
        <v>-2.3223289204947548</v>
      </c>
      <c r="D24" s="6"/>
      <c r="E24" s="6" t="s">
        <v>16</v>
      </c>
      <c r="F24" s="6"/>
      <c r="G24" s="7"/>
      <c r="I24" s="5">
        <v>-240</v>
      </c>
      <c r="J24" s="6">
        <f t="shared" si="0"/>
        <v>-221.69330056129908</v>
      </c>
      <c r="K24" s="7">
        <f t="shared" si="1"/>
        <v>-217.54270435556131</v>
      </c>
    </row>
    <row r="25" spans="1:11" ht="15.75" thickBot="1" x14ac:dyDescent="0.3">
      <c r="A25" s="12" t="s">
        <v>2</v>
      </c>
      <c r="B25" s="6"/>
      <c r="C25" s="13"/>
      <c r="D25" s="6"/>
      <c r="E25" s="6"/>
      <c r="F25" s="6"/>
      <c r="G25" s="7"/>
      <c r="I25" s="8">
        <v>-260</v>
      </c>
      <c r="J25" s="9">
        <f t="shared" si="0"/>
        <v>-239.97421486469943</v>
      </c>
      <c r="K25" s="10">
        <f t="shared" si="1"/>
        <v>-236.26377935799272</v>
      </c>
    </row>
    <row r="26" spans="1:11" x14ac:dyDescent="0.25">
      <c r="A26" s="5" t="s">
        <v>14</v>
      </c>
      <c r="B26" s="6"/>
      <c r="C26" s="13">
        <f xml:space="preserve"> (E9-E10)/(D15-D17)</f>
        <v>0.93605375012156999</v>
      </c>
      <c r="D26" s="6"/>
      <c r="E26" s="6" t="s">
        <v>16</v>
      </c>
      <c r="F26" s="6"/>
      <c r="G26" s="7"/>
    </row>
    <row r="27" spans="1:11" ht="15.75" thickBot="1" x14ac:dyDescent="0.3">
      <c r="A27" s="5" t="s">
        <v>15</v>
      </c>
      <c r="B27" s="6"/>
      <c r="C27" s="13">
        <f xml:space="preserve"> E10 - C26*D17</f>
        <v>7.1101956736154932</v>
      </c>
      <c r="D27" s="6"/>
      <c r="E27" s="6"/>
      <c r="F27" s="6"/>
      <c r="G27" s="7"/>
    </row>
    <row r="28" spans="1:11" ht="15.75" thickBot="1" x14ac:dyDescent="0.3">
      <c r="A28" s="30" t="s">
        <v>22</v>
      </c>
      <c r="B28" s="25"/>
      <c r="C28" s="25"/>
      <c r="D28" s="25"/>
      <c r="E28" s="25"/>
      <c r="F28" s="25"/>
      <c r="G28" s="26"/>
    </row>
    <row r="29" spans="1:11" x14ac:dyDescent="0.25">
      <c r="A29" s="31" t="s">
        <v>1</v>
      </c>
      <c r="B29" s="28"/>
      <c r="C29" s="28"/>
      <c r="D29" s="28"/>
      <c r="E29" s="28"/>
      <c r="F29" s="28"/>
      <c r="G29" s="29"/>
      <c r="I29" s="20" t="s">
        <v>24</v>
      </c>
      <c r="J29" s="21"/>
      <c r="K29" s="22"/>
    </row>
    <row r="30" spans="1:11" ht="15.75" thickBot="1" x14ac:dyDescent="0.3">
      <c r="A30" s="27" t="s">
        <v>14</v>
      </c>
      <c r="B30" s="28"/>
      <c r="C30" s="28">
        <f xml:space="preserve"> (B15-B17)/(C9-C10)</f>
        <v>1.0940371837025613</v>
      </c>
      <c r="D30" s="28"/>
      <c r="E30" s="28"/>
      <c r="F30" s="28"/>
      <c r="G30" s="29"/>
      <c r="I30" s="23" t="s">
        <v>17</v>
      </c>
      <c r="J30" s="9"/>
      <c r="K30" s="24"/>
    </row>
    <row r="31" spans="1:11" x14ac:dyDescent="0.25">
      <c r="A31" s="27" t="s">
        <v>15</v>
      </c>
      <c r="B31" s="28"/>
      <c r="C31" s="28">
        <f xml:space="preserve"> B15 - C30*C9</f>
        <v>2.5407141918090699</v>
      </c>
      <c r="D31" s="28"/>
      <c r="E31" s="28" t="s">
        <v>16</v>
      </c>
      <c r="F31" s="28"/>
      <c r="G31" s="29"/>
      <c r="I31" s="2" t="s">
        <v>18</v>
      </c>
      <c r="J31" s="3" t="s">
        <v>19</v>
      </c>
      <c r="K31" s="4" t="s">
        <v>20</v>
      </c>
    </row>
    <row r="32" spans="1:11" x14ac:dyDescent="0.25">
      <c r="A32" s="31" t="s">
        <v>2</v>
      </c>
      <c r="B32" s="28"/>
      <c r="C32" s="28"/>
      <c r="D32" s="28"/>
      <c r="E32" s="28"/>
      <c r="F32" s="28"/>
      <c r="G32" s="29"/>
      <c r="I32" s="5">
        <v>0</v>
      </c>
      <c r="J32" s="6">
        <f>$C$30*I32 + $C$31</f>
        <v>2.5407141918090699</v>
      </c>
      <c r="K32" s="7">
        <f xml:space="preserve"> $C$33*I32 + $C$34</f>
        <v>-7.5959267004614377</v>
      </c>
    </row>
    <row r="33" spans="1:11" x14ac:dyDescent="0.25">
      <c r="A33" s="27" t="s">
        <v>14</v>
      </c>
      <c r="B33" s="28"/>
      <c r="C33" s="28">
        <f xml:space="preserve"> (D15-D17)/(E9-E10)</f>
        <v>1.0683147200362426</v>
      </c>
      <c r="D33" s="28"/>
      <c r="E33" s="28" t="s">
        <v>16</v>
      </c>
      <c r="F33" s="28"/>
      <c r="G33" s="29"/>
      <c r="I33" s="5">
        <v>-2</v>
      </c>
      <c r="J33" s="6">
        <f t="shared" ref="J33:J53" si="2">$C$30*I33 + $C$31</f>
        <v>0.35263982440394726</v>
      </c>
      <c r="K33" s="7">
        <f t="shared" ref="K33:K53" si="3" xml:space="preserve"> $C$33*I33 + $C$34</f>
        <v>-9.7325561405339229</v>
      </c>
    </row>
    <row r="34" spans="1:11" x14ac:dyDescent="0.25">
      <c r="A34" s="27" t="s">
        <v>15</v>
      </c>
      <c r="B34" s="28"/>
      <c r="C34" s="28">
        <f xml:space="preserve"> D15 - C33*E9</f>
        <v>-7.5959267004614377</v>
      </c>
      <c r="D34" s="28"/>
      <c r="E34" s="28"/>
      <c r="F34" s="28"/>
      <c r="G34" s="29"/>
      <c r="I34" s="5">
        <v>-4</v>
      </c>
      <c r="J34" s="6">
        <f t="shared" si="2"/>
        <v>-1.8354345430011754</v>
      </c>
      <c r="K34" s="7">
        <f t="shared" si="3"/>
        <v>-11.869185580606409</v>
      </c>
    </row>
    <row r="35" spans="1:11" x14ac:dyDescent="0.25">
      <c r="A35" s="27"/>
      <c r="B35" s="28"/>
      <c r="C35" s="28"/>
      <c r="D35" s="28"/>
      <c r="E35" s="28"/>
      <c r="F35" s="28"/>
      <c r="G35" s="29"/>
      <c r="I35" s="5">
        <v>-6</v>
      </c>
      <c r="J35" s="6">
        <f t="shared" si="2"/>
        <v>-4.0235089104062975</v>
      </c>
      <c r="K35" s="7">
        <f t="shared" si="3"/>
        <v>-14.005815020678893</v>
      </c>
    </row>
    <row r="36" spans="1:11" x14ac:dyDescent="0.25">
      <c r="A36" s="27" t="s">
        <v>28</v>
      </c>
      <c r="B36" s="28"/>
      <c r="C36" s="28"/>
      <c r="D36" s="28"/>
      <c r="E36" s="28"/>
      <c r="F36" s="28"/>
      <c r="G36" s="29"/>
      <c r="I36" s="5">
        <v>-8</v>
      </c>
      <c r="J36" s="6">
        <f t="shared" si="2"/>
        <v>-6.2115832778114211</v>
      </c>
      <c r="K36" s="7">
        <f t="shared" si="3"/>
        <v>-16.142444460751378</v>
      </c>
    </row>
    <row r="37" spans="1:11" x14ac:dyDescent="0.25">
      <c r="A37" s="31" t="s">
        <v>1</v>
      </c>
      <c r="B37" s="28"/>
      <c r="C37" s="28"/>
      <c r="D37" s="28"/>
      <c r="E37" s="28"/>
      <c r="F37" s="28"/>
      <c r="G37" s="29"/>
      <c r="I37" s="5">
        <v>-10</v>
      </c>
      <c r="J37" s="6">
        <f t="shared" si="2"/>
        <v>-8.3996576452165428</v>
      </c>
      <c r="K37" s="7">
        <f t="shared" si="3"/>
        <v>-18.279073900823864</v>
      </c>
    </row>
    <row r="38" spans="1:11" x14ac:dyDescent="0.25">
      <c r="A38" s="27" t="s">
        <v>34</v>
      </c>
      <c r="B38" s="28">
        <f xml:space="preserve"> ( (B15+C15) - (B17-C17) )/( (C9-1) - (C10+2) )</f>
        <v>1.1113348326278132</v>
      </c>
      <c r="C38" s="28" t="s">
        <v>35</v>
      </c>
      <c r="D38" s="28"/>
      <c r="E38" s="28"/>
      <c r="F38" s="28"/>
      <c r="G38" s="29"/>
      <c r="I38" s="5"/>
      <c r="J38" s="6"/>
      <c r="K38" s="7"/>
    </row>
    <row r="39" spans="1:11" x14ac:dyDescent="0.25">
      <c r="A39" s="27" t="s">
        <v>26</v>
      </c>
      <c r="B39" s="28">
        <f xml:space="preserve"> B38-C30</f>
        <v>1.7297648925251874E-2</v>
      </c>
      <c r="C39" s="28" t="s">
        <v>36</v>
      </c>
      <c r="D39" s="28"/>
      <c r="E39" s="28"/>
      <c r="F39" s="28"/>
      <c r="G39" s="29"/>
      <c r="I39" s="5">
        <v>-15</v>
      </c>
      <c r="J39" s="6">
        <f t="shared" si="2"/>
        <v>-13.869843563729351</v>
      </c>
      <c r="K39" s="7">
        <f t="shared" si="3"/>
        <v>-23.620647501005077</v>
      </c>
    </row>
    <row r="40" spans="1:11" x14ac:dyDescent="0.25">
      <c r="A40" s="27" t="s">
        <v>27</v>
      </c>
      <c r="B40" s="28">
        <f xml:space="preserve"> C30*D5</f>
        <v>2.5910574938360429</v>
      </c>
      <c r="C40" s="28" t="s">
        <v>37</v>
      </c>
      <c r="D40" s="28"/>
      <c r="E40" s="28"/>
      <c r="F40" s="28"/>
      <c r="G40" s="29"/>
      <c r="I40" s="5">
        <v>-20</v>
      </c>
      <c r="J40" s="6">
        <f t="shared" si="2"/>
        <v>-19.340029482242155</v>
      </c>
      <c r="K40" s="7">
        <f t="shared" si="3"/>
        <v>-28.962221101186291</v>
      </c>
    </row>
    <row r="41" spans="1:11" x14ac:dyDescent="0.25">
      <c r="A41" s="27" t="s">
        <v>31</v>
      </c>
      <c r="B41" s="28">
        <f xml:space="preserve"> SQRT((C30*D5)^2 + B40^2)</f>
        <v>3.6643086486713741</v>
      </c>
      <c r="C41" s="28" t="s">
        <v>33</v>
      </c>
      <c r="D41" s="28"/>
      <c r="E41" s="28"/>
      <c r="F41" s="28"/>
      <c r="G41" s="29"/>
      <c r="I41" s="5">
        <v>-40</v>
      </c>
      <c r="J41" s="6">
        <f t="shared" si="2"/>
        <v>-41.220773156293376</v>
      </c>
      <c r="K41" s="7">
        <f t="shared" si="3"/>
        <v>-50.328515501911149</v>
      </c>
    </row>
    <row r="42" spans="1:11" x14ac:dyDescent="0.25">
      <c r="A42" s="27" t="s">
        <v>2</v>
      </c>
      <c r="B42" s="28"/>
      <c r="C42" s="28"/>
      <c r="D42" s="28"/>
      <c r="E42" s="28"/>
      <c r="F42" s="28"/>
      <c r="G42" s="29"/>
      <c r="I42" s="5">
        <v>-60</v>
      </c>
      <c r="J42" s="6">
        <f t="shared" si="2"/>
        <v>-63.101516830344607</v>
      </c>
      <c r="K42" s="7">
        <f t="shared" si="3"/>
        <v>-71.694809902635996</v>
      </c>
    </row>
    <row r="43" spans="1:11" x14ac:dyDescent="0.25">
      <c r="A43" s="27" t="s">
        <v>34</v>
      </c>
      <c r="B43" s="28">
        <f xml:space="preserve"> ( (D15+E15) - (D17-E17) )/( (E9-0.07) - (E10+0.5) )</f>
        <v>1.0946212411381264</v>
      </c>
      <c r="C43" s="28" t="s">
        <v>35</v>
      </c>
      <c r="D43" s="28"/>
      <c r="E43" s="28"/>
      <c r="F43" s="28"/>
      <c r="G43" s="29"/>
      <c r="I43" s="5"/>
      <c r="J43" s="6"/>
      <c r="K43" s="7"/>
    </row>
    <row r="44" spans="1:11" x14ac:dyDescent="0.25">
      <c r="A44" s="27" t="s">
        <v>26</v>
      </c>
      <c r="B44" s="28">
        <f xml:space="preserve"> B43-C33</f>
        <v>2.6306521101883806E-2</v>
      </c>
      <c r="C44" s="28" t="s">
        <v>36</v>
      </c>
      <c r="D44" s="28"/>
      <c r="E44" s="28"/>
      <c r="F44" s="28"/>
      <c r="G44" s="29"/>
      <c r="I44" s="5">
        <v>-80</v>
      </c>
      <c r="J44" s="6">
        <f t="shared" si="2"/>
        <v>-84.982260504395825</v>
      </c>
      <c r="K44" s="7">
        <f t="shared" si="3"/>
        <v>-93.06110430336085</v>
      </c>
    </row>
    <row r="45" spans="1:11" x14ac:dyDescent="0.25">
      <c r="A45" s="27" t="s">
        <v>30</v>
      </c>
      <c r="B45" s="28">
        <f xml:space="preserve"> SQRT( (0.06)^2 + (1*0.026)^2 + (1.07*0.07)^2 )</f>
        <v>9.9428416461291386E-2</v>
      </c>
      <c r="C45" s="28" t="s">
        <v>37</v>
      </c>
      <c r="D45" s="28"/>
      <c r="E45" s="28"/>
      <c r="F45" s="28"/>
      <c r="G45" s="29"/>
      <c r="I45" s="5">
        <v>-100</v>
      </c>
      <c r="J45" s="6">
        <f t="shared" si="2"/>
        <v>-106.86300417844706</v>
      </c>
      <c r="K45" s="7">
        <f t="shared" si="3"/>
        <v>-114.42739870408569</v>
      </c>
    </row>
    <row r="46" spans="1:11" x14ac:dyDescent="0.25">
      <c r="A46" s="27" t="s">
        <v>32</v>
      </c>
      <c r="B46" s="28">
        <f xml:space="preserve"> SQRT((C33*F5)^2 +B45^ 2)</f>
        <v>0.64290163638050413</v>
      </c>
      <c r="C46" s="28" t="s">
        <v>29</v>
      </c>
      <c r="D46" s="28"/>
      <c r="E46" s="28"/>
      <c r="F46" s="28"/>
      <c r="G46" s="29"/>
      <c r="I46" s="5">
        <v>-120</v>
      </c>
      <c r="J46" s="6">
        <f t="shared" si="2"/>
        <v>-128.7437478524983</v>
      </c>
      <c r="K46" s="7">
        <f t="shared" si="3"/>
        <v>-135.79369310481056</v>
      </c>
    </row>
    <row r="47" spans="1:11" ht="15.75" customHeight="1" x14ac:dyDescent="0.25">
      <c r="A47" s="27"/>
      <c r="B47" s="28"/>
      <c r="C47" s="28"/>
      <c r="D47" s="28"/>
      <c r="E47" s="28"/>
      <c r="F47" s="28"/>
      <c r="G47" s="29"/>
      <c r="I47" s="5">
        <v>-140</v>
      </c>
      <c r="J47" s="6">
        <f t="shared" si="2"/>
        <v>-150.62449152654952</v>
      </c>
      <c r="K47" s="7">
        <f t="shared" si="3"/>
        <v>-157.15998750553541</v>
      </c>
    </row>
    <row r="48" spans="1:11" ht="58.5" customHeight="1" x14ac:dyDescent="0.25">
      <c r="A48" s="34" t="s">
        <v>38</v>
      </c>
      <c r="B48" s="33"/>
      <c r="C48" s="33"/>
      <c r="D48" s="33"/>
      <c r="E48" s="33"/>
      <c r="F48" s="33"/>
      <c r="G48" s="35"/>
      <c r="I48" s="5">
        <v>-160</v>
      </c>
      <c r="J48" s="6">
        <f t="shared" si="2"/>
        <v>-172.50523520060074</v>
      </c>
      <c r="K48" s="7">
        <f t="shared" si="3"/>
        <v>-178.52628190626027</v>
      </c>
    </row>
    <row r="49" spans="1:11" x14ac:dyDescent="0.25">
      <c r="A49" s="31" t="s">
        <v>39</v>
      </c>
      <c r="B49" s="32"/>
      <c r="C49" s="32"/>
      <c r="D49" s="32"/>
      <c r="E49" s="32"/>
      <c r="F49" s="32"/>
      <c r="G49" s="36"/>
      <c r="I49" s="5">
        <v>-180</v>
      </c>
      <c r="J49" s="6">
        <f t="shared" si="2"/>
        <v>-194.38597887465198</v>
      </c>
      <c r="K49" s="7">
        <f t="shared" si="3"/>
        <v>-199.89257630698509</v>
      </c>
    </row>
    <row r="50" spans="1:11" ht="33.75" customHeight="1" thickBot="1" x14ac:dyDescent="0.3">
      <c r="A50" s="37" t="s">
        <v>40</v>
      </c>
      <c r="B50" s="38"/>
      <c r="C50" s="38"/>
      <c r="D50" s="38"/>
      <c r="E50" s="38"/>
      <c r="F50" s="38"/>
      <c r="G50" s="39"/>
      <c r="I50" s="5">
        <v>-200</v>
      </c>
      <c r="J50" s="6">
        <f t="shared" si="2"/>
        <v>-216.2667225487032</v>
      </c>
      <c r="K50" s="7">
        <f t="shared" si="3"/>
        <v>-221.25887070770995</v>
      </c>
    </row>
    <row r="51" spans="1:11" x14ac:dyDescent="0.25">
      <c r="I51" s="5">
        <v>-220</v>
      </c>
      <c r="J51" s="6">
        <f t="shared" si="2"/>
        <v>-238.14746622275442</v>
      </c>
      <c r="K51" s="7">
        <f t="shared" si="3"/>
        <v>-242.6251651084348</v>
      </c>
    </row>
    <row r="52" spans="1:11" x14ac:dyDescent="0.25">
      <c r="I52" s="5">
        <v>-240</v>
      </c>
      <c r="J52" s="6">
        <f t="shared" si="2"/>
        <v>-260.02820989680566</v>
      </c>
      <c r="K52" s="7">
        <f t="shared" si="3"/>
        <v>-263.99145950915971</v>
      </c>
    </row>
    <row r="53" spans="1:11" ht="15.75" thickBot="1" x14ac:dyDescent="0.3">
      <c r="A53" s="1"/>
      <c r="I53" s="8">
        <v>-260</v>
      </c>
      <c r="J53" s="9">
        <f t="shared" si="2"/>
        <v>-281.90895357085691</v>
      </c>
      <c r="K53" s="10">
        <f t="shared" si="3"/>
        <v>-285.35775390988454</v>
      </c>
    </row>
  </sheetData>
  <mergeCells count="2">
    <mergeCell ref="A48:G48"/>
    <mergeCell ref="A50:G50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2018-05-07T23:59:15Z</dcterms:modified>
</cp:coreProperties>
</file>