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pepperdine0-my.sharepoint.com/personal/deandra_carr_pepperdine_edu/Documents/Projects/Excel Data Cleaning Project/"/>
    </mc:Choice>
  </mc:AlternateContent>
  <xr:revisionPtr revIDLastSave="238" documentId="8_{C79EF2C9-F0E4-4664-8EA2-8A5EE98929CC}" xr6:coauthVersionLast="47" xr6:coauthVersionMax="47" xr10:uidLastSave="{A8F5DBDD-CD55-4BA8-8A76-9A1D6147D1DF}"/>
  <bookViews>
    <workbookView xWindow="-120" yWindow="-120" windowWidth="29040" windowHeight="15720" activeTab="3" xr2:uid="{26D4546B-D2A1-4444-8EAF-A6228F96F0C1}"/>
  </bookViews>
  <sheets>
    <sheet name="nz_staff" sheetId="1" r:id="rId1"/>
    <sheet name="India Staff" sheetId="2" r:id="rId2"/>
    <sheet name="staff (2)" sheetId="10" r:id="rId3"/>
    <sheet name="All Staff" sheetId="3" r:id="rId4"/>
    <sheet name="Info Finder v2.0" sheetId="4" r:id="rId5"/>
    <sheet name="Male vs. Female" sheetId="5" r:id="rId6"/>
    <sheet name="Salary Spread" sheetId="6" r:id="rId7"/>
    <sheet name="Salary vs. Rating" sheetId="8" r:id="rId8"/>
    <sheet name="Employee Trend" sheetId="9" r:id="rId9"/>
  </sheets>
  <definedNames>
    <definedName name="_xlnm._FilterDatabase" localSheetId="1" hidden="1">'India Staff'!$B$2:$H$114</definedName>
    <definedName name="_xlnm._FilterDatabase" localSheetId="0" hidden="1">nz_staff!$C$5:$I$105</definedName>
    <definedName name="_xlchart.v1.0" hidden="1">'All Staff'!$F$1</definedName>
    <definedName name="_xlchart.v1.1" hidden="1">'All Staff'!$F$2:$F$184</definedName>
    <definedName name="_xlchart.v1.2" hidden="1">'All Staff'!$F$1</definedName>
    <definedName name="_xlchart.v1.3" hidden="1">'All Staff'!$F$2:$F$184</definedName>
    <definedName name="ExternalData_1" localSheetId="3" hidden="1">'All Staff'!$A$1:$H$184</definedName>
    <definedName name="ExternalData_2" localSheetId="2" hidden="1">'staff (2)'!$A$1:$K$184</definedName>
    <definedName name="Slicer_Country">#N/A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5" i="3" l="1"/>
  <c r="I86" i="3"/>
  <c r="I36" i="3"/>
  <c r="I175" i="3"/>
  <c r="I38" i="3"/>
  <c r="J38" i="3" s="1"/>
  <c r="I160" i="3"/>
  <c r="J160" i="3" s="1"/>
  <c r="I26" i="3"/>
  <c r="J26" i="3" s="1"/>
  <c r="I62" i="3"/>
  <c r="J62" i="3" s="1"/>
  <c r="I42" i="3"/>
  <c r="J42" i="3" s="1"/>
  <c r="I183" i="3"/>
  <c r="J183" i="3" s="1"/>
  <c r="I158" i="3"/>
  <c r="J158" i="3" s="1"/>
  <c r="I68" i="3"/>
  <c r="I78" i="3"/>
  <c r="I152" i="3"/>
  <c r="J152" i="3" s="1"/>
  <c r="I18" i="3"/>
  <c r="J18" i="3" s="1"/>
  <c r="I136" i="3"/>
  <c r="J136" i="3" s="1"/>
  <c r="I8" i="3"/>
  <c r="I48" i="3"/>
  <c r="I14" i="3"/>
  <c r="I98" i="3"/>
  <c r="I52" i="3"/>
  <c r="J52" i="3" s="1"/>
  <c r="I72" i="3"/>
  <c r="J72" i="3" s="1"/>
  <c r="I50" i="3"/>
  <c r="J50" i="3" s="1"/>
  <c r="I30" i="3"/>
  <c r="I64" i="3"/>
  <c r="J64" i="3" s="1"/>
  <c r="I92" i="3"/>
  <c r="J92" i="3" s="1"/>
  <c r="I118" i="3"/>
  <c r="J118" i="3" s="1"/>
  <c r="I4" i="3"/>
  <c r="I100" i="3"/>
  <c r="J100" i="3" s="1"/>
  <c r="I58" i="3"/>
  <c r="J58" i="3" s="1"/>
  <c r="I96" i="3"/>
  <c r="J96" i="3" s="1"/>
  <c r="I177" i="3"/>
  <c r="J177" i="3" s="1"/>
  <c r="I106" i="3"/>
  <c r="I156" i="3"/>
  <c r="I32" i="3"/>
  <c r="I138" i="3"/>
  <c r="I132" i="3"/>
  <c r="J132" i="3" s="1"/>
  <c r="I142" i="3"/>
  <c r="J142" i="3" s="1"/>
  <c r="I28" i="3"/>
  <c r="J28" i="3" s="1"/>
  <c r="I34" i="3"/>
  <c r="I104" i="3"/>
  <c r="J104" i="3" s="1"/>
  <c r="I116" i="3"/>
  <c r="I112" i="3"/>
  <c r="I128" i="3"/>
  <c r="I162" i="3"/>
  <c r="J162" i="3" s="1"/>
  <c r="I108" i="3"/>
  <c r="J108" i="3" s="1"/>
  <c r="I76" i="3"/>
  <c r="J76" i="3" s="1"/>
  <c r="I110" i="3"/>
  <c r="J110" i="3" s="1"/>
  <c r="I54" i="3"/>
  <c r="I181" i="3"/>
  <c r="I24" i="3"/>
  <c r="I20" i="3"/>
  <c r="I173" i="3"/>
  <c r="J173" i="3" s="1"/>
  <c r="I82" i="3"/>
  <c r="J82" i="3" s="1"/>
  <c r="I88" i="3"/>
  <c r="J88" i="3" s="1"/>
  <c r="I154" i="3"/>
  <c r="J154" i="3" s="1"/>
  <c r="I167" i="3"/>
  <c r="J167" i="3" s="1"/>
  <c r="I80" i="3"/>
  <c r="J80" i="3" s="1"/>
  <c r="I179" i="3"/>
  <c r="I102" i="3"/>
  <c r="J102" i="3" s="1"/>
  <c r="I171" i="3"/>
  <c r="J171" i="3" s="1"/>
  <c r="I124" i="3"/>
  <c r="J124" i="3" s="1"/>
  <c r="I148" i="3"/>
  <c r="J148" i="3" s="1"/>
  <c r="I44" i="3"/>
  <c r="J44" i="3" s="1"/>
  <c r="I122" i="3"/>
  <c r="I46" i="3"/>
  <c r="I130" i="3"/>
  <c r="I70" i="3"/>
  <c r="I22" i="3"/>
  <c r="J22" i="3" s="1"/>
  <c r="I60" i="3"/>
  <c r="J60" i="3" s="1"/>
  <c r="I144" i="3"/>
  <c r="J144" i="3" s="1"/>
  <c r="I120" i="3"/>
  <c r="J120" i="3" s="1"/>
  <c r="I140" i="3"/>
  <c r="J140" i="3" s="1"/>
  <c r="I169" i="3"/>
  <c r="I2" i="3"/>
  <c r="I150" i="3"/>
  <c r="I10" i="3"/>
  <c r="J10" i="3" s="1"/>
  <c r="I126" i="3"/>
  <c r="J126" i="3" s="1"/>
  <c r="I6" i="3"/>
  <c r="J6" i="3" s="1"/>
  <c r="I146" i="3"/>
  <c r="J146" i="3" s="1"/>
  <c r="I134" i="3"/>
  <c r="I114" i="3"/>
  <c r="I16" i="3"/>
  <c r="I56" i="3"/>
  <c r="I66" i="3"/>
  <c r="J66" i="3" s="1"/>
  <c r="I12" i="3"/>
  <c r="J12" i="3" s="1"/>
  <c r="I94" i="3"/>
  <c r="J94" i="3" s="1"/>
  <c r="I90" i="3"/>
  <c r="J90" i="3" s="1"/>
  <c r="I74" i="3"/>
  <c r="J74" i="3" s="1"/>
  <c r="I84" i="3"/>
  <c r="J84" i="3" s="1"/>
  <c r="I39" i="3"/>
  <c r="J39" i="3" s="1"/>
  <c r="I163" i="3"/>
  <c r="I19" i="3"/>
  <c r="J19" i="3" s="1"/>
  <c r="I143" i="3"/>
  <c r="J143" i="3" s="1"/>
  <c r="I21" i="3"/>
  <c r="J21" i="3" s="1"/>
  <c r="I176" i="3"/>
  <c r="J176" i="3" s="1"/>
  <c r="I47" i="3"/>
  <c r="I131" i="3"/>
  <c r="I125" i="3"/>
  <c r="I91" i="3"/>
  <c r="I157" i="3"/>
  <c r="J157" i="3" s="1"/>
  <c r="I147" i="3"/>
  <c r="J147" i="3" s="1"/>
  <c r="I135" i="3"/>
  <c r="J135" i="3" s="1"/>
  <c r="I25" i="3"/>
  <c r="I9" i="3"/>
  <c r="J9" i="3" s="1"/>
  <c r="I164" i="3"/>
  <c r="I33" i="3"/>
  <c r="J33" i="3" s="1"/>
  <c r="I182" i="3"/>
  <c r="I83" i="3"/>
  <c r="J83" i="3" s="1"/>
  <c r="I109" i="3"/>
  <c r="J109" i="3" s="1"/>
  <c r="I103" i="3"/>
  <c r="J103" i="3" s="1"/>
  <c r="I45" i="3"/>
  <c r="J45" i="3" s="1"/>
  <c r="I121" i="3"/>
  <c r="I7" i="3"/>
  <c r="I93" i="3"/>
  <c r="I11" i="3"/>
  <c r="I141" i="3"/>
  <c r="J141" i="3" s="1"/>
  <c r="I51" i="3"/>
  <c r="J51" i="3" s="1"/>
  <c r="I172" i="3"/>
  <c r="J172" i="3" s="1"/>
  <c r="I13" i="3"/>
  <c r="J13" i="3" s="1"/>
  <c r="I161" i="3"/>
  <c r="J161" i="3" s="1"/>
  <c r="I23" i="3"/>
  <c r="J23" i="3" s="1"/>
  <c r="I71" i="3"/>
  <c r="I139" i="3"/>
  <c r="I111" i="3"/>
  <c r="J111" i="3" s="1"/>
  <c r="I35" i="3"/>
  <c r="J35" i="3" s="1"/>
  <c r="I159" i="3"/>
  <c r="J159" i="3" s="1"/>
  <c r="I184" i="3"/>
  <c r="J184" i="3" s="1"/>
  <c r="I166" i="3"/>
  <c r="I174" i="3"/>
  <c r="I31" i="3"/>
  <c r="I99" i="3"/>
  <c r="I37" i="3"/>
  <c r="J37" i="3" s="1"/>
  <c r="I115" i="3"/>
  <c r="J115" i="3" s="1"/>
  <c r="I3" i="3"/>
  <c r="J3" i="3" s="1"/>
  <c r="I95" i="3"/>
  <c r="J95" i="3" s="1"/>
  <c r="I53" i="3"/>
  <c r="J53" i="3" s="1"/>
  <c r="I149" i="3"/>
  <c r="J149" i="3" s="1"/>
  <c r="I49" i="3"/>
  <c r="J49" i="3" s="1"/>
  <c r="I127" i="3"/>
  <c r="J127" i="3" s="1"/>
  <c r="I85" i="3"/>
  <c r="J85" i="3" s="1"/>
  <c r="I101" i="3"/>
  <c r="J101" i="3" s="1"/>
  <c r="I123" i="3"/>
  <c r="J123" i="3" s="1"/>
  <c r="I61" i="3"/>
  <c r="J61" i="3" s="1"/>
  <c r="I178" i="3"/>
  <c r="I67" i="3"/>
  <c r="I65" i="3"/>
  <c r="I129" i="3"/>
  <c r="J129" i="3" s="1"/>
  <c r="I29" i="3"/>
  <c r="J29" i="3" s="1"/>
  <c r="I113" i="3"/>
  <c r="J113" i="3" s="1"/>
  <c r="I119" i="3"/>
  <c r="J119" i="3" s="1"/>
  <c r="I77" i="3"/>
  <c r="J77" i="3" s="1"/>
  <c r="I40" i="3"/>
  <c r="J40" i="3" s="1"/>
  <c r="I17" i="3"/>
  <c r="J17" i="3" s="1"/>
  <c r="I155" i="3"/>
  <c r="J155" i="3" s="1"/>
  <c r="I137" i="3"/>
  <c r="J137" i="3" s="1"/>
  <c r="I15" i="3"/>
  <c r="J15" i="3" s="1"/>
  <c r="I89" i="3"/>
  <c r="J89" i="3" s="1"/>
  <c r="I168" i="3"/>
  <c r="J168" i="3" s="1"/>
  <c r="I117" i="3"/>
  <c r="J117" i="3" s="1"/>
  <c r="I41" i="3"/>
  <c r="I79" i="3"/>
  <c r="I73" i="3"/>
  <c r="I81" i="3"/>
  <c r="I59" i="3"/>
  <c r="J59" i="3" s="1"/>
  <c r="I151" i="3"/>
  <c r="J151" i="3" s="1"/>
  <c r="I180" i="3"/>
  <c r="J180" i="3" s="1"/>
  <c r="I105" i="3"/>
  <c r="J105" i="3" s="1"/>
  <c r="I170" i="3"/>
  <c r="J170" i="3" s="1"/>
  <c r="I145" i="3"/>
  <c r="J145" i="3" s="1"/>
  <c r="I75" i="3"/>
  <c r="I5" i="3"/>
  <c r="J5" i="3" s="1"/>
  <c r="I63" i="3"/>
  <c r="J63" i="3" s="1"/>
  <c r="I153" i="3"/>
  <c r="J153" i="3" s="1"/>
  <c r="I69" i="3"/>
  <c r="J69" i="3" s="1"/>
  <c r="I97" i="3"/>
  <c r="J97" i="3" s="1"/>
  <c r="I43" i="3"/>
  <c r="I107" i="3"/>
  <c r="I55" i="3"/>
  <c r="I87" i="3"/>
  <c r="I57" i="3"/>
  <c r="J57" i="3" s="1"/>
  <c r="I27" i="3"/>
  <c r="J27" i="3" s="1"/>
  <c r="I133" i="3"/>
  <c r="J133" i="3" s="1"/>
  <c r="J165" i="3"/>
  <c r="J86" i="3"/>
  <c r="J36" i="3"/>
  <c r="J175" i="3"/>
  <c r="J68" i="3"/>
  <c r="J78" i="3"/>
  <c r="J8" i="3"/>
  <c r="J48" i="3"/>
  <c r="J14" i="3"/>
  <c r="J98" i="3"/>
  <c r="J30" i="3"/>
  <c r="J4" i="3"/>
  <c r="J106" i="3"/>
  <c r="J156" i="3"/>
  <c r="J32" i="3"/>
  <c r="J138" i="3"/>
  <c r="J34" i="3"/>
  <c r="J116" i="3"/>
  <c r="J112" i="3"/>
  <c r="J128" i="3"/>
  <c r="J54" i="3"/>
  <c r="J181" i="3"/>
  <c r="J24" i="3"/>
  <c r="J20" i="3"/>
  <c r="J179" i="3"/>
  <c r="J122" i="3"/>
  <c r="J46" i="3"/>
  <c r="J130" i="3"/>
  <c r="J70" i="3"/>
  <c r="J169" i="3"/>
  <c r="J2" i="3"/>
  <c r="J150" i="3"/>
  <c r="J134" i="3"/>
  <c r="J114" i="3"/>
  <c r="J16" i="3"/>
  <c r="J56" i="3"/>
  <c r="J163" i="3"/>
  <c r="J47" i="3"/>
  <c r="J131" i="3"/>
  <c r="J125" i="3"/>
  <c r="J91" i="3"/>
  <c r="J25" i="3"/>
  <c r="J164" i="3"/>
  <c r="J182" i="3"/>
  <c r="J121" i="3"/>
  <c r="J7" i="3"/>
  <c r="J93" i="3"/>
  <c r="J11" i="3"/>
  <c r="J71" i="3"/>
  <c r="J139" i="3"/>
  <c r="J166" i="3"/>
  <c r="J174" i="3"/>
  <c r="J31" i="3"/>
  <c r="J99" i="3"/>
  <c r="J178" i="3"/>
  <c r="J67" i="3"/>
  <c r="J65" i="3"/>
  <c r="J41" i="3"/>
  <c r="J79" i="3"/>
  <c r="J73" i="3"/>
  <c r="J81" i="3"/>
  <c r="J75" i="3"/>
  <c r="J43" i="3"/>
  <c r="J107" i="3"/>
  <c r="J55" i="3"/>
  <c r="J87" i="3"/>
  <c r="K165" i="3"/>
  <c r="K86" i="3"/>
  <c r="K36" i="3"/>
  <c r="K175" i="3"/>
  <c r="K38" i="3"/>
  <c r="K160" i="3"/>
  <c r="K26" i="3"/>
  <c r="K62" i="3"/>
  <c r="K42" i="3"/>
  <c r="K183" i="3"/>
  <c r="K158" i="3"/>
  <c r="K68" i="3"/>
  <c r="K78" i="3"/>
  <c r="K152" i="3"/>
  <c r="K18" i="3"/>
  <c r="K136" i="3"/>
  <c r="K8" i="3"/>
  <c r="K48" i="3"/>
  <c r="K14" i="3"/>
  <c r="K98" i="3"/>
  <c r="K52" i="3"/>
  <c r="K72" i="3"/>
  <c r="K50" i="3"/>
  <c r="K30" i="3"/>
  <c r="K64" i="3"/>
  <c r="K92" i="3"/>
  <c r="K118" i="3"/>
  <c r="K4" i="3"/>
  <c r="K100" i="3"/>
  <c r="K58" i="3"/>
  <c r="K96" i="3"/>
  <c r="K177" i="3"/>
  <c r="K106" i="3"/>
  <c r="K156" i="3"/>
  <c r="K32" i="3"/>
  <c r="K138" i="3"/>
  <c r="K132" i="3"/>
  <c r="K142" i="3"/>
  <c r="K28" i="3"/>
  <c r="K34" i="3"/>
  <c r="K104" i="3"/>
  <c r="K116" i="3"/>
  <c r="K112" i="3"/>
  <c r="K128" i="3"/>
  <c r="K162" i="3"/>
  <c r="K108" i="3"/>
  <c r="K76" i="3"/>
  <c r="K110" i="3"/>
  <c r="K54" i="3"/>
  <c r="K181" i="3"/>
  <c r="K24" i="3"/>
  <c r="K20" i="3"/>
  <c r="K173" i="3"/>
  <c r="K82" i="3"/>
  <c r="K88" i="3"/>
  <c r="K154" i="3"/>
  <c r="K167" i="3"/>
  <c r="K80" i="3"/>
  <c r="K179" i="3"/>
  <c r="K102" i="3"/>
  <c r="K171" i="3"/>
  <c r="K124" i="3"/>
  <c r="K148" i="3"/>
  <c r="K44" i="3"/>
  <c r="K122" i="3"/>
  <c r="K46" i="3"/>
  <c r="K130" i="3"/>
  <c r="K70" i="3"/>
  <c r="K22" i="3"/>
  <c r="K60" i="3"/>
  <c r="K144" i="3"/>
  <c r="K120" i="3"/>
  <c r="K140" i="3"/>
  <c r="K169" i="3"/>
  <c r="K2" i="3"/>
  <c r="K150" i="3"/>
  <c r="K10" i="3"/>
  <c r="K126" i="3"/>
  <c r="K6" i="3"/>
  <c r="K146" i="3"/>
  <c r="K134" i="3"/>
  <c r="K114" i="3"/>
  <c r="K16" i="3"/>
  <c r="K56" i="3"/>
  <c r="K66" i="3"/>
  <c r="K12" i="3"/>
  <c r="K94" i="3"/>
  <c r="K90" i="3"/>
  <c r="K74" i="3"/>
  <c r="K84" i="3"/>
  <c r="K39" i="3"/>
  <c r="K163" i="3"/>
  <c r="K19" i="3"/>
  <c r="K143" i="3"/>
  <c r="K21" i="3"/>
  <c r="K176" i="3"/>
  <c r="K47" i="3"/>
  <c r="K131" i="3"/>
  <c r="K125" i="3"/>
  <c r="K91" i="3"/>
  <c r="K157" i="3"/>
  <c r="K147" i="3"/>
  <c r="K135" i="3"/>
  <c r="K25" i="3"/>
  <c r="K9" i="3"/>
  <c r="K164" i="3"/>
  <c r="K33" i="3"/>
  <c r="K182" i="3"/>
  <c r="K83" i="3"/>
  <c r="K109" i="3"/>
  <c r="K103" i="3"/>
  <c r="K45" i="3"/>
  <c r="K121" i="3"/>
  <c r="K7" i="3"/>
  <c r="K93" i="3"/>
  <c r="K11" i="3"/>
  <c r="K141" i="3"/>
  <c r="K51" i="3"/>
  <c r="K172" i="3"/>
  <c r="K13" i="3"/>
  <c r="K161" i="3"/>
  <c r="K23" i="3"/>
  <c r="K71" i="3"/>
  <c r="K139" i="3"/>
  <c r="K111" i="3"/>
  <c r="K35" i="3"/>
  <c r="K159" i="3"/>
  <c r="K184" i="3"/>
  <c r="K166" i="3"/>
  <c r="K174" i="3"/>
  <c r="K31" i="3"/>
  <c r="K99" i="3"/>
  <c r="K37" i="3"/>
  <c r="K115" i="3"/>
  <c r="K3" i="3"/>
  <c r="K95" i="3"/>
  <c r="K53" i="3"/>
  <c r="K149" i="3"/>
  <c r="K49" i="3"/>
  <c r="K127" i="3"/>
  <c r="K85" i="3"/>
  <c r="K101" i="3"/>
  <c r="K123" i="3"/>
  <c r="K61" i="3"/>
  <c r="K178" i="3"/>
  <c r="K67" i="3"/>
  <c r="K65" i="3"/>
  <c r="K129" i="3"/>
  <c r="K29" i="3"/>
  <c r="K113" i="3"/>
  <c r="K119" i="3"/>
  <c r="K77" i="3"/>
  <c r="K40" i="3"/>
  <c r="K17" i="3"/>
  <c r="K155" i="3"/>
  <c r="K137" i="3"/>
  <c r="K15" i="3"/>
  <c r="K89" i="3"/>
  <c r="K168" i="3"/>
  <c r="K117" i="3"/>
  <c r="K41" i="3"/>
  <c r="K79" i="3"/>
  <c r="K73" i="3"/>
  <c r="K81" i="3"/>
  <c r="K59" i="3"/>
  <c r="K151" i="3"/>
  <c r="K180" i="3"/>
  <c r="K105" i="3"/>
  <c r="K170" i="3"/>
  <c r="K145" i="3"/>
  <c r="K75" i="3"/>
  <c r="K5" i="3"/>
  <c r="K63" i="3"/>
  <c r="K153" i="3"/>
  <c r="K69" i="3"/>
  <c r="K97" i="3"/>
  <c r="K43" i="3"/>
  <c r="K107" i="3"/>
  <c r="K55" i="3"/>
  <c r="K87" i="3"/>
  <c r="K57" i="3"/>
  <c r="K27" i="3"/>
  <c r="K133" i="3"/>
  <c r="R3" i="9" a="1"/>
  <c r="R3" i="9" s="1"/>
  <c r="S3" i="9" s="1" a="1"/>
  <c r="G6" i="4"/>
  <c r="O21" i="3"/>
  <c r="N10" i="3"/>
  <c r="N9" i="3"/>
  <c r="N7" i="3"/>
  <c r="O4" i="3"/>
  <c r="O5" i="3"/>
  <c r="N5" i="3"/>
  <c r="N4" i="3"/>
  <c r="N3" i="3"/>
  <c r="F106" i="1"/>
  <c r="H106" i="1"/>
  <c r="I106" i="1"/>
  <c r="H115" i="2"/>
  <c r="S3" i="9" l="1"/>
  <c r="T3" i="9" s="1"/>
  <c r="T16" i="9"/>
  <c r="T32" i="9"/>
  <c r="T17" i="9"/>
  <c r="T33" i="9"/>
  <c r="T18" i="9"/>
  <c r="T34" i="9"/>
  <c r="T19" i="9"/>
  <c r="T35" i="9"/>
  <c r="T4" i="9"/>
  <c r="T20" i="9"/>
  <c r="T36" i="9"/>
  <c r="T5" i="9"/>
  <c r="T21" i="9"/>
  <c r="T37" i="9"/>
  <c r="T6" i="9"/>
  <c r="T22" i="9"/>
  <c r="T38" i="9"/>
  <c r="T7" i="9"/>
  <c r="T23" i="9"/>
  <c r="T8" i="9"/>
  <c r="T24" i="9"/>
  <c r="T9" i="9"/>
  <c r="T25" i="9"/>
  <c r="T10" i="9"/>
  <c r="T26" i="9"/>
  <c r="T11" i="9"/>
  <c r="T27" i="9"/>
  <c r="T12" i="9"/>
  <c r="T28" i="9"/>
  <c r="T13" i="9"/>
  <c r="T29" i="9"/>
  <c r="T14" i="9"/>
  <c r="T30" i="9"/>
  <c r="T15" i="9"/>
  <c r="T31" i="9"/>
  <c r="C6" i="4" a="1"/>
  <c r="C6" i="4" s="1"/>
  <c r="N17" i="3" a="1"/>
  <c r="N17" i="3" s="1"/>
  <c r="N8" i="3"/>
  <c r="N6" i="3"/>
  <c r="U4" i="9" l="1"/>
  <c r="U20" i="9"/>
  <c r="U36" i="9"/>
  <c r="U5" i="9"/>
  <c r="U21" i="9"/>
  <c r="U37" i="9"/>
  <c r="U6" i="9"/>
  <c r="U22" i="9"/>
  <c r="U38" i="9"/>
  <c r="U7" i="9"/>
  <c r="U23" i="9"/>
  <c r="U3" i="9"/>
  <c r="U8" i="9"/>
  <c r="U24" i="9"/>
  <c r="U9" i="9"/>
  <c r="U25" i="9"/>
  <c r="U10" i="9"/>
  <c r="U26" i="9"/>
  <c r="U11" i="9"/>
  <c r="U27" i="9"/>
  <c r="U12" i="9"/>
  <c r="U28" i="9"/>
  <c r="U13" i="9"/>
  <c r="U29" i="9"/>
  <c r="U14" i="9"/>
  <c r="U30" i="9"/>
  <c r="U15" i="9"/>
  <c r="U31" i="9"/>
  <c r="U16" i="9"/>
  <c r="U32" i="9"/>
  <c r="U17" i="9"/>
  <c r="U33" i="9"/>
  <c r="U18" i="9"/>
  <c r="U34" i="9"/>
  <c r="U19" i="9"/>
  <c r="U3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E4E4B3-C804-409A-ABB6-68A65CF477B2}"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707A1B00-00A2-4932-9122-B1BB0EAB4317}"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872D7D0D-144D-41CE-AC3A-CAF172C5AA18}"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6E303258-0870-45D7-B749-2B7BC07AC77D}"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<sst xmlns="http://schemas.openxmlformats.org/spreadsheetml/2006/main" count="2803" uniqueCount="257">
  <si>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</si>
  <si>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</si>
  <si>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</si>
  <si>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</si>
  <si>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</si>
  <si>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</si>
  <si>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</si>
  <si>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</si>
  <si>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</si>
  <si>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</si>
  <si>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</si>
  <si>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</si>
  <si>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</si>
  <si>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</si>
  <si>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</si>
  <si>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</si>
  <si>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</si>
  <si>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</si>
  <si>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</si>
  <si>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</si>
  <si>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</si>
  <si>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</si>
  <si>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</si>
  <si>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</si>
  <si>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</si>
  <si>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</si>
  <si>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</si>
  <si>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</si>
  <si>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</si>
  <si>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</si>
  <si>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</si>
  <si>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</si>
  <si>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</si>
  <si>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</si>
  <si>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</si>
  <si>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</si>
  <si>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</si>
  <si>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</si>
  <si>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</si>
  <si>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</si>
  <si>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</si>
  <si>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</si>
  <si>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</si>
  <si>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</si>
  <si>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</si>
  <si>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</si>
  <si>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</si>
  <si>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</si>
  <si>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</si>
  <si>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</si>
  <si>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</si>
  <si>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</si>
  <si>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</si>
  <si>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</si>
  <si>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</si>
  <si>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</si>
  <si>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</si>
  <si>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</si>
  <si>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</si>
  <si>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</si>
  <si>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</si>
  <si>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</si>
  <si>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</si>
  <si>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</si>
  <si>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</si>
  <si>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</si>
  <si>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</si>
  <si>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</si>
  <si>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</si>
  <si>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</si>
  <si>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</si>
  <si>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</si>
  <si>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</si>
  <si>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</si>
  <si>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</si>
  <si>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</si>
  <si>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</si>
  <si>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</si>
  <si>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</si>
  <si>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</si>
  <si>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</si>
  <si>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</si>
  <si>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</si>
  <si>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</si>
  <si>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</si>
  <si>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</si>
  <si>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</si>
  <si>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</si>
  <si>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</si>
  <si>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</si>
  <si>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</si>
  <si>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</si>
  <si>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</si>
  <si>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</si>
  <si>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</si>
  <si>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</si>
  <si>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</si>
  <si>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</si>
  <si>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</si>
  <si>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</si>
  <si>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</si>
  <si>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</si>
  <si>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</si>
  <si>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</si>
  <si>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</si>
  <si>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</si>
  <si>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</si>
  <si>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</si>
  <si>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</si>
  <si>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</si>
  <si>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</si>
  <si>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</si>
  <si>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</si>
  <si>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</si>
  <si>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</si>
  <si>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</si>
  <si>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</si>
  <si>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</si>
  <si>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</si>
  <si>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</si>
  <si>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</si>
  <si>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</si>
  <si>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</si>
  <si>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</si>
  <si>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</si>
  <si>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</si>
  <si>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</si>
  <si>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</si>
  <si>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</si>
  <si>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</si>
  <si>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</si>
  <si>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</si>
  <si>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</si>
  <si>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</si>
  <si>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</si>
  <si>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</si>
  <si>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</si>
  <si>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</si>
  <si>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</si>
  <si>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</si>
  <si>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</si>
  <si>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</si>
  <si>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</si>
  <si>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</si>
  <si>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</si>
  <si>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</si>
  <si>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</si>
  <si>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</si>
  <si>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</si>
  <si>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</si>
  <si>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</si>
  <si>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</si>
  <si>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</si>
  <si>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</si>
  <si>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</si>
  <si>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</si>
  <si>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</si>
  <si>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</si>
  <si>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</si>
  <si>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</si>
  <si>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</si>
  <si>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</si>
  <si>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</si>
  <si>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</si>
  <si>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</si>
  <si>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</si>
  <si>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</si>
  <si>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</si>
  <si>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</si>
  <si>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</si>
  <si>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</si>
  <si>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</si>
  <si>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</si>
  <si>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</si>
  <si>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</si>
  <si>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</si>
  <si>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</si>
  <si>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</si>
  <si>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</si>
  <si>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</si>
  <si>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</si>
  <si>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</si>
  <si>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</si>
  <si>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</si>
  <si>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</si>
  <si>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</si>
  <si>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</si>
  <si>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</si>
  <si>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</si>
  <si>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</si>
  <si>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</si>
  <si>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</si>
  <si>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</si>
  <si>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</si>
  <si>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</si>
  <si>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</si>
  <si>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</si>
  <si>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</si>
  <si>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</si>
  <si>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</si>
  <si>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</si>
  <si>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</si>
  <si>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</si>
  <si>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Summary Analysis</t>
  </si>
  <si>
    <t>Total</t>
  </si>
  <si>
    <t>a</t>
  </si>
  <si>
    <t>aaaaaaaaaaaaaaaa</t>
  </si>
  <si>
    <t>Country</t>
  </si>
  <si>
    <t>Other</t>
  </si>
  <si>
    <t>Count of Employees</t>
  </si>
  <si>
    <t>Average Salary</t>
  </si>
  <si>
    <t>Average Age</t>
  </si>
  <si>
    <t>Average Tenure</t>
  </si>
  <si>
    <t>Tenure</t>
  </si>
  <si>
    <t>Running Total</t>
  </si>
  <si>
    <t>Female Count</t>
  </si>
  <si>
    <t>Ratio % of $90,000 &gt;</t>
  </si>
  <si>
    <t>Ratio % of $90,000 &lt;</t>
  </si>
  <si>
    <t>Quick Analysis with Data</t>
  </si>
  <si>
    <t>Female  Ratio %</t>
  </si>
  <si>
    <t>Information Finder</t>
  </si>
  <si>
    <t>Name:</t>
  </si>
  <si>
    <t xml:space="preserve"> </t>
  </si>
  <si>
    <t>Department Name</t>
  </si>
  <si>
    <t>Number of people</t>
  </si>
  <si>
    <t>Male vs. Female</t>
  </si>
  <si>
    <t>Row Labels</t>
  </si>
  <si>
    <t>Grand Total</t>
  </si>
  <si>
    <t>Column Labels</t>
  </si>
  <si>
    <t>Count of Name</t>
  </si>
  <si>
    <t>Average of Age</t>
  </si>
  <si>
    <t>Values</t>
  </si>
  <si>
    <t>Average of Salary</t>
  </si>
  <si>
    <t>Average of Tenure</t>
  </si>
  <si>
    <t>Bonus</t>
  </si>
  <si>
    <t>New Rating</t>
  </si>
  <si>
    <t>Avg Salary</t>
  </si>
  <si>
    <t>2020</t>
  </si>
  <si>
    <t>2021</t>
  </si>
  <si>
    <t>2022</t>
  </si>
  <si>
    <t>2023</t>
  </si>
  <si>
    <t>Month</t>
  </si>
  <si>
    <t>Headcount</t>
  </si>
  <si>
    <t>New Zeland</t>
  </si>
  <si>
    <t>India</t>
  </si>
  <si>
    <t>Feb</t>
  </si>
  <si>
    <t>Apr</t>
  </si>
  <si>
    <t>Jan</t>
  </si>
  <si>
    <t>Mar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</si>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</sst>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0.0"/>
  </numFmts>
  <fonts count="8" x14ac:knownFonts="1">
    <font>
      <sz val="11"/>
      <color theme="1"/>
      <name val="Calibri"/>
      <family val="2"/>
      <scheme val="minor"/>
    </font>
    <font>
      <sz val="28"/>
      <color theme="1"/>
      <name val="Segoe UI Light"/>
      <family val="2"/>
    </font>
    <font>
      <b/>
      <sz val="11"/>
      <color theme="1"/>
      <name val="Calibri"/>
      <family val="2"/>
      <scheme val="minor"/>
    </font>
    <font>
      <b/>
      <sz val="11"/>
      <color theme="0"/>
      <name val="Calibri"/>
      <family val="2"/>
      <scheme val="minor"/>
    </font>
    <font>
      <sz val="11"/>
      <color rgb="FFFFFFFF"/>
      <name val="Calibri"/>
      <family val="2"/>
      <scheme val="minor"/>
    </font>
    <font>
      <b/>
      <sz val="11"/>
      <color rgb="FFFFFFFF"/>
      <name val="Calibri"/>
      <family val="2"/>
      <scheme val="minor"/>
    </font>
    <font>
      <b/>
      <sz val="11"/>
      <color theme="1" tint="4.9989318521683403E-2"/>
      <name val="Calibri"/>
      <family val="2"/>
      <scheme val="minor"/>
    </font>
    <font>
      <b/>
      <sz val="1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2" fillId="0" borderId="0" xfId="0" applyFont="1"/>
    <xf numFmtId="8" fontId="0" fillId="0" borderId="0" xfId="0" applyNumberFormat="1"/>
    <xf numFmtId="8" fontId="0" fillId="3" borderId="0" xfId="0" applyNumberFormat="1" applyFill="1"/>
    <xf numFmtId="14" fontId="0" fillId="0" borderId="0" xfId="0" applyNumberFormat="1"/>
    <xf numFmtId="2" fontId="0" fillId="0" borderId="0" xfId="0" applyNumberFormat="1"/>
    <xf numFmtId="0" fontId="0" fillId="0" borderId="0" xfId="0" applyAlignment="1">
      <alignment horizontal="center"/>
    </xf>
    <xf numFmtId="8" fontId="0" fillId="0" borderId="0" xfId="0" applyNumberFormat="1" applyAlignment="1">
      <alignment horizontal="center"/>
    </xf>
    <xf numFmtId="2" fontId="0" fillId="0" borderId="0" xfId="0" applyNumberFormat="1" applyAlignment="1">
      <alignment horizontal="center"/>
    </xf>
    <xf numFmtId="0" fontId="2" fillId="0" borderId="0" xfId="0" applyFont="1" applyAlignment="1">
      <alignment horizontal="left"/>
    </xf>
    <xf numFmtId="0" fontId="4" fillId="0" borderId="0" xfId="0" applyFont="1" applyAlignment="1">
      <alignment horizontal="left" vertical="center"/>
    </xf>
    <xf numFmtId="0" fontId="0" fillId="0" borderId="0" xfId="0" applyAlignment="1">
      <alignment horizontal="right"/>
    </xf>
    <xf numFmtId="8" fontId="0" fillId="0" borderId="0" xfId="0" applyNumberFormat="1" applyAlignment="1">
      <alignment horizontal="right"/>
    </xf>
    <xf numFmtId="2" fontId="0" fillId="0" borderId="0" xfId="0" applyNumberFormat="1" applyAlignment="1">
      <alignment horizontal="right"/>
    </xf>
    <xf numFmtId="9" fontId="0" fillId="0" borderId="0" xfId="0" applyNumberFormat="1" applyAlignment="1">
      <alignment horizontal="right"/>
    </xf>
    <xf numFmtId="9" fontId="2" fillId="0" borderId="0" xfId="0" applyNumberFormat="1" applyFont="1" applyAlignment="1">
      <alignment horizontal="right"/>
    </xf>
    <xf numFmtId="0" fontId="0" fillId="6" borderId="0" xfId="0" applyFill="1"/>
    <xf numFmtId="0" fontId="0" fillId="0" borderId="1" xfId="0" applyBorder="1"/>
    <xf numFmtId="0" fontId="0" fillId="0" borderId="1" xfId="0" applyBorder="1" applyAlignment="1">
      <alignment horizontal="right"/>
    </xf>
    <xf numFmtId="0" fontId="2" fillId="0" borderId="1" xfId="0" applyFont="1" applyBorder="1" applyAlignment="1">
      <alignment horizontal="left"/>
    </xf>
    <xf numFmtId="0" fontId="2" fillId="0" borderId="0" xfId="0" applyFont="1" applyAlignment="1">
      <alignment horizontal="right"/>
    </xf>
    <xf numFmtId="8" fontId="0" fillId="0" borderId="1" xfId="0" applyNumberFormat="1" applyBorder="1" applyAlignment="1">
      <alignment horizontal="right"/>
    </xf>
    <xf numFmtId="2" fontId="0" fillId="0" borderId="1" xfId="0" applyNumberFormat="1" applyBorder="1" applyAlignment="1">
      <alignment horizontal="right"/>
    </xf>
    <xf numFmtId="0" fontId="3" fillId="8" borderId="1" xfId="0" applyFont="1" applyFill="1" applyBorder="1"/>
    <xf numFmtId="0" fontId="6" fillId="8" borderId="1" xfId="0" applyFont="1"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applyAlignment="1">
      <alignment horizontal="center"/>
    </xf>
    <xf numFmtId="6" fontId="0" fillId="0" borderId="0" xfId="0" applyNumberFormat="1"/>
    <xf numFmtId="0" fontId="0" fillId="0" borderId="1" xfId="0" applyBorder="1" applyAlignment="1">
      <alignment horizontal="left"/>
    </xf>
    <xf numFmtId="14" fontId="2" fillId="0" borderId="0" xfId="0" applyNumberFormat="1" applyFont="1"/>
    <xf numFmtId="0" fontId="0" fillId="0" borderId="0" xfId="0" applyAlignment="1">
      <alignment horizontal="left" indent="1"/>
    </xf>
    <xf numFmtId="0" fontId="3" fillId="4" borderId="0" xfId="0" applyFont="1" applyFill="1" applyAlignment="1">
      <alignment horizontal="center" vertical="center"/>
    </xf>
    <xf numFmtId="0" fontId="5" fillId="5" borderId="0" xfId="0" applyFont="1" applyFill="1" applyAlignment="1">
      <alignment horizontal="center" vertical="center"/>
    </xf>
    <xf numFmtId="0" fontId="5" fillId="7" borderId="0" xfId="0" applyFont="1" applyFill="1" applyAlignment="1">
      <alignment horizontal="center" vertical="center"/>
    </xf>
    <xf numFmtId="0" fontId="5" fillId="4" borderId="0" xfId="0" applyFont="1" applyFill="1" applyAlignment="1">
      <alignment horizontal="center" vertical="center"/>
    </xf>
    <xf numFmtId="0" fontId="7" fillId="9" borderId="0" xfId="0" applyFont="1" applyFill="1" applyAlignment="1">
      <alignment horizontal="center"/>
    </xf>
    <xf numFmtId="0" fontId="0" fillId="0" borderId="0" xfId="0" applyNumberFormat="1"/>
    <xf numFmtId="22" fontId="0" fillId="0" borderId="0" xfId="0" applyNumberFormat="1"/>
    <xf numFmtId="0" fontId="0" fillId="0" borderId="0" xfId="0" applyNumberFormat="1" applyAlignment="1">
      <alignment horizontal="center"/>
    </xf>
  </cellXfs>
  <cellStyles count="1">
    <cellStyle name="Normal" xfId="0" builtinId="0"/>
  </cellStyles>
  <dxfs count="87">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2" formatCode="0.00"/>
    </dxf>
    <dxf>
      <numFmt numFmtId="2" formatCode="0.00"/>
    </dxf>
    <dxf>
      <numFmt numFmtId="2" formatCode="0.00"/>
    </dxf>
    <dxf>
      <numFmt numFmtId="12" formatCode="&quot;$&quot;#,##0.00_);[Red]\(&quot;$&quot;#,##0.00\)"/>
    </dxf>
    <dxf>
      <font>
        <b/>
      </font>
    </dxf>
    <dxf>
      <numFmt numFmtId="164" formatCode="0.0"/>
    </dxf>
    <dxf>
      <alignment horizontal="center"/>
    </dxf>
    <dxf>
      <alignment horizontal="center"/>
    </dxf>
    <dxf>
      <numFmt numFmtId="0" formatCode="General"/>
    </dxf>
    <dxf>
      <numFmt numFmtId="0" formatCode="General"/>
    </dxf>
    <dxf>
      <numFmt numFmtId="27" formatCode="m/d/yyyy\ h:mm"/>
    </dxf>
    <dxf>
      <numFmt numFmtId="0" formatCode="General"/>
    </dxf>
    <dxf>
      <numFmt numFmtId="0" formatCode="General"/>
    </dxf>
    <dxf>
      <numFmt numFmtId="0" formatCode="General"/>
    </dxf>
    <dxf>
      <font>
        <color rgb="FF9C0006"/>
      </font>
      <fill>
        <patternFill>
          <bgColor rgb="FFFFC7CE"/>
        </patternFill>
      </fill>
    </dxf>
    <dxf>
      <font>
        <color rgb="FF9C0006"/>
      </font>
      <fill>
        <patternFill>
          <bgColor rgb="FFFFC7CE"/>
        </patternFill>
      </fill>
    </dxf>
    <dxf>
      <numFmt numFmtId="10" formatCode="&quot;$&quot;#,##0_);[Red]\(&quot;$&quot;#,##0\)"/>
    </dxf>
    <dxf>
      <numFmt numFmtId="10" formatCode="&quot;$&quot;#,##0_);[Red]\(&quot;$&quot;#,##0\)"/>
    </dxf>
    <dxf>
      <numFmt numFmtId="12" formatCode="&quot;$&quot;#,##0.00_);[Red]\(&quot;$&quot;#,##0.00\)"/>
    </dxf>
    <dxf>
      <alignment horizontal="center"/>
    </dxf>
    <dxf>
      <alignment horizontal="center"/>
    </dxf>
    <dxf>
      <numFmt numFmtId="164" formatCode="0.0"/>
    </dxf>
    <dxf>
      <font>
        <b/>
      </font>
    </dxf>
    <dxf>
      <numFmt numFmtId="12" formatCode="&quot;$&quot;#,##0.00_);[Red]\(&quot;$&quot;#,##0.00\)"/>
    </dxf>
    <dxf>
      <numFmt numFmtId="2" formatCode="0.00"/>
    </dxf>
    <dxf>
      <numFmt numFmtId="2" formatCode="0.00"/>
    </dxf>
    <dxf>
      <numFmt numFmtId="2" formatCode="0.00"/>
    </dxf>
    <dxf>
      <numFmt numFmtId="0" formatCode="General"/>
    </dxf>
    <dxf>
      <numFmt numFmtId="12" formatCode="&quot;$&quot;#,##0.00_);[Red]\(&quot;$&quot;#,##0.00\)"/>
    </dxf>
    <dxf>
      <numFmt numFmtId="2" formatCode="0.00"/>
    </dxf>
    <dxf>
      <numFmt numFmtId="0" formatCode="General"/>
    </dxf>
    <dxf>
      <numFmt numFmtId="12" formatCode="&quot;$&quot;#,##0.00_);[Red]\(&quot;$&quot;#,##0.00\)"/>
    </dxf>
    <dxf>
      <numFmt numFmtId="19" formatCode="m/d/yyyy"/>
    </dxf>
    <dxf>
      <numFmt numFmtId="0" formatCode="General"/>
    </dxf>
    <dxf>
      <numFmt numFmtId="0" formatCode="General"/>
    </dxf>
    <dxf>
      <numFmt numFmtId="0" formatCode="General"/>
    </dxf>
    <dxf>
      <numFmt numFmtId="20" formatCode="d\-mmm\-yy"/>
    </dxf>
    <dxf>
      <numFmt numFmtId="12" formatCode="&quot;$&quot;#,##0.00_);[Red]\(&quot;$&quot;#,##0.0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86132153497253E-2"/>
          <c:y val="0.12853472438941801"/>
          <c:w val="0.89786583582847379"/>
          <c:h val="0.77916398190765657"/>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Staff'!$F$2:$F$184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2C52-4586-80BE-856FAFF7117B}"/>
            </c:ext>
          </c:extLst>
        </c:ser>
        <c:dLbls>
          <c:showLegendKey val="0"/>
          <c:showVal val="0"/>
          <c:showCatName val="0"/>
          <c:showSerName val="0"/>
          <c:showPercent val="0"/>
          <c:showBubbleSize val="0"/>
        </c:dLbls>
        <c:axId val="1912222847"/>
        <c:axId val="1912219967"/>
      </c:scatterChart>
      <c:valAx>
        <c:axId val="191222284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219967"/>
        <c:crosses val="autoZero"/>
        <c:crossBetween val="midCat"/>
      </c:valAx>
      <c:valAx>
        <c:axId val="191221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222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[staff_data.xlsx]Employee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2C3-48C0-BC11-868367CB29B2}"/>
            </c:ext>
          </c:extLst>
        </c:ser>
        <c:dLbls>
          <c:showLegendKey val="0"/>
          <c:showVal val="0"/>
          <c:showCatName val="0"/>
          <c:showSerName val="0"/>
          <c:showPercent val="0"/>
          <c:showBubbleSize val="0"/>
        </c:dLbls>
        <c:smooth val="0"/>
        <c:axId val="1933656191"/>
        <c:axId val="1933657151"/>
      </c:lineChart>
      <c:catAx>
        <c:axId val="193365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57151"/>
        <c:crosses val="autoZero"/>
        <c:auto val="1"/>
        <c:lblAlgn val="ctr"/>
        <c:lblOffset val="100"/>
        <c:noMultiLvlLbl val="0"/>
      </c:catAx>
      <c:valAx>
        <c:axId val="1933657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5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C44AEEE6-F8A6-4D2F-A27D-D9C777E12B96}">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2D70128F-F5BB-4CE9-94C2-7E8DC61BEB6A}">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youtu.be/H6k28jhclwI" TargetMode="Externa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828675</xdr:colOff>
      <xdr:row>25</xdr:row>
      <xdr:rowOff>47626</xdr:rowOff>
    </xdr:from>
    <xdr:to>
      <xdr:col>15</xdr:col>
      <xdr:colOff>0</xdr:colOff>
      <xdr:row>34</xdr:row>
      <xdr:rowOff>47626</xdr:rowOff>
    </xdr:to>
    <xdr:sp macro="" textlink="">
      <xdr:nvSpPr>
        <xdr:cNvPr id="2" name="Rectangle 1">
          <a:extLst>
            <a:ext uri="{FF2B5EF4-FFF2-40B4-BE49-F238E27FC236}">
              <a16:creationId xmlns:a16="http://schemas.microsoft.com/office/drawing/2014/main" id="{B8F80E69-CCE9-508C-9443-25FDDF04DE47}"/>
            </a:ext>
          </a:extLst>
        </xdr:cNvPr>
        <xdr:cNvSpPr/>
      </xdr:nvSpPr>
      <xdr:spPr>
        <a:xfrm>
          <a:off x="10496550" y="4810126"/>
          <a:ext cx="3267075" cy="1714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Quick Analysis with Data</a:t>
          </a:r>
        </a:p>
        <a:p>
          <a:pPr algn="l"/>
          <a:r>
            <a:rPr lang="en-US" sz="1100"/>
            <a:t>2. Information Finder</a:t>
          </a:r>
        </a:p>
        <a:p>
          <a:pPr algn="l"/>
          <a:r>
            <a:rPr lang="en-US" sz="1100"/>
            <a:t>3. Extended Info. Finder</a:t>
          </a:r>
        </a:p>
        <a:p>
          <a:pPr algn="l"/>
          <a:r>
            <a:rPr lang="en-US" sz="1100"/>
            <a:t>4. Male</a:t>
          </a:r>
          <a:r>
            <a:rPr lang="en-US" sz="1100" baseline="0"/>
            <a:t> vs. Female Comparison</a:t>
          </a:r>
        </a:p>
        <a:p>
          <a:pPr algn="l"/>
          <a:r>
            <a:rPr lang="en-US" sz="1100" baseline="0"/>
            <a:t>5. Calculate Annual Bonus - Create a Bonus</a:t>
          </a:r>
          <a:r>
            <a:rPr lang="en-US" sz="1100"/>
            <a:t> w</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152400</xdr:colOff>
      <xdr:row>1</xdr:row>
      <xdr:rowOff>152401</xdr:rowOff>
    </xdr:from>
    <xdr:to>
      <xdr:col>7</xdr:col>
      <xdr:colOff>66675</xdr:colOff>
      <xdr:row>13</xdr:row>
      <xdr:rowOff>171451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B921E172-18C9-CF00-25AA-B4D5A8AB1AF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52925" y="342901"/>
              <a:ext cx="1647825" cy="230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295275</xdr:colOff>
      <xdr:row>1</xdr:row>
      <xdr:rowOff>28575</xdr:rowOff>
    </xdr:from>
    <xdr:to>
      <xdr:col>8</xdr:col>
      <xdr:colOff>552450</xdr:colOff>
      <xdr:row>15</xdr:row>
      <xdr:rowOff>147638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C32151-6C65-409A-908E-4EC7FCC619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5275" y="219075"/>
              <a:ext cx="5133975" cy="27860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85725</xdr:colOff>
      <xdr:row>1</xdr:row>
      <xdr:rowOff>19049</xdr:rowOff>
    </xdr:from>
    <xdr:to>
      <xdr:col>15</xdr:col>
      <xdr:colOff>438150</xdr:colOff>
      <xdr:row>27</xdr:row>
      <xdr:rowOff>9524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5920C63-06D1-4DF6-ADAA-AF0D4A3112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572125" y="209549"/>
              <a:ext cx="4010025" cy="4943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190500</xdr:colOff>
      <xdr:row>1</xdr:row>
      <xdr:rowOff>0</xdr:rowOff>
    </xdr:from>
    <xdr:to>
      <xdr:col>14</xdr:col>
      <xdr:colOff>47627</xdr:colOff>
      <xdr:row>19</xdr:row>
      <xdr:rowOff>38102</xdr:rowOff>
    </xdr:to>
    <xdr:graphicFrame macro="">
      <xdr:nvGraphicFramePr>
        <xdr:cNvPr id="2" name="Chart 1">
          <a:extLst>
            <a:ext uri="{FF2B5EF4-FFF2-40B4-BE49-F238E27FC236}">
              <a16:creationId xmlns:a16="http://schemas.microsoft.com/office/drawing/2014/main" id="{72E8C8AC-E98D-4891-B643-5CA34863C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342899</xdr:colOff>
      <xdr:row>0</xdr:row>
      <xdr:rowOff>185737</xdr:rowOff>
    </xdr:from>
    <xdr:to>
      <xdr:col>16</xdr:col>
      <xdr:colOff>371474</xdr:colOff>
      <xdr:row>17</xdr:row>
      <xdr:rowOff>123825</xdr:rowOff>
    </xdr:to>
    <xdr:graphicFrame macro="">
      <xdr:nvGraphicFramePr>
        <xdr:cNvPr id="3" name="Chart 2">
          <a:extLst>
            <a:ext uri="{FF2B5EF4-FFF2-40B4-BE49-F238E27FC236}">
              <a16:creationId xmlns:a16="http://schemas.microsoft.com/office/drawing/2014/main" id="{3CC0D2ED-B46F-7B76-6B19-C63E739C0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48.549131481479" createdVersion="8" refreshedVersion="8" minRefreshableVersion="3" recordCount="183" xr:uid="{92F4DFF1-A58F-4800-8087-27C08D7756CE}">
  <cacheSource type="worksheet">
    <worksheetSource name="staff"/>
  </cacheSource>
  <cacheFields count="12">
    <cacheField name="Name" numFmtId="0">
      <sharedItems/>
    </cacheField>
    <cacheField name="Gender" numFmtId="0">
      <sharedItems count="3">
        <s v="Male"/>
        <s v="Female"/>
        <s v="Other"/>
      </sharedItems>
    </cacheField>
    <cacheField name="Department" numFmtId="0">
      <sharedItems/>
    </cacheField>
    <cacheField name="Age" numFmtId="0">
      <sharedItems containsMixedTypes="1" containsNumber="1" containsInteger="1" minValue="19" maxValue="46"/>
    </cacheField>
    <cacheField name="Date Joined" numFmtId="14">
      <sharedItems containsSemiMixedTypes="0" containsNonDate="0" containsDate="1" containsString="0" minDate="2020-05-07T00:00:00" maxDate="2023-04-30T00:00:00" count="160">
        <d v="2021-09-07T00:00:00"/>
        <d v="2022-07-16T00:00:00"/>
        <d v="2021-06-10T00:00:00"/>
        <d v="2020-11-11T00:00:00"/>
        <d v="2021-09-26T00:00:00"/>
        <d v="2022-10-27T00:00:00"/>
        <d v="2022-05-20T00:00:00"/>
        <d v="2020-11-13T00:00:00"/>
        <d v="2021-11-09T00:00:00"/>
        <d v="2020-10-18T00:00:00"/>
        <d v="2020-12-15T00:00:00"/>
        <d v="2021-07-06T00:00:00"/>
        <d v="2021-09-20T00:00:00"/>
        <d v="2021-06-07T00:00:00"/>
        <d v="2021-03-08T00:00:00"/>
        <d v="2020-09-30T00:00:00"/>
        <d v="2022-07-20T00:00:00"/>
        <d v="2020-11-10T00:00:00"/>
        <d v="2021-02-15T00:00:00"/>
        <d v="2022-04-02T00:00:00"/>
        <d v="2021-07-12T00:00:00"/>
        <d v="2022-04-12T00:00:00"/>
        <d v="2022-01-06T00:00:00"/>
        <d v="2022-02-05T00:00:00"/>
        <d v="2022-08-06T00:00:00"/>
        <d v="2021-05-21T00:00:00"/>
        <d v="2020-07-11T00:00:00"/>
        <d v="2020-12-20T00:00:00"/>
        <d v="2022-02-20T00:00:00"/>
        <d v="2021-06-27T00:00:00"/>
        <d v="2020-11-29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1-03-22T00:00:00"/>
        <d v="2020-07-07T00:00:00"/>
        <d v="2020-07-29T00:00:00"/>
        <d v="2021-07-23T00:00:00"/>
        <d v="2020-09-11T00:00:00"/>
        <d v="2022-10-16T00:00:00"/>
        <d v="2021-05-17T00:00:00"/>
        <d v="2021-06-30T00:00:00"/>
        <d v="2022-02-17T00:00:00"/>
        <d v="2021-03-18T00:00:00"/>
        <d v="2021-09-12T00:00:00"/>
        <d v="2021-09-11T00:00:00"/>
        <d v="2023-04-29T00:00:00"/>
        <d v="2022-08-01T00:00:00"/>
        <d v="2021-10-17T00:00:00"/>
        <d v="2020-10-30T00:00:00"/>
        <d v="2021-03-16T00:00:00"/>
        <d v="2021-05-13T00:00:00"/>
        <d v="2021-01-09T00:00:00"/>
        <d v="2021-05-01T00:00:00"/>
        <d v="2021-01-29T00:00:00"/>
        <d v="2022-04-15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d v="2021-04-07T00:00:00"/>
        <d v="2021-05-23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12-28T00:00:00"/>
        <d v="2022-06-06T00:00:00"/>
        <d v="2022-03-05T00:00:00"/>
        <d v="2022-02-12T00:00:00"/>
        <d v="2023-02-28T00:00:00"/>
        <d v="2021-12-19T00:00:00"/>
        <d v="2022-08-27T00:00:00"/>
        <d v="2021-03-01T00:00:00"/>
        <d v="2022-01-10T00:00:00"/>
        <d v="2022-03-13T00:00:00"/>
        <d v="2021-06-28T00:00:00"/>
        <d v="2020-10-15T00:00:00"/>
        <d v="2020-08-18T00:00:00"/>
        <d v="2021-07-07T00:00:00"/>
        <d v="2021-11-06T00:00:00"/>
        <d v="2021-04-10T00:00:00"/>
        <d v="2021-07-20T00:00:00"/>
        <d v="2022-02-27T00:00:00"/>
        <d v="2021-02-26T00:00:00"/>
        <d v="2022-02-02T00:00:00"/>
        <d v="2021-08-17T00:00:00"/>
        <d v="2020-12-09T00:00:00"/>
        <d v="2022-04-19T00:00:00"/>
        <d v="2020-10-20T00:00:00"/>
        <d v="2021-01-16T00:00:00"/>
        <d v="2022-02-15T00:00:00"/>
        <d v="2020-09-29T00:00:00"/>
        <d v="2020-06-24T00:00:00"/>
        <d v="2021-12-05T00:00:00"/>
        <d v="2021-03-21T00:00:00"/>
        <d v="2021-10-07T00:00:00"/>
        <d v="2021-07-26T00:00:00"/>
        <d v="2021-04-30T00:00:00"/>
        <d v="2021-01-08T00:00:00"/>
        <d v="2020-09-10T00:00:00"/>
        <d v="2021-03-17T00:00:00"/>
        <d v="2021-12-17T00:00:00"/>
        <d v="2022-07-05T00:00:00"/>
        <d v="2021-06-03T00:00:00"/>
        <d v="2022-03-20T00:00:00"/>
        <d v="2021-05-12T00:00:00"/>
        <d v="2021-01-18T00:00:00"/>
        <d v="2021-12-20T00:00:00"/>
        <d v="2021-07-01T00:00:00"/>
        <d v="2021-09-29T00:00:00"/>
        <d v="2022-01-29T00:00:00"/>
        <d v="2020-05-11T00:00:00"/>
        <d v="2020-09-13T00:00:00"/>
        <d v="2021-05-06T00:00:00"/>
        <d v="2021-04-27T00:00:00"/>
        <d v="2021-09-09T00:00:00"/>
        <d v="2021-08-25T00:00:00"/>
        <d v="2021-01-22T00:00:00"/>
        <d v="2022-05-16T00:00:00"/>
        <d v="2020-12-16T00:00:00"/>
        <d v="2020-10-25T00:00:00"/>
      </sharedItems>
      <fieldGroup par="11"/>
    </cacheField>
    <cacheField name="Salary" numFmtId="8">
      <sharedItems containsSemiMixedTypes="0" containsString="0" containsNumber="1" containsInteger="1" minValue="33920" maxValue="119110" count="90">
        <n v="112780"/>
        <n v="70610"/>
        <n v="53240"/>
        <n v="115440"/>
        <n v="53540"/>
        <n v="112570"/>
        <n v="48530"/>
        <n v="62780"/>
        <n v="53870"/>
        <n v="119110"/>
        <n v="112110"/>
        <n v="65700"/>
        <n v="69070"/>
        <n v="107700"/>
        <n v="43840"/>
        <n v="99750"/>
        <n v="37920"/>
        <n v="57090"/>
        <n v="41980"/>
        <n v="75880"/>
        <n v="58940"/>
        <n v="67910"/>
        <n v="58100"/>
        <n v="48980"/>
        <n v="64000"/>
        <n v="75000"/>
        <n v="87620"/>
        <n v="34980"/>
        <n v="75970"/>
        <n v="60130"/>
        <n v="75480"/>
        <n v="115920"/>
        <n v="78540"/>
        <n v="109190"/>
        <n v="49630"/>
        <n v="99970"/>
        <n v="96140"/>
        <n v="103550"/>
        <n v="48950"/>
        <n v="52610"/>
        <n v="78390"/>
        <n v="86570"/>
        <n v="83750"/>
        <n v="92450"/>
        <n v="112650"/>
        <n v="79570"/>
        <n v="68900"/>
        <n v="80700"/>
        <n v="58960"/>
        <n v="118840"/>
        <n v="48170"/>
        <n v="45510"/>
        <n v="114890"/>
        <n v="69710"/>
        <n v="71380"/>
        <n v="109160"/>
        <n v="113280"/>
        <n v="69120"/>
        <n v="118100"/>
        <n v="76900"/>
        <n v="114870"/>
        <n v="91310"/>
        <n v="104770"/>
        <n v="54970"/>
        <n v="90700"/>
        <n v="56870"/>
        <n v="92700"/>
        <n v="65920"/>
        <n v="47360"/>
        <n v="60570"/>
        <n v="104120"/>
        <n v="88050"/>
        <n v="100420"/>
        <n v="114180"/>
        <n v="33920"/>
        <n v="106460"/>
        <n v="40400"/>
        <n v="91650"/>
        <n v="36040"/>
        <n v="104410"/>
        <n v="96800"/>
        <n v="85000"/>
        <n v="43510"/>
        <n v="59430"/>
        <n v="65360"/>
        <n v="41570"/>
        <n v="75280"/>
        <n v="74550"/>
        <n v="67950"/>
        <n v="70270"/>
      </sharedItems>
    </cacheField>
    <cacheField name="Rating" numFmtId="0">
      <sharedItems count="5">
        <s v="Above average"/>
        <s v="Average"/>
        <s v="Poor"/>
        <s v="Exceptional"/>
        <s v="Very poor"/>
      </sharedItems>
    </cacheField>
    <cacheField name="Country" numFmtId="0">
      <sharedItems count="2">
        <s v="NZ"/>
        <s v="IND"/>
      </sharedItems>
    </cacheField>
    <cacheField name="Tenure" numFmtId="2">
      <sharedItems containsSemiMixedTypes="0" containsString="0" containsNumber="1" minValue="1.3780821917808219" maxValue="4.3561643835616435"/>
    </cacheField>
    <cacheField name="Months (Date Joined)" numFmtId="0" databaseField="0">
      <fieldGroup base="4">
        <rangePr groupBy="months" startDate="2020-05-07T00:00:00" endDate="2023-04-30T00:00:00"/>
        <groupItems count="14">
          <s v="&lt;5/7/2020"/>
          <s v="Jan"/>
          <s v="Feb"/>
          <s v="Mar"/>
          <s v="Apr"/>
          <s v="May"/>
          <s v="Jun"/>
          <s v="Jul"/>
          <s v="Aug"/>
          <s v="Sep"/>
          <s v="Oct"/>
          <s v="Nov"/>
          <s v="Dec"/>
          <s v="&gt;4/30/2023"/>
        </groupItems>
      </fieldGroup>
    </cacheField>
    <cacheField name="Quarters (Date Joined)" numFmtId="0" databaseField="0">
      <fieldGroup base="4">
        <rangePr groupBy="quarters" startDate="2020-05-07T00:00:00" endDate="2023-04-30T00:00:00"/>
        <groupItems count="6">
          <s v="&lt;5/7/2020"/>
          <s v="Qtr1"/>
          <s v="Qtr2"/>
          <s v="Qtr3"/>
          <s v="Qtr4"/>
          <s v="&gt;4/30/2023"/>
        </groupItems>
      </fieldGroup>
    </cacheField>
    <cacheField name="Years (Date Joined)"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661963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Lindy Guillet"/>
    <x v="0"/>
    <s v="Sales"/>
    <n v="22"/>
    <x v="0"/>
    <x v="0"/>
    <x v="0"/>
    <x v="0"/>
    <n v="3.0191780821917806"/>
  </r>
  <r>
    <s v="Ambros Murthwaite"/>
    <x v="0"/>
    <s v="Procurement"/>
    <n v="46"/>
    <x v="1"/>
    <x v="1"/>
    <x v="1"/>
    <x v="0"/>
    <n v="2.1643835616438358"/>
  </r>
  <r>
    <s v="Tatum Hush"/>
    <x v="1"/>
    <s v="Sales"/>
    <n v="28"/>
    <x v="2"/>
    <x v="2"/>
    <x v="1"/>
    <x v="0"/>
    <n v="3.2630136986301368"/>
  </r>
  <r>
    <s v="Benny Karolovsky"/>
    <x v="2"/>
    <s v="Finance"/>
    <n v="37"/>
    <x v="3"/>
    <x v="3"/>
    <x v="2"/>
    <x v="0"/>
    <n v="3.8410958904109589"/>
  </r>
  <r>
    <s v="Hoyt D'Alesco"/>
    <x v="0"/>
    <s v="Sales"/>
    <n v="32"/>
    <x v="4"/>
    <x v="4"/>
    <x v="1"/>
    <x v="0"/>
    <n v="2.967123287671233"/>
  </r>
  <r>
    <s v="Halimeda Kuscha"/>
    <x v="1"/>
    <s v="Procurement"/>
    <n v="30"/>
    <x v="5"/>
    <x v="5"/>
    <x v="1"/>
    <x v="0"/>
    <n v="1.8821917808219177"/>
  </r>
  <r>
    <s v="Erin Androsik"/>
    <x v="0"/>
    <s v="Procurement"/>
    <n v="33"/>
    <x v="6"/>
    <x v="6"/>
    <x v="0"/>
    <x v="0"/>
    <n v="2.3205479452054796"/>
  </r>
  <r>
    <s v="Vic Radolf"/>
    <x v="1"/>
    <s v="Website"/>
    <n v="24"/>
    <x v="7"/>
    <x v="7"/>
    <x v="1"/>
    <x v="0"/>
    <n v="3.8356164383561642"/>
  </r>
  <r>
    <s v="William Reeveley"/>
    <x v="0"/>
    <s v="Website"/>
    <n v="33"/>
    <x v="8"/>
    <x v="8"/>
    <x v="1"/>
    <x v="0"/>
    <n v="2.8465753424657536"/>
  </r>
  <r>
    <s v="Ewart Laphorn"/>
    <x v="1"/>
    <s v="HR"/>
    <n v="27"/>
    <x v="9"/>
    <x v="9"/>
    <x v="1"/>
    <x v="0"/>
    <n v="3.9068493150684933"/>
  </r>
  <r>
    <s v="Bev Lashley"/>
    <x v="0"/>
    <s v="Website"/>
    <n v="29"/>
    <x v="10"/>
    <x v="10"/>
    <x v="2"/>
    <x v="0"/>
    <n v="3.7479452054794522"/>
  </r>
  <r>
    <s v="Kath Bletsoe"/>
    <x v="0"/>
    <s v="Sales"/>
    <n v="25"/>
    <x v="11"/>
    <x v="11"/>
    <x v="1"/>
    <x v="0"/>
    <n v="3.1917808219178081"/>
  </r>
  <r>
    <s v="Murry Dryburgh"/>
    <x v="0"/>
    <s v="Website"/>
    <n v="37"/>
    <x v="6"/>
    <x v="12"/>
    <x v="1"/>
    <x v="0"/>
    <n v="2.3205479452054796"/>
  </r>
  <r>
    <s v="Kaine Padly"/>
    <x v="0"/>
    <s v="Website"/>
    <n v="20"/>
    <x v="12"/>
    <x v="13"/>
    <x v="1"/>
    <x v="0"/>
    <n v="2.9835616438356163"/>
  </r>
  <r>
    <s v="Kassi Jonson"/>
    <x v="1"/>
    <s v="Website"/>
    <n v="32"/>
    <x v="13"/>
    <x v="14"/>
    <x v="0"/>
    <x v="0"/>
    <n v="3.2712328767123289"/>
  </r>
  <r>
    <s v="Simon Kembery"/>
    <x v="0"/>
    <s v="Procurement"/>
    <n v="40"/>
    <x v="14"/>
    <x v="15"/>
    <x v="1"/>
    <x v="0"/>
    <n v="3.5205479452054793"/>
  </r>
  <r>
    <s v="Orton Livick"/>
    <x v="0"/>
    <s v="Procurement"/>
    <n v="21"/>
    <x v="15"/>
    <x v="16"/>
    <x v="1"/>
    <x v="0"/>
    <n v="3.956164383561644"/>
  </r>
  <r>
    <s v="Kelci Walkden"/>
    <x v="0"/>
    <s v="Procurement"/>
    <n v="21"/>
    <x v="16"/>
    <x v="17"/>
    <x v="1"/>
    <x v="0"/>
    <n v="2.1534246575342464"/>
  </r>
  <r>
    <s v="Dotty Strutley"/>
    <x v="1"/>
    <s v="Website"/>
    <n v="31"/>
    <x v="17"/>
    <x v="18"/>
    <x v="1"/>
    <x v="0"/>
    <n v="3.8438356164383563"/>
  </r>
  <r>
    <s v="Shari McNee"/>
    <x v="0"/>
    <s v="HR"/>
    <n v="21"/>
    <x v="18"/>
    <x v="19"/>
    <x v="1"/>
    <x v="0"/>
    <n v="3.5780821917808221"/>
  </r>
  <r>
    <s v="Oby Sorrel"/>
    <x v="1"/>
    <s v="Finance"/>
    <n v="34"/>
    <x v="19"/>
    <x v="20"/>
    <x v="1"/>
    <x v="0"/>
    <n v="2.452054794520548"/>
  </r>
  <r>
    <s v="Husein Augar"/>
    <x v="1"/>
    <s v="Finance"/>
    <n v="30"/>
    <x v="20"/>
    <x v="21"/>
    <x v="2"/>
    <x v="0"/>
    <n v="3.1753424657534248"/>
  </r>
  <r>
    <s v="Brien Boise"/>
    <x v="1"/>
    <s v="Website"/>
    <n v="31"/>
    <x v="21"/>
    <x v="22"/>
    <x v="1"/>
    <x v="0"/>
    <n v="2.4246575342465753"/>
  </r>
  <r>
    <s v="Esmaria Denecamp"/>
    <x v="0"/>
    <s v="Finance"/>
    <n v="27"/>
    <x v="22"/>
    <x v="23"/>
    <x v="1"/>
    <x v="0"/>
    <n v="2.6876712328767125"/>
  </r>
  <r>
    <s v="Curtice Advani"/>
    <x v="2"/>
    <s v="Finance"/>
    <n v="30"/>
    <x v="23"/>
    <x v="24"/>
    <x v="1"/>
    <x v="0"/>
    <n v="2.6054794520547944"/>
  </r>
  <r>
    <s v="Barr Faughny"/>
    <x v="1"/>
    <s v="Procurement"/>
    <n v="42"/>
    <x v="24"/>
    <x v="25"/>
    <x v="3"/>
    <x v="0"/>
    <n v="2.106849315068493"/>
  </r>
  <r>
    <s v="Merrilee Plenty"/>
    <x v="1"/>
    <s v="Website"/>
    <n v="40"/>
    <x v="25"/>
    <x v="26"/>
    <x v="1"/>
    <x v="0"/>
    <n v="3.3178082191780822"/>
  </r>
  <r>
    <s v="Niall Selesnick"/>
    <x v="1"/>
    <s v="Website"/>
    <n v="29"/>
    <x v="26"/>
    <x v="27"/>
    <x v="1"/>
    <x v="0"/>
    <n v="4.1780821917808222"/>
  </r>
  <r>
    <s v="Beverie Moffet"/>
    <x v="1"/>
    <s v="Finance"/>
    <n v="28"/>
    <x v="27"/>
    <x v="28"/>
    <x v="1"/>
    <x v="0"/>
    <n v="3.7342465753424658"/>
  </r>
  <r>
    <s v="Jehu Rudeforth"/>
    <x v="1"/>
    <s v="Finance"/>
    <n v="34"/>
    <x v="28"/>
    <x v="29"/>
    <x v="1"/>
    <x v="0"/>
    <n v="2.5643835616438357"/>
  </r>
  <r>
    <s v="Camilla Castle"/>
    <x v="1"/>
    <s v="Website"/>
    <n v="33"/>
    <x v="29"/>
    <x v="30"/>
    <x v="4"/>
    <x v="0"/>
    <n v="3.2164383561643834"/>
  </r>
  <r>
    <s v="Roddy Speechley"/>
    <x v="0"/>
    <s v="Procurement"/>
    <n v="33"/>
    <x v="30"/>
    <x v="31"/>
    <x v="1"/>
    <x v="0"/>
    <n v="3.7917808219178082"/>
  </r>
  <r>
    <s v="Gray Seamon"/>
    <x v="1"/>
    <s v="Sales"/>
    <n v="36"/>
    <x v="31"/>
    <x v="32"/>
    <x v="1"/>
    <x v="0"/>
    <n v="2.8876712328767122"/>
  </r>
  <r>
    <s v="Madelene Upcott"/>
    <x v="0"/>
    <s v="Procurement"/>
    <n v="25"/>
    <x v="32"/>
    <x v="33"/>
    <x v="0"/>
    <x v="0"/>
    <n v="2.2520547945205478"/>
  </r>
  <r>
    <s v="Violante Courtonne"/>
    <x v="1"/>
    <s v="Sales"/>
    <n v="34"/>
    <x v="33"/>
    <x v="34"/>
    <x v="2"/>
    <x v="0"/>
    <n v="2.2657534246575342"/>
  </r>
  <r>
    <s v="Bernie Gorges"/>
    <x v="1"/>
    <s v="Procurement"/>
    <n v="28"/>
    <x v="34"/>
    <x v="35"/>
    <x v="1"/>
    <x v="0"/>
    <n v="2.515068493150685"/>
  </r>
  <r>
    <s v="Torrance Collier"/>
    <x v="1"/>
    <s v="Website"/>
    <n v="33"/>
    <x v="35"/>
    <x v="36"/>
    <x v="1"/>
    <x v="0"/>
    <n v="3.7205479452054795"/>
  </r>
  <r>
    <s v="Dyna Doucette"/>
    <x v="0"/>
    <s v="Procurement"/>
    <n v="31"/>
    <x v="36"/>
    <x v="37"/>
    <x v="1"/>
    <x v="0"/>
    <n v="2.2575342465753425"/>
  </r>
  <r>
    <s v="Gunar Cockshoot"/>
    <x v="0"/>
    <s v="Website"/>
    <n v="31"/>
    <x v="37"/>
    <x v="38"/>
    <x v="1"/>
    <x v="0"/>
    <n v="2.8410958904109589"/>
  </r>
  <r>
    <s v="Kaye Crocroft"/>
    <x v="0"/>
    <s v="Finance"/>
    <n v="24"/>
    <x v="38"/>
    <x v="39"/>
    <x v="2"/>
    <x v="0"/>
    <n v="3.0465753424657533"/>
  </r>
  <r>
    <s v="Allene Gobbet"/>
    <x v="1"/>
    <s v="Procurement"/>
    <n v="36"/>
    <x v="39"/>
    <x v="40"/>
    <x v="1"/>
    <x v="0"/>
    <n v="2.7917808219178082"/>
  </r>
  <r>
    <s v="Sibyl Dunkirk"/>
    <x v="1"/>
    <s v="Finance"/>
    <n v="33"/>
    <x v="40"/>
    <x v="41"/>
    <x v="1"/>
    <x v="0"/>
    <n v="2.0246575342465754"/>
  </r>
  <r>
    <s v="Agnes Collicott"/>
    <x v="1"/>
    <s v="Website"/>
    <n v="27"/>
    <x v="41"/>
    <x v="42"/>
    <x v="1"/>
    <x v="0"/>
    <n v="2.3616438356164382"/>
  </r>
  <r>
    <s v="Leilah Yesinin"/>
    <x v="1"/>
    <s v="Finance"/>
    <n v="34"/>
    <x v="42"/>
    <x v="43"/>
    <x v="1"/>
    <x v="0"/>
    <n v="3.021917808219178"/>
  </r>
  <r>
    <s v="Mollie Hanway"/>
    <x v="0"/>
    <s v="Website"/>
    <n v="20"/>
    <x v="43"/>
    <x v="44"/>
    <x v="1"/>
    <x v="0"/>
    <n v="3.7397260273972601"/>
  </r>
  <r>
    <s v="Kellsie Waby"/>
    <x v="0"/>
    <s v="Procurement"/>
    <n v="20"/>
    <x v="44"/>
    <x v="45"/>
    <x v="1"/>
    <x v="0"/>
    <n v="2.2027397260273971"/>
  </r>
  <r>
    <s v="Hyacinthie Braybrooke"/>
    <x v="1"/>
    <s v="Sales"/>
    <n v="20"/>
    <x v="45"/>
    <x v="46"/>
    <x v="2"/>
    <x v="0"/>
    <n v="2.7698630136986302"/>
  </r>
  <r>
    <s v="Van Tuxwell"/>
    <x v="1"/>
    <s v="Website"/>
    <n v="25"/>
    <x v="46"/>
    <x v="47"/>
    <x v="0"/>
    <x v="0"/>
    <n v="2.3397260273972602"/>
  </r>
  <r>
    <s v="Lilyan Klimpt"/>
    <x v="0"/>
    <s v="Procurement"/>
    <n v="19"/>
    <x v="47"/>
    <x v="48"/>
    <x v="1"/>
    <x v="0"/>
    <n v="3.4821917808219176"/>
  </r>
  <r>
    <s v="Tawnya Tickel"/>
    <x v="0"/>
    <s v="Website"/>
    <n v="36"/>
    <x v="48"/>
    <x v="49"/>
    <x v="1"/>
    <x v="0"/>
    <n v="4.1890410958904107"/>
  </r>
  <r>
    <s v="Jan Morforth"/>
    <x v="0"/>
    <s v="Finance"/>
    <n v="28"/>
    <x v="49"/>
    <x v="50"/>
    <x v="0"/>
    <x v="0"/>
    <n v="4.1287671232876715"/>
  </r>
  <r>
    <s v="Florinda Crace"/>
    <x v="1"/>
    <s v="HR"/>
    <n v="32"/>
    <x v="50"/>
    <x v="51"/>
    <x v="1"/>
    <x v="0"/>
    <n v="3.1452054794520548"/>
  </r>
  <r>
    <s v="Tracy Renad"/>
    <x v="1"/>
    <s v="Procurement"/>
    <n v="36"/>
    <x v="51"/>
    <x v="52"/>
    <x v="1"/>
    <x v="0"/>
    <n v="4.0082191780821921"/>
  </r>
  <r>
    <s v="Myer McCory"/>
    <x v="0"/>
    <s v="Website"/>
    <n v="30"/>
    <x v="52"/>
    <x v="53"/>
    <x v="1"/>
    <x v="0"/>
    <n v="1.9123287671232876"/>
  </r>
  <r>
    <s v="Bennie Pepis"/>
    <x v="0"/>
    <s v="Finance"/>
    <n v="36"/>
    <x v="53"/>
    <x v="54"/>
    <x v="1"/>
    <x v="0"/>
    <n v="3.3287671232876712"/>
  </r>
  <r>
    <s v="Rafaelita Blaksland"/>
    <x v="1"/>
    <s v="Sales"/>
    <n v="38"/>
    <x v="54"/>
    <x v="55"/>
    <x v="3"/>
    <x v="0"/>
    <n v="3.2082191780821918"/>
  </r>
  <r>
    <s v="Mahalia Larcher"/>
    <x v="0"/>
    <s v="Procurement"/>
    <n v="27"/>
    <x v="55"/>
    <x v="56"/>
    <x v="4"/>
    <x v="0"/>
    <n v="2.5726027397260274"/>
  </r>
  <r>
    <s v="Andria Kimpton"/>
    <x v="0"/>
    <s v="Website"/>
    <n v="30"/>
    <x v="56"/>
    <x v="57"/>
    <x v="1"/>
    <x v="0"/>
    <n v="3.493150684931507"/>
  </r>
  <r>
    <s v="Valentia Etteridge"/>
    <x v="1"/>
    <s v="HR"/>
    <n v="37"/>
    <x v="57"/>
    <x v="58"/>
    <x v="1"/>
    <x v="0"/>
    <n v="3.0054794520547947"/>
  </r>
  <r>
    <s v="Virginia McConville"/>
    <x v="1"/>
    <s v="Procurement"/>
    <n v="22"/>
    <x v="58"/>
    <x v="59"/>
    <x v="0"/>
    <x v="0"/>
    <n v="3.0082191780821916"/>
  </r>
  <r>
    <s v="Wilone O'Kielt"/>
    <x v="1"/>
    <s v="Website"/>
    <n v="43"/>
    <x v="59"/>
    <x v="60"/>
    <x v="1"/>
    <x v="0"/>
    <n v="1.3780821917808219"/>
  </r>
  <r>
    <s v="Madge McCloughen"/>
    <x v="2"/>
    <s v="Website"/>
    <n v="32"/>
    <x v="60"/>
    <x v="61"/>
    <x v="1"/>
    <x v="0"/>
    <n v="2.1205479452054794"/>
  </r>
  <r>
    <s v="Janene Hairsine"/>
    <x v="1"/>
    <s v="Procurement"/>
    <n v="28"/>
    <x v="61"/>
    <x v="62"/>
    <x v="1"/>
    <x v="0"/>
    <n v="2.9095890410958902"/>
  </r>
  <r>
    <s v="Alta Kaszper"/>
    <x v="0"/>
    <s v="Sales"/>
    <n v="27"/>
    <x v="62"/>
    <x v="63"/>
    <x v="1"/>
    <x v="0"/>
    <n v="3.8739726027397259"/>
  </r>
  <r>
    <s v="Dennison Crosswaite"/>
    <x v="2"/>
    <s v="Website"/>
    <n v="26"/>
    <x v="63"/>
    <x v="64"/>
    <x v="0"/>
    <x v="0"/>
    <n v="3.4986301369863013"/>
  </r>
  <r>
    <s v="Oran Buxcy"/>
    <x v="1"/>
    <s v="Sales"/>
    <n v="38"/>
    <x v="64"/>
    <x v="65"/>
    <x v="0"/>
    <x v="0"/>
    <n v="3.3397260273972602"/>
  </r>
  <r>
    <s v="Hinda Label"/>
    <x v="1"/>
    <s v="Sales"/>
    <n v="25"/>
    <x v="65"/>
    <x v="66"/>
    <x v="1"/>
    <x v="0"/>
    <n v="3.6794520547945204"/>
  </r>
  <r>
    <s v="Marney O'Breen"/>
    <x v="1"/>
    <s v="Finance"/>
    <n v="21"/>
    <x v="66"/>
    <x v="67"/>
    <x v="1"/>
    <x v="0"/>
    <n v="3.3726027397260272"/>
  </r>
  <r>
    <s v="Dell Molloy"/>
    <x v="0"/>
    <s v="Procurement"/>
    <n v="26"/>
    <x v="67"/>
    <x v="68"/>
    <x v="1"/>
    <x v="0"/>
    <n v="3.6246575342465754"/>
  </r>
  <r>
    <s v="Mallorie Waber"/>
    <x v="0"/>
    <s v="Procurement"/>
    <n v="30"/>
    <x v="68"/>
    <x v="69"/>
    <x v="1"/>
    <x v="0"/>
    <n v="2.4164383561643836"/>
  </r>
  <r>
    <s v="Cherlyn Barter"/>
    <x v="1"/>
    <s v="Procurement"/>
    <n v="28"/>
    <x v="69"/>
    <x v="70"/>
    <x v="1"/>
    <x v="0"/>
    <n v="2.463013698630137"/>
  </r>
  <r>
    <s v="Ches Bonnell"/>
    <x v="0"/>
    <s v="Website"/>
    <n v="37"/>
    <x v="70"/>
    <x v="71"/>
    <x v="2"/>
    <x v="0"/>
    <n v="3.3150684931506849"/>
  </r>
  <r>
    <s v="Collin Jagson"/>
    <x v="0"/>
    <s v="Website"/>
    <n v="24"/>
    <x v="41"/>
    <x v="72"/>
    <x v="1"/>
    <x v="0"/>
    <n v="2.3616438356164382"/>
  </r>
  <r>
    <s v="Hogan Iles"/>
    <x v="1"/>
    <s v="Procurement"/>
    <n v="30"/>
    <x v="52"/>
    <x v="73"/>
    <x v="1"/>
    <x v="0"/>
    <n v="1.9123287671232876"/>
  </r>
  <r>
    <s v="Gretchen Callow"/>
    <x v="1"/>
    <s v="Website"/>
    <n v="21"/>
    <x v="71"/>
    <x v="74"/>
    <x v="1"/>
    <x v="0"/>
    <n v="2.3835616438356166"/>
  </r>
  <r>
    <s v="Kissiah Maydway"/>
    <x v="0"/>
    <s v="Procurement"/>
    <n v="23"/>
    <x v="72"/>
    <x v="75"/>
    <x v="1"/>
    <x v="0"/>
    <n v="3.0356164383561643"/>
  </r>
  <r>
    <s v="Archibald Filliskirk"/>
    <x v="0"/>
    <s v="Procurement"/>
    <n v="35"/>
    <x v="73"/>
    <x v="76"/>
    <x v="1"/>
    <x v="0"/>
    <n v="2.2493150684931509"/>
  </r>
  <r>
    <s v="Enoch Dowrey"/>
    <x v="0"/>
    <s v="Finance"/>
    <n v="27"/>
    <x v="74"/>
    <x v="77"/>
    <x v="0"/>
    <x v="0"/>
    <n v="3.5945205479452054"/>
  </r>
  <r>
    <s v="Bili Sizey"/>
    <x v="0"/>
    <s v="Sales"/>
    <n v="43"/>
    <x v="75"/>
    <x v="78"/>
    <x v="1"/>
    <x v="0"/>
    <n v="2.5424657534246577"/>
  </r>
  <r>
    <s v="Caro Chappel"/>
    <x v="1"/>
    <s v="Website"/>
    <n v="40"/>
    <x v="76"/>
    <x v="79"/>
    <x v="1"/>
    <x v="0"/>
    <n v="3.1972602739726028"/>
  </r>
  <r>
    <s v="Constantino Espley"/>
    <x v="0"/>
    <s v="Finance"/>
    <n v="30"/>
    <x v="77"/>
    <x v="80"/>
    <x v="1"/>
    <x v="0"/>
    <n v="2.580821917808219"/>
  </r>
  <r>
    <s v="Karlen McCaffrey"/>
    <x v="1"/>
    <s v="Finance"/>
    <n v="34"/>
    <x v="12"/>
    <x v="81"/>
    <x v="1"/>
    <x v="0"/>
    <n v="2.9835616438356163"/>
  </r>
  <r>
    <s v="Drusy MacCombe"/>
    <x v="0"/>
    <s v="Sales"/>
    <n v="28"/>
    <x v="78"/>
    <x v="82"/>
    <x v="4"/>
    <x v="0"/>
    <n v="1.9945205479452055"/>
  </r>
  <r>
    <s v="My Hanscome"/>
    <x v="0"/>
    <s v="Finance"/>
    <n v="33"/>
    <x v="79"/>
    <x v="83"/>
    <x v="1"/>
    <x v="0"/>
    <n v="3.5753424657534247"/>
  </r>
  <r>
    <s v="Teressa Udden"/>
    <x v="1"/>
    <s v="Finance"/>
    <n v="33"/>
    <x v="80"/>
    <x v="84"/>
    <x v="1"/>
    <x v="0"/>
    <n v="4.0575342465753428"/>
  </r>
  <r>
    <s v="Crissie Cordel"/>
    <x v="1"/>
    <s v="Procurement"/>
    <n v="32"/>
    <x v="81"/>
    <x v="85"/>
    <x v="1"/>
    <x v="0"/>
    <n v="2.5671232876712327"/>
  </r>
  <r>
    <s v="Elia Cockton"/>
    <x v="1"/>
    <s v="Website"/>
    <n v="33"/>
    <x v="82"/>
    <x v="86"/>
    <x v="1"/>
    <x v="0"/>
    <n v="3.3863013698630136"/>
  </r>
  <r>
    <s v="Gigi Bohling"/>
    <x v="0"/>
    <s v="Sales"/>
    <n v="33"/>
    <x v="83"/>
    <x v="87"/>
    <x v="1"/>
    <x v="0"/>
    <n v="3.1863013698630138"/>
  </r>
  <r>
    <s v="Ebonee Roxburgh"/>
    <x v="0"/>
    <s v="Procurement"/>
    <n v="30"/>
    <x v="6"/>
    <x v="88"/>
    <x v="1"/>
    <x v="0"/>
    <n v="2.3205479452054796"/>
  </r>
  <r>
    <s v="Shayne Stegel"/>
    <x v="0"/>
    <s v="Finance"/>
    <n v="42"/>
    <x v="84"/>
    <x v="89"/>
    <x v="2"/>
    <x v="0"/>
    <n v="2.2383561643835614"/>
  </r>
  <r>
    <s v="Zach Polon"/>
    <x v="0"/>
    <s v="Procurement"/>
    <n v="26"/>
    <x v="85"/>
    <x v="4"/>
    <x v="1"/>
    <x v="0"/>
    <n v="3.1150684931506851"/>
  </r>
  <r>
    <s v="Deepali Charan"/>
    <x v="0"/>
    <s v="Website"/>
    <n v="20"/>
    <x v="9"/>
    <x v="44"/>
    <x v="1"/>
    <x v="1"/>
    <n v="3.9068493150684933"/>
  </r>
  <r>
    <s v="Yagna Sujeev"/>
    <x v="1"/>
    <s v="Website"/>
    <n v="32"/>
    <x v="86"/>
    <x v="14"/>
    <x v="0"/>
    <x v="1"/>
    <n v="3.4383561643835616"/>
  </r>
  <r>
    <s v="Satyendra Venkatadri"/>
    <x v="0"/>
    <s v="Procurement"/>
    <n v="31"/>
    <x v="21"/>
    <x v="37"/>
    <x v="1"/>
    <x v="1"/>
    <n v="2.4246575342465753"/>
  </r>
  <r>
    <s v="Madhavdas Buhpathi"/>
    <x v="1"/>
    <s v="HR"/>
    <n v="32"/>
    <x v="87"/>
    <x v="51"/>
    <x v="1"/>
    <x v="1"/>
    <n v="3.3123287671232875"/>
  </r>
  <r>
    <s v="Sahila Chandrasekhar"/>
    <x v="2"/>
    <s v="Finance"/>
    <n v="37"/>
    <x v="51"/>
    <x v="3"/>
    <x v="2"/>
    <x v="1"/>
    <n v="4.0082191780821921"/>
  </r>
  <r>
    <s v="Mirium Seemantini Shivakumar"/>
    <x v="1"/>
    <s v="Sales"/>
    <n v="38"/>
    <x v="88"/>
    <x v="65"/>
    <x v="0"/>
    <x v="1"/>
    <n v="3.506849315068493"/>
  </r>
  <r>
    <s v="Purnendu Vijayarangan"/>
    <x v="1"/>
    <s v="Sales"/>
    <n v="25"/>
    <x v="89"/>
    <x v="66"/>
    <x v="1"/>
    <x v="1"/>
    <n v="3.8465753424657536"/>
  </r>
  <r>
    <s v="Rukma Vinita"/>
    <x v="2"/>
    <s v="Website"/>
    <n v="32"/>
    <x v="90"/>
    <x v="61"/>
    <x v="1"/>
    <x v="1"/>
    <n v="2.2876712328767121"/>
  </r>
  <r>
    <s v="Yauvani Tarpa"/>
    <x v="0"/>
    <s v="Sales"/>
    <n v="33"/>
    <x v="91"/>
    <x v="87"/>
    <x v="1"/>
    <x v="1"/>
    <n v="3.3534246575342466"/>
  </r>
  <r>
    <s v="Damayanti Thangavadivelu"/>
    <x v="0"/>
    <s v="Procurement"/>
    <s v="a"/>
    <x v="92"/>
    <x v="33"/>
    <x v="0"/>
    <x v="1"/>
    <n v="2.419178082191781"/>
  </r>
  <r>
    <s v="Manjusri Ruchi"/>
    <x v="1"/>
    <s v="Website"/>
    <n v="40"/>
    <x v="93"/>
    <x v="79"/>
    <x v="1"/>
    <x v="1"/>
    <n v="3.3643835616438356"/>
  </r>
  <r>
    <s v="Mithil Nadkarni"/>
    <x v="0"/>
    <s v="Finance"/>
    <n v="30"/>
    <x v="94"/>
    <x v="80"/>
    <x v="1"/>
    <x v="1"/>
    <n v="2.7506849315068491"/>
  </r>
  <r>
    <s v="Ardhendu Abhichandra Jayakar"/>
    <x v="0"/>
    <s v="Finance"/>
    <n v="28"/>
    <x v="95"/>
    <x v="50"/>
    <x v="0"/>
    <x v="1"/>
    <n v="4.2958904109589042"/>
  </r>
  <r>
    <s v="Akbar Sorabhjee"/>
    <x v="0"/>
    <s v="Procurement"/>
    <n v="21"/>
    <x v="96"/>
    <x v="16"/>
    <x v="1"/>
    <x v="1"/>
    <n v="4.1260273972602741"/>
  </r>
  <r>
    <s v="Bandhula Sathyanna"/>
    <x v="0"/>
    <s v="Procurement"/>
    <n v="34"/>
    <x v="97"/>
    <x v="44"/>
    <x v="1"/>
    <x v="1"/>
    <n v="2.4821917808219176"/>
  </r>
  <r>
    <s v="Daruka Ghazali"/>
    <x v="1"/>
    <s v="Sales"/>
    <n v="34"/>
    <x v="98"/>
    <x v="34"/>
    <x v="2"/>
    <x v="1"/>
    <n v="2.4328767123287673"/>
  </r>
  <r>
    <s v="Heer Pennathur"/>
    <x v="0"/>
    <s v="Website"/>
    <n v="36"/>
    <x v="99"/>
    <x v="49"/>
    <x v="1"/>
    <x v="1"/>
    <n v="4.3561643835616435"/>
  </r>
  <r>
    <s v="Shekhar Eswara"/>
    <x v="0"/>
    <s v="Website"/>
    <n v="30"/>
    <x v="100"/>
    <x v="53"/>
    <x v="1"/>
    <x v="1"/>
    <n v="2.0794520547945203"/>
  </r>
  <r>
    <s v="Udyan Lanka"/>
    <x v="0"/>
    <s v="Procurement"/>
    <n v="20"/>
    <x v="101"/>
    <x v="45"/>
    <x v="1"/>
    <x v="1"/>
    <n v="2.3698630136986303"/>
  </r>
  <r>
    <s v="Shreela Ramasubraman"/>
    <x v="1"/>
    <s v="Procurement"/>
    <n v="22"/>
    <x v="102"/>
    <x v="59"/>
    <x v="0"/>
    <x v="1"/>
    <n v="3.1780821917808217"/>
  </r>
  <r>
    <s v="Sanchali Shirish"/>
    <x v="0"/>
    <s v="Sales"/>
    <n v="27"/>
    <x v="103"/>
    <x v="63"/>
    <x v="1"/>
    <x v="1"/>
    <n v="4.0410958904109586"/>
  </r>
  <r>
    <s v="Gangadutt Ragha"/>
    <x v="0"/>
    <s v="Website"/>
    <n v="37"/>
    <x v="47"/>
    <x v="71"/>
    <x v="2"/>
    <x v="1"/>
    <n v="3.4821917808219176"/>
  </r>
  <r>
    <s v="Waheeda Vasuman"/>
    <x v="0"/>
    <s v="Sales"/>
    <n v="43"/>
    <x v="104"/>
    <x v="78"/>
    <x v="1"/>
    <x v="1"/>
    <n v="2.7123287671232879"/>
  </r>
  <r>
    <s v="Nanak Sapna"/>
    <x v="1"/>
    <s v="Procurement"/>
    <n v="42"/>
    <x v="105"/>
    <x v="25"/>
    <x v="3"/>
    <x v="1"/>
    <n v="2.2739726027397262"/>
  </r>
  <r>
    <s v="Shobhana Samuel"/>
    <x v="0"/>
    <s v="Procurement"/>
    <n v="35"/>
    <x v="68"/>
    <x v="76"/>
    <x v="1"/>
    <x v="1"/>
    <n v="2.4164383561643836"/>
  </r>
  <r>
    <s v="Amlankusum Rajabhushan"/>
    <x v="0"/>
    <s v="Website"/>
    <n v="24"/>
    <x v="106"/>
    <x v="72"/>
    <x v="1"/>
    <x v="1"/>
    <n v="2.5287671232876714"/>
  </r>
  <r>
    <s v="Pratigya Rema"/>
    <x v="1"/>
    <s v="Website"/>
    <n v="31"/>
    <x v="107"/>
    <x v="22"/>
    <x v="1"/>
    <x v="1"/>
    <n v="2.5863013698630137"/>
  </r>
  <r>
    <s v="Ramnath Ravuri"/>
    <x v="1"/>
    <s v="Website"/>
    <n v="44"/>
    <x v="108"/>
    <x v="60"/>
    <x v="1"/>
    <x v="1"/>
    <n v="1.5424657534246575"/>
  </r>
  <r>
    <s v="Prerana Nishita"/>
    <x v="1"/>
    <s v="Procurement"/>
    <n v="32"/>
    <x v="109"/>
    <x v="85"/>
    <x v="1"/>
    <x v="1"/>
    <n v="2.7369863013698632"/>
  </r>
  <r>
    <s v="Makshi Vinutha"/>
    <x v="1"/>
    <s v="Procurement"/>
    <n v="30"/>
    <x v="110"/>
    <x v="5"/>
    <x v="1"/>
    <x v="1"/>
    <n v="2.0493150684931507"/>
  </r>
  <r>
    <s v="Shiuli Sapna"/>
    <x v="0"/>
    <s v="Procurement"/>
    <n v="26"/>
    <x v="30"/>
    <x v="68"/>
    <x v="1"/>
    <x v="1"/>
    <n v="3.7917808219178082"/>
  </r>
  <r>
    <s v="Agrata Rajarama"/>
    <x v="1"/>
    <s v="Finance"/>
    <n v="21"/>
    <x v="111"/>
    <x v="67"/>
    <x v="1"/>
    <x v="1"/>
    <n v="3.5397260273972604"/>
  </r>
  <r>
    <s v="Vasu Nandin"/>
    <x v="1"/>
    <s v="Procurement"/>
    <n v="28"/>
    <x v="112"/>
    <x v="35"/>
    <x v="1"/>
    <x v="1"/>
    <n v="2.6767123287671235"/>
  </r>
  <r>
    <s v="Bhuvan Pals"/>
    <x v="1"/>
    <s v="Website"/>
    <n v="25"/>
    <x v="113"/>
    <x v="47"/>
    <x v="0"/>
    <x v="1"/>
    <n v="2.506849315068493"/>
  </r>
  <r>
    <s v="Gumwant Veera"/>
    <x v="0"/>
    <s v="Finance"/>
    <n v="24"/>
    <x v="114"/>
    <x v="39"/>
    <x v="2"/>
    <x v="1"/>
    <n v="3.2136986301369861"/>
  </r>
  <r>
    <s v="Narois Motiwala"/>
    <x v="0"/>
    <s v="Website"/>
    <n v="29"/>
    <x v="115"/>
    <x v="10"/>
    <x v="2"/>
    <x v="1"/>
    <n v="3.9150684931506849"/>
  </r>
  <r>
    <s v="Anjushri Chandiramani"/>
    <x v="1"/>
    <s v="HR"/>
    <n v="27"/>
    <x v="116"/>
    <x v="9"/>
    <x v="1"/>
    <x v="1"/>
    <n v="4.0739726027397261"/>
  </r>
  <r>
    <s v="Krishnakanta Vellanki"/>
    <x v="0"/>
    <s v="Sales"/>
    <n v="22"/>
    <x v="117"/>
    <x v="0"/>
    <x v="0"/>
    <x v="1"/>
    <n v="3.1890410958904107"/>
  </r>
  <r>
    <s v="Dhruv Manjunath"/>
    <x v="1"/>
    <s v="Procurement"/>
    <n v="36"/>
    <x v="26"/>
    <x v="52"/>
    <x v="1"/>
    <x v="1"/>
    <n v="4.1780821917808222"/>
  </r>
  <r>
    <s v="Vanmala Shriharsha"/>
    <x v="0"/>
    <s v="Finance"/>
    <n v="27"/>
    <x v="118"/>
    <x v="23"/>
    <x v="1"/>
    <x v="1"/>
    <n v="2.8547945205479452"/>
  </r>
  <r>
    <s v="Sameer Shashank Sapra"/>
    <x v="0"/>
    <s v="HR"/>
    <n v="21"/>
    <x v="10"/>
    <x v="19"/>
    <x v="1"/>
    <x v="1"/>
    <n v="3.7479452054794522"/>
  </r>
  <r>
    <s v="Anumati Shyamari Meherhomji"/>
    <x v="1"/>
    <s v="Sales"/>
    <n v="28"/>
    <x v="119"/>
    <x v="2"/>
    <x v="1"/>
    <x v="1"/>
    <n v="3.43013698630137"/>
  </r>
  <r>
    <s v="Tarala Vishaal"/>
    <x v="1"/>
    <s v="Finance"/>
    <n v="34"/>
    <x v="120"/>
    <x v="81"/>
    <x v="1"/>
    <x v="1"/>
    <n v="3.1534246575342464"/>
  </r>
  <r>
    <s v="Shubhra Potla"/>
    <x v="1"/>
    <s v="Website"/>
    <n v="21"/>
    <x v="121"/>
    <x v="74"/>
    <x v="1"/>
    <x v="1"/>
    <n v="2.5452054794520547"/>
  </r>
  <r>
    <s v="Hemavati Muthiah"/>
    <x v="1"/>
    <s v="Website"/>
    <n v="33"/>
    <x v="122"/>
    <x v="86"/>
    <x v="1"/>
    <x v="1"/>
    <n v="3.547945205479452"/>
  </r>
  <r>
    <s v="Krittika Gaekwad"/>
    <x v="1"/>
    <s v="Finance"/>
    <n v="34"/>
    <x v="123"/>
    <x v="20"/>
    <x v="1"/>
    <x v="1"/>
    <n v="2.6136986301369864"/>
  </r>
  <r>
    <s v="Shevantilal Muppala"/>
    <x v="1"/>
    <s v="Procurement"/>
    <n v="28"/>
    <x v="124"/>
    <x v="62"/>
    <x v="1"/>
    <x v="1"/>
    <n v="3.0767123287671234"/>
  </r>
  <r>
    <s v="Shattesh Utpat"/>
    <x v="0"/>
    <s v="Procurement"/>
    <n v="21"/>
    <x v="6"/>
    <x v="17"/>
    <x v="1"/>
    <x v="1"/>
    <n v="2.3205479452054796"/>
  </r>
  <r>
    <s v="Kamalakshi Mukundan"/>
    <x v="0"/>
    <s v="Finance"/>
    <n v="27"/>
    <x v="125"/>
    <x v="77"/>
    <x v="0"/>
    <x v="1"/>
    <n v="3.7643835616438355"/>
  </r>
  <r>
    <s v="Chandana Sannidhi Surnilla"/>
    <x v="0"/>
    <s v="Finance"/>
    <n v="42"/>
    <x v="126"/>
    <x v="89"/>
    <x v="2"/>
    <x v="1"/>
    <n v="2.4054794520547946"/>
  </r>
  <r>
    <s v="Indu Varada Sumedh"/>
    <x v="1"/>
    <s v="Finance"/>
    <n v="28"/>
    <x v="127"/>
    <x v="28"/>
    <x v="1"/>
    <x v="1"/>
    <n v="3.9013698630136986"/>
  </r>
  <r>
    <s v="Karuna Pashupathy"/>
    <x v="2"/>
    <s v="Website"/>
    <n v="27"/>
    <x v="128"/>
    <x v="64"/>
    <x v="0"/>
    <x v="1"/>
    <n v="3.6602739726027398"/>
  </r>
  <r>
    <s v="Mardav Ramaswami"/>
    <x v="0"/>
    <s v="Procurement"/>
    <n v="30"/>
    <x v="129"/>
    <x v="69"/>
    <x v="1"/>
    <x v="1"/>
    <n v="2.5780821917808221"/>
  </r>
  <r>
    <s v="Sarayu Ragunathan"/>
    <x v="0"/>
    <s v="Procurement"/>
    <n v="33"/>
    <x v="130"/>
    <x v="31"/>
    <x v="1"/>
    <x v="1"/>
    <n v="3.9589041095890409"/>
  </r>
  <r>
    <s v="Kevalkumar Solanki"/>
    <x v="1"/>
    <s v="Finance"/>
    <n v="33"/>
    <x v="131"/>
    <x v="84"/>
    <x v="1"/>
    <x v="1"/>
    <n v="4.2246575342465755"/>
  </r>
  <r>
    <s v="Upendra Swati"/>
    <x v="2"/>
    <s v="Finance"/>
    <n v="30"/>
    <x v="132"/>
    <x v="24"/>
    <x v="1"/>
    <x v="1"/>
    <n v="2.7753424657534245"/>
  </r>
  <r>
    <s v="Deepit Ranjana"/>
    <x v="1"/>
    <s v="Finance"/>
    <n v="34"/>
    <x v="11"/>
    <x v="43"/>
    <x v="1"/>
    <x v="1"/>
    <n v="3.1917808219178081"/>
  </r>
  <r>
    <s v="Amal Nimesh"/>
    <x v="0"/>
    <s v="Website"/>
    <n v="31"/>
    <x v="58"/>
    <x v="38"/>
    <x v="1"/>
    <x v="1"/>
    <n v="3.0082191780821916"/>
  </r>
  <r>
    <s v="Kunja Prashanta Vibha"/>
    <x v="1"/>
    <s v="Website"/>
    <n v="27"/>
    <x v="106"/>
    <x v="42"/>
    <x v="1"/>
    <x v="1"/>
    <n v="2.5287671232876714"/>
  </r>
  <r>
    <s v="Godavari Veena"/>
    <x v="1"/>
    <s v="Website"/>
    <n v="40"/>
    <x v="133"/>
    <x v="26"/>
    <x v="1"/>
    <x v="1"/>
    <n v="3.484931506849315"/>
  </r>
  <r>
    <s v="Devasree Fullara Saurin"/>
    <x v="1"/>
    <s v="Sales"/>
    <n v="20"/>
    <x v="134"/>
    <x v="46"/>
    <x v="2"/>
    <x v="1"/>
    <n v="2.9369863013698629"/>
  </r>
  <r>
    <s v="Geena Raghavanpillai"/>
    <x v="0"/>
    <s v="Sales"/>
    <n v="32"/>
    <x v="135"/>
    <x v="4"/>
    <x v="1"/>
    <x v="1"/>
    <n v="3.1369863013698631"/>
  </r>
  <r>
    <s v="Rupak Mehra"/>
    <x v="0"/>
    <s v="Sales"/>
    <n v="28"/>
    <x v="1"/>
    <x v="82"/>
    <x v="4"/>
    <x v="1"/>
    <n v="2.1643835616438358"/>
  </r>
  <r>
    <s v="Sawini Chandan"/>
    <x v="1"/>
    <s v="Sales"/>
    <n v="38"/>
    <x v="136"/>
    <x v="55"/>
    <x v="3"/>
    <x v="1"/>
    <n v="3.3753424657534246"/>
  </r>
  <r>
    <s v="Baruna Ogale"/>
    <x v="0"/>
    <s v="Procurement"/>
    <n v="40"/>
    <x v="137"/>
    <x v="15"/>
    <x v="1"/>
    <x v="1"/>
    <n v="3.6821917808219178"/>
  </r>
  <r>
    <s v="Jagajeet Viraj"/>
    <x v="1"/>
    <s v="Website"/>
    <n v="31"/>
    <x v="138"/>
    <x v="18"/>
    <x v="1"/>
    <x v="1"/>
    <n v="4.0109589041095894"/>
  </r>
  <r>
    <s v="Kulbhushan Moorthy"/>
    <x v="0"/>
    <s v="Finance"/>
    <n v="36"/>
    <x v="139"/>
    <x v="54"/>
    <x v="1"/>
    <x v="1"/>
    <n v="3.495890410958904"/>
  </r>
  <r>
    <s v="Ilesh Dasgupta"/>
    <x v="0"/>
    <s v="Procurement"/>
    <n v="27"/>
    <x v="140"/>
    <x v="56"/>
    <x v="4"/>
    <x v="1"/>
    <n v="2.7424657534246575"/>
  </r>
  <r>
    <s v="Madhumati Gazala Soumitra"/>
    <x v="1"/>
    <s v="Finance"/>
    <n v="33"/>
    <x v="141"/>
    <x v="41"/>
    <x v="1"/>
    <x v="1"/>
    <n v="2.1945205479452055"/>
  </r>
  <r>
    <s v="Chitrasen Laul"/>
    <x v="0"/>
    <s v="Procurement"/>
    <n v="26"/>
    <x v="142"/>
    <x v="4"/>
    <x v="1"/>
    <x v="1"/>
    <n v="3.2821917808219179"/>
  </r>
  <r>
    <s v="Jaishree Atasi Yavatkar"/>
    <x v="0"/>
    <s v="Website"/>
    <n v="37"/>
    <x v="143"/>
    <x v="12"/>
    <x v="1"/>
    <x v="1"/>
    <n v="2.4876712328767123"/>
  </r>
  <r>
    <s v="Kantimoy Pritish"/>
    <x v="1"/>
    <s v="Finance"/>
    <n v="30"/>
    <x v="144"/>
    <x v="21"/>
    <x v="2"/>
    <x v="1"/>
    <n v="3.3424657534246576"/>
  </r>
  <r>
    <s v="Rameshwari Chikodi"/>
    <x v="0"/>
    <s v="Website"/>
    <n v="30"/>
    <x v="145"/>
    <x v="57"/>
    <x v="1"/>
    <x v="1"/>
    <n v="3.6547945205479451"/>
  </r>
  <r>
    <s v="Lalit Kothari"/>
    <x v="1"/>
    <s v="Finance"/>
    <n v="34"/>
    <x v="146"/>
    <x v="29"/>
    <x v="1"/>
    <x v="1"/>
    <n v="2.7342465753424658"/>
  </r>
  <r>
    <s v="Sahas Sanabhi Shrikant"/>
    <x v="0"/>
    <s v="Procurement"/>
    <n v="23"/>
    <x v="147"/>
    <x v="75"/>
    <x v="1"/>
    <x v="1"/>
    <n v="3.2054794520547945"/>
  </r>
  <r>
    <s v="Kaishori Harathi Kateel"/>
    <x v="1"/>
    <s v="HR"/>
    <n v="37"/>
    <x v="20"/>
    <x v="58"/>
    <x v="1"/>
    <x v="1"/>
    <n v="3.1753424657534248"/>
  </r>
  <r>
    <s v="Rushil Kripa"/>
    <x v="1"/>
    <s v="Procurement"/>
    <n v="36"/>
    <x v="148"/>
    <x v="40"/>
    <x v="1"/>
    <x v="1"/>
    <n v="2.9589041095890409"/>
  </r>
  <r>
    <s v="Sarojini Naueshwara"/>
    <x v="1"/>
    <s v="Procurement"/>
    <n v="30"/>
    <x v="100"/>
    <x v="73"/>
    <x v="1"/>
    <x v="1"/>
    <n v="2.0794520547945203"/>
  </r>
  <r>
    <s v="Sartaj Probal"/>
    <x v="1"/>
    <s v="Procurement"/>
    <n v="28"/>
    <x v="149"/>
    <x v="70"/>
    <x v="1"/>
    <x v="1"/>
    <n v="2.6246575342465754"/>
  </r>
  <r>
    <s v="Mahindra Sreedharan"/>
    <x v="0"/>
    <s v="Procurement"/>
    <n v="30"/>
    <x v="143"/>
    <x v="88"/>
    <x v="1"/>
    <x v="1"/>
    <n v="2.4876712328767123"/>
  </r>
  <r>
    <s v="Suchira Bhanupriya Tapti"/>
    <x v="1"/>
    <s v="Website"/>
    <n v="29"/>
    <x v="150"/>
    <x v="27"/>
    <x v="1"/>
    <x v="1"/>
    <n v="4.3452054794520549"/>
  </r>
  <r>
    <s v="Fullara Sushanti Mokate"/>
    <x v="1"/>
    <s v="Website"/>
    <n v="24"/>
    <x v="151"/>
    <x v="7"/>
    <x v="1"/>
    <x v="1"/>
    <n v="4.0027397260273974"/>
  </r>
  <r>
    <s v="Hridaynath Tendulkar"/>
    <x v="0"/>
    <s v="Website"/>
    <n v="20"/>
    <x v="120"/>
    <x v="13"/>
    <x v="1"/>
    <x v="1"/>
    <n v="3.1534246575342464"/>
  </r>
  <r>
    <s v="Abhaya Priyavardhan"/>
    <x v="0"/>
    <s v="Sales"/>
    <n v="25"/>
    <x v="152"/>
    <x v="11"/>
    <x v="1"/>
    <x v="1"/>
    <n v="3.3589041095890413"/>
  </r>
  <r>
    <s v="Ayog Chakrabarti"/>
    <x v="1"/>
    <s v="Website"/>
    <n v="33"/>
    <x v="153"/>
    <x v="30"/>
    <x v="4"/>
    <x v="1"/>
    <n v="3.3835616438356166"/>
  </r>
  <r>
    <s v="Pragya Nilufar"/>
    <x v="0"/>
    <s v="Website"/>
    <n v="33"/>
    <x v="154"/>
    <x v="8"/>
    <x v="1"/>
    <x v="1"/>
    <n v="3.0136986301369864"/>
  </r>
  <r>
    <s v="Shulabh Qutub Sundaramoorthy"/>
    <x v="1"/>
    <s v="Sales"/>
    <n v="36"/>
    <x v="155"/>
    <x v="32"/>
    <x v="1"/>
    <x v="1"/>
    <n v="3.0547945205479454"/>
  </r>
  <r>
    <s v="Vinanti Choudhari"/>
    <x v="0"/>
    <s v="Procurement"/>
    <n v="19"/>
    <x v="156"/>
    <x v="48"/>
    <x v="1"/>
    <x v="1"/>
    <n v="3.6438356164383561"/>
  </r>
  <r>
    <s v="Ranajay Kailashnath Richa"/>
    <x v="0"/>
    <s v="Procurement"/>
    <n v="46"/>
    <x v="157"/>
    <x v="1"/>
    <x v="1"/>
    <x v="1"/>
    <n v="2.3315068493150686"/>
  </r>
  <r>
    <s v="Asija Pothireddy"/>
    <x v="0"/>
    <s v="Finance"/>
    <n v="33"/>
    <x v="158"/>
    <x v="83"/>
    <x v="1"/>
    <x v="1"/>
    <n v="3.7452054794520548"/>
  </r>
  <r>
    <s v="Piyali Mahanthapa"/>
    <x v="0"/>
    <s v="Procurement"/>
    <n v="33"/>
    <x v="143"/>
    <x v="6"/>
    <x v="0"/>
    <x v="1"/>
    <n v="2.4876712328767123"/>
  </r>
  <r>
    <s v="Sukhdev Nageshwar"/>
    <x v="1"/>
    <s v="Website"/>
    <n v="33"/>
    <x v="159"/>
    <x v="36"/>
    <x v="1"/>
    <x v="1"/>
    <n v="3.88767123287671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E319C0-ED60-4C06-B998-D52B533B0C7A}"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E11" firstHeaderRow="1" firstDataRow="2" firstDataCol="1"/>
  <pivotFields count="12">
    <pivotField dataField="1" showAll="0"/>
    <pivotField axis="axisCol" showAll="0">
      <items count="4">
        <item x="1"/>
        <item x="0"/>
        <item h="1" x="2"/>
        <item t="default"/>
      </items>
    </pivotField>
    <pivotField showAll="0"/>
    <pivotField dataField="1"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dataField="1" numFmtId="8" showAll="0"/>
    <pivotField showAll="0"/>
    <pivotField showAll="0">
      <items count="3">
        <item x="1"/>
        <item h="1" x="0"/>
        <item t="default"/>
      </items>
    </pivotField>
    <pivotField dataField="1"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Age" fld="3" subtotal="average" baseField="1" baseItem="2"/>
    <dataField name="Average of Salary" fld="5" subtotal="average" baseField="0" baseItem="0"/>
    <dataField name="Average of Tenure" fld="8" subtotal="average" baseField="0" baseItem="0"/>
  </dataFields>
  <formats count="8">
    <format dxfId="74">
      <pivotArea outline="0" collapsedLevelsAreSubtotals="1" fieldPosition="0">
        <references count="2">
          <reference field="4294967294" count="1" selected="0">
            <x v="1"/>
          </reference>
          <reference field="1" count="1" selected="0">
            <x v="0"/>
          </reference>
        </references>
      </pivotArea>
    </format>
    <format dxfId="73">
      <pivotArea outline="0" collapsedLevelsAreSubtotals="1" fieldPosition="0">
        <references count="2">
          <reference field="4294967294" count="1" selected="0">
            <x v="1"/>
          </reference>
          <reference field="1" count="1" selected="0">
            <x v="1"/>
          </reference>
        </references>
      </pivotArea>
    </format>
    <format dxfId="72">
      <pivotArea field="1" grandCol="1" outline="0" collapsedLevelsAreSubtotals="1" axis="axisCol" fieldPosition="0">
        <references count="1">
          <reference field="4294967294" count="1" selected="0">
            <x v="1"/>
          </reference>
        </references>
      </pivotArea>
    </format>
    <format dxfId="71">
      <pivotArea collapsedLevelsAreSubtotals="1" fieldPosition="0">
        <references count="1">
          <reference field="4294967294" count="1">
            <x v="2"/>
          </reference>
        </references>
      </pivotArea>
    </format>
    <format dxfId="70">
      <pivotArea dataOnly="0" labelOnly="1" outline="0" fieldPosition="0">
        <references count="1">
          <reference field="4294967294" count="4">
            <x v="0"/>
            <x v="1"/>
            <x v="2"/>
            <x v="3"/>
          </reference>
        </references>
      </pivotArea>
    </format>
    <format dxfId="69">
      <pivotArea collapsedLevelsAreSubtotals="1" fieldPosition="0">
        <references count="1">
          <reference field="4294967294" count="1">
            <x v="3"/>
          </reference>
        </references>
      </pivotArea>
    </format>
    <format dxfId="68">
      <pivotArea outline="0" collapsedLevelsAreSubtotals="1" fieldPosition="0"/>
    </format>
    <format dxfId="67">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583261-7617-4435-A3C6-7AE996C62AA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12">
    <pivotField dataField="1" showAll="0"/>
    <pivotField showAll="0"/>
    <pivotField showAll="0"/>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dataField="1" numFmtId="8" showAll="0">
      <items count="91">
        <item x="74"/>
        <item x="27"/>
        <item x="78"/>
        <item x="16"/>
        <item x="76"/>
        <item x="85"/>
        <item x="18"/>
        <item x="82"/>
        <item x="14"/>
        <item x="51"/>
        <item x="68"/>
        <item x="50"/>
        <item x="6"/>
        <item x="38"/>
        <item x="23"/>
        <item x="34"/>
        <item x="39"/>
        <item x="2"/>
        <item x="4"/>
        <item x="8"/>
        <item x="63"/>
        <item x="65"/>
        <item x="17"/>
        <item x="22"/>
        <item x="20"/>
        <item x="48"/>
        <item x="83"/>
        <item x="29"/>
        <item x="69"/>
        <item x="7"/>
        <item x="24"/>
        <item x="84"/>
        <item x="11"/>
        <item x="67"/>
        <item x="21"/>
        <item x="88"/>
        <item x="46"/>
        <item x="12"/>
        <item x="57"/>
        <item x="53"/>
        <item x="89"/>
        <item x="1"/>
        <item x="54"/>
        <item x="87"/>
        <item x="25"/>
        <item x="86"/>
        <item x="30"/>
        <item x="19"/>
        <item x="28"/>
        <item x="59"/>
        <item x="40"/>
        <item x="32"/>
        <item x="45"/>
        <item x="47"/>
        <item x="42"/>
        <item x="81"/>
        <item x="41"/>
        <item x="26"/>
        <item x="71"/>
        <item x="64"/>
        <item x="61"/>
        <item x="77"/>
        <item x="43"/>
        <item x="66"/>
        <item x="36"/>
        <item x="80"/>
        <item x="15"/>
        <item x="35"/>
        <item x="72"/>
        <item x="37"/>
        <item x="70"/>
        <item x="79"/>
        <item x="62"/>
        <item x="75"/>
        <item x="13"/>
        <item x="55"/>
        <item x="33"/>
        <item x="10"/>
        <item x="5"/>
        <item x="44"/>
        <item x="0"/>
        <item x="56"/>
        <item x="73"/>
        <item x="60"/>
        <item x="52"/>
        <item x="3"/>
        <item x="31"/>
        <item x="58"/>
        <item x="49"/>
        <item x="9"/>
        <item t="default"/>
      </items>
    </pivotField>
    <pivotField axis="axisRow" showAll="0">
      <items count="6">
        <item x="3"/>
        <item x="0"/>
        <item x="1"/>
        <item x="2"/>
        <item x="4"/>
        <item t="default"/>
      </items>
    </pivotField>
    <pivotField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6">
    <i>
      <x/>
    </i>
    <i>
      <x v="1"/>
    </i>
    <i>
      <x v="2"/>
    </i>
    <i>
      <x v="3"/>
    </i>
    <i>
      <x v="4"/>
    </i>
    <i t="grand">
      <x/>
    </i>
  </rowItems>
  <colFields count="1">
    <field x="-2"/>
  </colFields>
  <colItems count="2">
    <i>
      <x/>
    </i>
    <i i="1">
      <x v="1"/>
    </i>
  </colItems>
  <dataFields count="2">
    <dataField name="Count of Employees" fld="0" subtotal="count" baseField="6" baseItem="0"/>
    <dataField name="Avg Salary" fld="5" subtotal="average" baseField="6" baseItem="0" numFmtId="6"/>
  </dataFields>
  <formats count="3">
    <format dxfId="66">
      <pivotArea dataOnly="0" outline="0" fieldPosition="0">
        <references count="1">
          <reference field="4294967294" count="1">
            <x v="1"/>
          </reference>
        </references>
      </pivotArea>
    </format>
    <format dxfId="65">
      <pivotArea outline="0" collapsedLevelsAreSubtotals="1" fieldPosition="0">
        <references count="1">
          <reference field="4294967294" count="1" selected="0">
            <x v="1"/>
          </reference>
        </references>
      </pivotArea>
    </format>
    <format dxfId="64">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6"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ADA229-7738-436C-8976-380E6A7A434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C39" firstHeaderRow="1" firstDataRow="1" firstDataCol="1"/>
  <pivotFields count="12">
    <pivotField dataField="1" showAll="0"/>
    <pivotField showAll="0"/>
    <pivotField showAll="0"/>
    <pivotField showAll="0"/>
    <pivotField numFmtId="14" showAll="0">
      <items count="161">
        <item x="99"/>
        <item x="150"/>
        <item x="95"/>
        <item x="131"/>
        <item x="48"/>
        <item x="26"/>
        <item x="49"/>
        <item x="96"/>
        <item x="116"/>
        <item x="80"/>
        <item x="103"/>
        <item x="138"/>
        <item x="51"/>
        <item x="151"/>
        <item x="130"/>
        <item x="15"/>
        <item x="115"/>
        <item x="9"/>
        <item x="127"/>
        <item x="159"/>
        <item x="62"/>
        <item x="89"/>
        <item x="17"/>
        <item x="3"/>
        <item x="7"/>
        <item x="30"/>
        <item x="125"/>
        <item x="10"/>
        <item x="158"/>
        <item x="43"/>
        <item x="27"/>
        <item x="35"/>
        <item x="137"/>
        <item x="65"/>
        <item x="128"/>
        <item x="145"/>
        <item x="156"/>
        <item x="67"/>
        <item x="74"/>
        <item x="18"/>
        <item x="79"/>
        <item x="122"/>
        <item x="111"/>
        <item x="14"/>
        <item x="88"/>
        <item x="63"/>
        <item x="139"/>
        <item x="56"/>
        <item x="133"/>
        <item x="47"/>
        <item x="86"/>
        <item x="119"/>
        <item x="82"/>
        <item x="153"/>
        <item x="136"/>
        <item x="66"/>
        <item x="93"/>
        <item x="152"/>
        <item x="91"/>
        <item x="144"/>
        <item x="64"/>
        <item x="53"/>
        <item x="25"/>
        <item x="70"/>
        <item x="87"/>
        <item x="142"/>
        <item x="13"/>
        <item x="2"/>
        <item x="29"/>
        <item x="114"/>
        <item x="54"/>
        <item x="147"/>
        <item x="76"/>
        <item x="11"/>
        <item x="117"/>
        <item x="83"/>
        <item x="102"/>
        <item x="20"/>
        <item x="120"/>
        <item x="50"/>
        <item x="135"/>
        <item x="85"/>
        <item x="124"/>
        <item x="155"/>
        <item x="38"/>
        <item x="72"/>
        <item x="42"/>
        <item x="0"/>
        <item x="154"/>
        <item x="58"/>
        <item x="57"/>
        <item x="12"/>
        <item x="4"/>
        <item x="148"/>
        <item x="134"/>
        <item x="61"/>
        <item x="31"/>
        <item x="118"/>
        <item x="8"/>
        <item x="37"/>
        <item x="39"/>
        <item x="132"/>
        <item x="45"/>
        <item x="94"/>
        <item x="140"/>
        <item x="109"/>
        <item x="146"/>
        <item x="104"/>
        <item x="22"/>
        <item x="112"/>
        <item x="149"/>
        <item x="123"/>
        <item x="23"/>
        <item x="107"/>
        <item x="77"/>
        <item x="129"/>
        <item x="55"/>
        <item x="81"/>
        <item x="28"/>
        <item x="121"/>
        <item x="75"/>
        <item x="106"/>
        <item x="34"/>
        <item x="113"/>
        <item x="143"/>
        <item x="97"/>
        <item x="69"/>
        <item x="19"/>
        <item x="98"/>
        <item x="21"/>
        <item x="92"/>
        <item x="68"/>
        <item x="126"/>
        <item x="71"/>
        <item x="101"/>
        <item x="41"/>
        <item x="46"/>
        <item x="157"/>
        <item x="6"/>
        <item x="90"/>
        <item x="105"/>
        <item x="33"/>
        <item x="36"/>
        <item x="32"/>
        <item x="73"/>
        <item x="84"/>
        <item x="44"/>
        <item x="141"/>
        <item x="1"/>
        <item x="16"/>
        <item x="60"/>
        <item x="24"/>
        <item x="100"/>
        <item x="110"/>
        <item x="40"/>
        <item x="78"/>
        <item x="52"/>
        <item x="5"/>
        <item x="108"/>
        <item x="59"/>
        <item t="default"/>
      </items>
    </pivotField>
    <pivotField numFmtId="8" showAll="0"/>
    <pivotField showAll="0"/>
    <pivotField showAll="0"/>
    <pivotField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1"/>
    <field x="9"/>
  </rowFields>
  <rowItems count="37">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i t="grand">
      <x/>
    </i>
  </rowItems>
  <colItems count="1">
    <i/>
  </colItems>
  <dataFields count="1">
    <dataField name="Count of Name" fld="0" subtotal="count" showDataAs="runTotal" baseField="9"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7A63FC76-D09A-4CC3-A6A6-CAB50B58EDF8}" autoFormatId="16" applyNumberFormats="0" applyBorderFormats="0" applyFontFormats="0" applyPatternFormats="0" applyAlignmentFormats="0" applyWidthHeightFormats="0">
  <queryTableRefresh nextId="12">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name="Tenure" tableColumnId="9"/>
      <queryTableField id="10" name="Bonus" tableColumnId="10"/>
      <queryTableField id="11" name="New Rating"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308ABCE-3742-42E7-BA0C-B24A05D76951}"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CD04F36-939A-46FC-9710-DF3218542950}" sourceName="Country">
  <pivotTables>
    <pivotTable tabId="5" name="PivotTable1"/>
  </pivotTables>
  <data>
    <tabular pivotCacheId="661963237">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94CD819-E87B-462A-8348-6F9E00208FF7}" cache="Slicer_Country" caption="Country"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F2C9D9-0235-443D-BA1A-BFED30753199}" name="nz_staff" displayName="nz_staff" ref="C5:I106" totalsRowCount="1">
  <autoFilter ref="C5:I105" xr:uid="{B4F2C9D9-0235-443D-BA1A-BFED30753199}"/>
  <tableColumns count="7">
    <tableColumn id="1" xr3:uid="{1A66337A-B9E9-41FA-832D-2AED9FB93BF1}" name="Name" totalsRowLabel="Total"/>
    <tableColumn id="2" xr3:uid="{62632E9E-8570-493D-9704-F11D8E842D34}" name="Gender"/>
    <tableColumn id="3" xr3:uid="{D5E20863-FAEA-427D-A7AC-B69A30CA5C11}" name="Department"/>
    <tableColumn id="4" xr3:uid="{91E57445-D84E-4D66-88B4-D3853B783849}" name="Age" totalsRowFunction="average"/>
    <tableColumn id="5" xr3:uid="{CB29A3FD-E7A3-4A5D-84DF-107226D9A496}" name="Date Joined"/>
    <tableColumn id="6" xr3:uid="{EEC972DF-C733-446E-9913-73D7DEAAE76C}" name="Salary" totalsRowFunction="average" dataDxfId="86" totalsRowDxfId="85"/>
    <tableColumn id="7" xr3:uid="{BA806C08-5367-4744-87AF-C97EAF7227B7}"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AB8DA3-3BB8-4C9D-A75E-769D960FC41A}" name="india_staff" displayName="india_staff" ref="B2:H115" totalsRowCount="1">
  <autoFilter ref="B2:H114" xr:uid="{23AB8DA3-3BB8-4C9D-A75E-769D960FC41A}"/>
  <tableColumns count="7">
    <tableColumn id="1" xr3:uid="{7D0745D4-4855-40DA-999C-AC905931C7D6}" name="Name" totalsRowLabel="Total"/>
    <tableColumn id="2" xr3:uid="{629AAB93-6095-4B61-985C-8509C8CE078A}" name="Gender"/>
    <tableColumn id="3" xr3:uid="{2C2AFD5C-E46F-4A40-827F-AAF7CF8A3F0F}" name="Age"/>
    <tableColumn id="4" xr3:uid="{A80413FF-4825-4225-83F6-461B3057C141}" name="Rating"/>
    <tableColumn id="5" xr3:uid="{E3822738-49CE-4505-83F0-33493515FD75}" name="Date Joined" dataDxfId="84"/>
    <tableColumn id="6" xr3:uid="{9EB3FB23-789F-479C-A2D1-D9ECCE590566}" name="Department"/>
    <tableColumn id="7" xr3:uid="{962238AF-B93B-4E12-83EE-08B221FC1D8E}" name="Salary" totalsRowFunction="sum"/>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7C332B-8DC9-44CF-8176-76DB415DE925}" name="staff__2" displayName="staff__2" ref="A1:K184" tableType="queryTable" totalsRowShown="0">
  <autoFilter ref="A1:K184" xr:uid="{FC7C332B-8DC9-44CF-8176-76DB415DE925}"/>
  <tableColumns count="11">
    <tableColumn id="1" xr3:uid="{53EB707B-189B-4C77-963F-358237B1A348}" uniqueName="1" name="Name" queryTableFieldId="1" dataDxfId="61"/>
    <tableColumn id="2" xr3:uid="{A66BFA4F-5A49-4C00-AA88-268A686F090D}" uniqueName="2" name="Gender" queryTableFieldId="2" dataDxfId="60"/>
    <tableColumn id="3" xr3:uid="{CA710979-117B-4D68-BE12-4DF833F7A770}" uniqueName="3" name="Department" queryTableFieldId="3" dataDxfId="59"/>
    <tableColumn id="4" xr3:uid="{E1FD5AAB-E2B5-47F3-A473-5083AEA1EA46}" uniqueName="4" name="Age" queryTableFieldId="4"/>
    <tableColumn id="5" xr3:uid="{645B530C-4CF0-422A-A834-01E57008AA53}" uniqueName="5" name="Date Joined" queryTableFieldId="5" dataDxfId="58"/>
    <tableColumn id="6" xr3:uid="{0AADCD71-E5D2-44E0-B722-D75E9ABA0178}" uniqueName="6" name="Salary" queryTableFieldId="6"/>
    <tableColumn id="7" xr3:uid="{926EBA53-4F28-4C4F-8A8C-1D2738DCEBE7}" uniqueName="7" name="Rating" queryTableFieldId="7" dataDxfId="57"/>
    <tableColumn id="8" xr3:uid="{CCAE0A05-C762-417C-83D6-B3B817FE089F}" uniqueName="8" name="Country" queryTableFieldId="8" dataDxfId="56"/>
    <tableColumn id="9" xr3:uid="{DA9DD931-0BE6-4AE4-83FC-C23F04303A4E}" uniqueName="9" name="Tenure" queryTableFieldId="9"/>
    <tableColumn id="10" xr3:uid="{EED8DD6E-9D7E-4CF7-8C77-14CA6438451F}" uniqueName="10" name="Bonus" queryTableFieldId="10"/>
    <tableColumn id="11" xr3:uid="{4CF2630A-FD66-4EAE-8BCA-BA4EA0916B10}" uniqueName="11" name="New Rating" queryTableField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DC5BEF-A687-4EDB-A5E7-5980323B6B31}" name="staff" displayName="staff" ref="A1:K184" tableType="queryTable" totalsRowShown="0">
  <autoFilter ref="A1:K184" xr:uid="{3BDC5BEF-A687-4EDB-A5E7-5980323B6B31}"/>
  <sortState xmlns:xlrd2="http://schemas.microsoft.com/office/spreadsheetml/2017/richdata2" ref="A2:K184">
    <sortCondition ref="F1:F184"/>
  </sortState>
  <tableColumns count="11">
    <tableColumn id="1" xr3:uid="{FE95B881-5AA9-4E3B-B67D-F6EA57942006}" uniqueName="1" name="Name" queryTableFieldId="1" dataDxfId="83"/>
    <tableColumn id="2" xr3:uid="{7163236D-8444-4101-9609-1E8E822D49BC}" uniqueName="2" name="Gender" queryTableFieldId="2" dataDxfId="82"/>
    <tableColumn id="3" xr3:uid="{C1229EBF-9A74-4A6F-9D32-5AEFD99755AA}" uniqueName="3" name="Department" queryTableFieldId="3" dataDxfId="81"/>
    <tableColumn id="4" xr3:uid="{7DF39D4E-CD2E-454E-B505-83A06F0C07E0}" uniqueName="4" name="Age" queryTableFieldId="4"/>
    <tableColumn id="5" xr3:uid="{90DC4420-055B-4215-8B98-D3AB07B21FBC}" uniqueName="5" name="Date Joined" queryTableFieldId="5" dataDxfId="80"/>
    <tableColumn id="6" xr3:uid="{6C08E5BB-FD0A-46F4-8D0B-024CE3CFCA58}" uniqueName="6" name="Salary" queryTableFieldId="6" dataDxfId="79"/>
    <tableColumn id="7" xr3:uid="{9D3FF29E-D3F6-4BF2-A11B-6E7E6DDD033C}" uniqueName="7" name="Rating" queryTableFieldId="7"/>
    <tableColumn id="8" xr3:uid="{937CBF8A-987A-4188-8F4F-8977344B307D}" uniqueName="8" name="Country" queryTableFieldId="8" dataDxfId="78"/>
    <tableColumn id="9" xr3:uid="{B6786B8C-BE6A-4C3D-88D8-37983DA761AA}" uniqueName="9" name="Tenure" queryTableFieldId="9" dataDxfId="77">
      <calculatedColumnFormula>(TODAY()-staff[[#This Row],[Date Joined]])/365</calculatedColumnFormula>
    </tableColumn>
    <tableColumn id="10" xr3:uid="{92BD86D8-5830-4076-B5F3-89485CBFBCD0}" uniqueName="10" name="Bonus" queryTableFieldId="10" dataDxfId="76">
      <calculatedColumnFormula>ROUNDUP(IF(staff[[#This Row],[Tenure]]&gt;2,3%,2 %)*staff[[#This Row],[Salary]],0)</calculatedColumnFormula>
    </tableColumn>
    <tableColumn id="11" xr3:uid="{E7C2AF87-B9D4-4194-B00B-B013B9C2F92F}" uniqueName="11" name="New Rating" queryTableFieldId="11" dataDxfId="75">
      <calculatedColumnFormula>_xlfn.XLOOKUP(staff[[#This Row],[Rating]],'Salary vs. Rating'!$B$11:$B$15,'Salary vs. Rating'!$C$11:$C$15)</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tabColor rgb="FFC00000"/>
  </sheetPr>
  <dimension ref="A1:M106"/>
  <sheetViews>
    <sheetView showGridLines="0" workbookViewId="0">
      <selection activeCell="L32" sqref="L32"/>
    </sheetView>
  </sheetViews>
  <sheetFormatPr defaultRowHeight="15" x14ac:dyDescent="0.25"/>
  <cols>
    <col min="1" max="1" width="1.7109375" customWidth="1"/>
    <col min="2" max="2" width="3.7109375" customWidth="1"/>
    <col min="3" max="3" width="21.42578125" bestFit="1" customWidth="1"/>
    <col min="4" max="4" width="7.5703125" bestFit="1" customWidth="1"/>
    <col min="5" max="5" width="12.5703125" bestFit="1" customWidth="1"/>
    <col min="6" max="6" width="3" bestFit="1" customWidth="1"/>
    <col min="7" max="7" width="10.140625" bestFit="1" customWidth="1"/>
    <col min="8" max="8" width="11.85546875" style="6" bestFit="1" customWidth="1"/>
    <col min="9" max="9" width="14.28515625" bestFit="1" customWidth="1"/>
  </cols>
  <sheetData>
    <row r="1" spans="1:9" s="2" customFormat="1" ht="52.5" customHeight="1" x14ac:dyDescent="0.25">
      <c r="A1" s="1"/>
      <c r="C1" s="3" t="s">
        <v>110</v>
      </c>
      <c r="H1" s="7"/>
    </row>
    <row r="5" spans="1:9" x14ac:dyDescent="0.25">
      <c r="C5" t="s">
        <v>0</v>
      </c>
      <c r="D5" t="s">
        <v>1</v>
      </c>
      <c r="E5" t="s">
        <v>2</v>
      </c>
      <c r="F5" t="s">
        <v>3</v>
      </c>
      <c r="G5" s="4" t="s">
        <v>4</v>
      </c>
      <c r="H5" s="6" t="s">
        <v>5</v>
      </c>
      <c r="I5" t="s">
        <v>6</v>
      </c>
    </row>
    <row r="6" spans="1:9" x14ac:dyDescent="0.25">
      <c r="C6" t="s">
        <v>58</v>
      </c>
      <c r="D6" t="s">
        <v>15</v>
      </c>
      <c r="E6" t="s">
        <v>19</v>
      </c>
      <c r="F6">
        <v>22</v>
      </c>
      <c r="G6" s="4">
        <v>44446</v>
      </c>
      <c r="H6" s="6">
        <v>112780</v>
      </c>
      <c r="I6" t="s">
        <v>13</v>
      </c>
    </row>
    <row r="7" spans="1:9" x14ac:dyDescent="0.25">
      <c r="C7" t="s">
        <v>70</v>
      </c>
      <c r="D7" t="s">
        <v>15</v>
      </c>
      <c r="E7" t="s">
        <v>9</v>
      </c>
      <c r="F7">
        <v>46</v>
      </c>
      <c r="G7" s="4">
        <v>44758</v>
      </c>
      <c r="H7" s="6">
        <v>70610</v>
      </c>
      <c r="I7" t="s">
        <v>16</v>
      </c>
    </row>
    <row r="8" spans="1:9" x14ac:dyDescent="0.25">
      <c r="C8" t="s">
        <v>75</v>
      </c>
      <c r="D8" t="s">
        <v>8</v>
      </c>
      <c r="E8" t="s">
        <v>19</v>
      </c>
      <c r="F8">
        <v>28</v>
      </c>
      <c r="G8" s="4">
        <v>44357</v>
      </c>
      <c r="H8" s="6">
        <v>53240</v>
      </c>
      <c r="I8" t="s">
        <v>16</v>
      </c>
    </row>
    <row r="9" spans="1:9" x14ac:dyDescent="0.25">
      <c r="C9" t="s">
        <v>49</v>
      </c>
      <c r="E9" t="s">
        <v>21</v>
      </c>
      <c r="F9">
        <v>37</v>
      </c>
      <c r="G9" s="4">
        <v>44146</v>
      </c>
      <c r="H9" s="6">
        <v>115440</v>
      </c>
      <c r="I9" t="s">
        <v>24</v>
      </c>
    </row>
    <row r="10" spans="1:9" x14ac:dyDescent="0.25">
      <c r="C10" t="s">
        <v>65</v>
      </c>
      <c r="D10" t="s">
        <v>15</v>
      </c>
      <c r="E10" t="s">
        <v>19</v>
      </c>
      <c r="F10">
        <v>32</v>
      </c>
      <c r="G10" s="4">
        <v>44465</v>
      </c>
      <c r="H10" s="6">
        <v>53540</v>
      </c>
      <c r="I10" t="s">
        <v>16</v>
      </c>
    </row>
    <row r="11" spans="1:9" x14ac:dyDescent="0.25">
      <c r="C11" t="s">
        <v>81</v>
      </c>
      <c r="D11" t="s">
        <v>8</v>
      </c>
      <c r="E11" t="s">
        <v>9</v>
      </c>
      <c r="F11">
        <v>30</v>
      </c>
      <c r="G11" s="4">
        <v>44861</v>
      </c>
      <c r="H11" s="6">
        <v>112570</v>
      </c>
      <c r="I11" t="s">
        <v>16</v>
      </c>
    </row>
    <row r="12" spans="1:9" x14ac:dyDescent="0.25">
      <c r="C12" t="s">
        <v>51</v>
      </c>
      <c r="D12" t="s">
        <v>15</v>
      </c>
      <c r="E12" t="s">
        <v>9</v>
      </c>
      <c r="F12">
        <v>33</v>
      </c>
      <c r="G12" s="4">
        <v>44701</v>
      </c>
      <c r="H12" s="6">
        <v>48530</v>
      </c>
      <c r="I12" t="s">
        <v>13</v>
      </c>
    </row>
    <row r="13" spans="1:9" x14ac:dyDescent="0.25">
      <c r="C13" t="s">
        <v>61</v>
      </c>
      <c r="D13" t="s">
        <v>8</v>
      </c>
      <c r="E13" t="s">
        <v>12</v>
      </c>
      <c r="F13">
        <v>24</v>
      </c>
      <c r="G13" s="4">
        <v>44148</v>
      </c>
      <c r="H13" s="6">
        <v>62780</v>
      </c>
      <c r="I13" t="s">
        <v>16</v>
      </c>
    </row>
    <row r="14" spans="1:9" x14ac:dyDescent="0.25">
      <c r="C14" t="s">
        <v>82</v>
      </c>
      <c r="D14" t="s">
        <v>15</v>
      </c>
      <c r="E14" t="s">
        <v>12</v>
      </c>
      <c r="F14">
        <v>33</v>
      </c>
      <c r="G14" s="4">
        <v>44509</v>
      </c>
      <c r="H14" s="6">
        <v>53870</v>
      </c>
      <c r="I14" t="s">
        <v>16</v>
      </c>
    </row>
    <row r="15" spans="1:9" x14ac:dyDescent="0.25">
      <c r="C15" t="s">
        <v>60</v>
      </c>
      <c r="D15" t="s">
        <v>8</v>
      </c>
      <c r="E15" t="s">
        <v>56</v>
      </c>
      <c r="F15">
        <v>27</v>
      </c>
      <c r="G15" s="4">
        <v>44122</v>
      </c>
      <c r="H15" s="6">
        <v>119110</v>
      </c>
      <c r="I15" t="s">
        <v>16</v>
      </c>
    </row>
    <row r="16" spans="1:9" x14ac:dyDescent="0.25">
      <c r="C16" t="s">
        <v>87</v>
      </c>
      <c r="D16" t="s">
        <v>15</v>
      </c>
      <c r="E16" t="s">
        <v>12</v>
      </c>
      <c r="F16">
        <v>29</v>
      </c>
      <c r="G16" s="4">
        <v>44180</v>
      </c>
      <c r="H16" s="6">
        <v>112110</v>
      </c>
      <c r="I16" t="s">
        <v>24</v>
      </c>
    </row>
    <row r="17" spans="3:9" x14ac:dyDescent="0.25">
      <c r="C17" t="s">
        <v>76</v>
      </c>
      <c r="D17" t="s">
        <v>15</v>
      </c>
      <c r="E17" t="s">
        <v>19</v>
      </c>
      <c r="F17">
        <v>25</v>
      </c>
      <c r="G17" s="4">
        <v>44383</v>
      </c>
      <c r="H17" s="6">
        <v>65700</v>
      </c>
      <c r="I17" t="s">
        <v>16</v>
      </c>
    </row>
    <row r="18" spans="3:9" x14ac:dyDescent="0.25">
      <c r="C18" t="s">
        <v>97</v>
      </c>
      <c r="D18" t="s">
        <v>15</v>
      </c>
      <c r="E18" t="s">
        <v>12</v>
      </c>
      <c r="F18">
        <v>37</v>
      </c>
      <c r="G18" s="4">
        <v>44701</v>
      </c>
      <c r="H18" s="6">
        <v>69070</v>
      </c>
      <c r="I18" t="s">
        <v>16</v>
      </c>
    </row>
    <row r="19" spans="3:9" x14ac:dyDescent="0.25">
      <c r="C19" t="s">
        <v>22</v>
      </c>
      <c r="D19" t="s">
        <v>15</v>
      </c>
      <c r="E19" t="s">
        <v>12</v>
      </c>
      <c r="F19">
        <v>20</v>
      </c>
      <c r="G19" s="4">
        <v>44459</v>
      </c>
      <c r="H19" s="6">
        <v>107700</v>
      </c>
      <c r="I19" t="s">
        <v>16</v>
      </c>
    </row>
    <row r="20" spans="3:9" x14ac:dyDescent="0.25">
      <c r="C20" t="s">
        <v>84</v>
      </c>
      <c r="D20" t="s">
        <v>8</v>
      </c>
      <c r="E20" t="s">
        <v>12</v>
      </c>
      <c r="F20">
        <v>32</v>
      </c>
      <c r="G20" s="4">
        <v>44354</v>
      </c>
      <c r="H20" s="6">
        <v>43840</v>
      </c>
      <c r="I20" t="s">
        <v>13</v>
      </c>
    </row>
    <row r="21" spans="3:9" x14ac:dyDescent="0.25">
      <c r="C21" t="s">
        <v>105</v>
      </c>
      <c r="D21" t="s">
        <v>15</v>
      </c>
      <c r="E21" t="s">
        <v>9</v>
      </c>
      <c r="F21">
        <v>40</v>
      </c>
      <c r="G21" s="4">
        <v>44263</v>
      </c>
      <c r="H21" s="6">
        <v>99750</v>
      </c>
      <c r="I21" t="s">
        <v>16</v>
      </c>
    </row>
    <row r="22" spans="3:9" x14ac:dyDescent="0.25">
      <c r="C22" t="s">
        <v>47</v>
      </c>
      <c r="D22" t="s">
        <v>15</v>
      </c>
      <c r="E22" t="s">
        <v>9</v>
      </c>
      <c r="F22">
        <v>21</v>
      </c>
      <c r="G22" s="4">
        <v>44104</v>
      </c>
      <c r="H22" s="6">
        <v>37920</v>
      </c>
      <c r="I22" t="s">
        <v>16</v>
      </c>
    </row>
    <row r="23" spans="3:9" x14ac:dyDescent="0.25">
      <c r="C23" t="s">
        <v>31</v>
      </c>
      <c r="D23" t="s">
        <v>15</v>
      </c>
      <c r="E23" t="s">
        <v>9</v>
      </c>
      <c r="F23">
        <v>21</v>
      </c>
      <c r="G23" s="4">
        <v>44762</v>
      </c>
      <c r="H23" s="6">
        <v>57090</v>
      </c>
      <c r="I23" t="s">
        <v>16</v>
      </c>
    </row>
    <row r="24" spans="3:9" x14ac:dyDescent="0.25">
      <c r="C24" t="s">
        <v>30</v>
      </c>
      <c r="D24" t="s">
        <v>8</v>
      </c>
      <c r="E24" t="s">
        <v>12</v>
      </c>
      <c r="F24">
        <v>31</v>
      </c>
      <c r="G24" s="4">
        <v>44145</v>
      </c>
      <c r="H24" s="6">
        <v>41980</v>
      </c>
      <c r="I24" t="s">
        <v>16</v>
      </c>
    </row>
    <row r="25" spans="3:9" x14ac:dyDescent="0.25">
      <c r="C25" t="s">
        <v>78</v>
      </c>
      <c r="D25" t="s">
        <v>15</v>
      </c>
      <c r="E25" t="s">
        <v>56</v>
      </c>
      <c r="F25">
        <v>21</v>
      </c>
      <c r="G25" s="4">
        <v>44242</v>
      </c>
      <c r="H25" s="6">
        <v>75880</v>
      </c>
      <c r="I25" t="s">
        <v>16</v>
      </c>
    </row>
    <row r="26" spans="3:9" x14ac:dyDescent="0.25">
      <c r="C26" t="s">
        <v>36</v>
      </c>
      <c r="D26" t="s">
        <v>8</v>
      </c>
      <c r="E26" t="s">
        <v>21</v>
      </c>
      <c r="F26">
        <v>34</v>
      </c>
      <c r="G26" s="4">
        <v>44653</v>
      </c>
      <c r="H26" s="6">
        <v>58940</v>
      </c>
      <c r="I26" t="s">
        <v>16</v>
      </c>
    </row>
    <row r="27" spans="3:9" x14ac:dyDescent="0.25">
      <c r="C27" t="s">
        <v>27</v>
      </c>
      <c r="D27" t="s">
        <v>8</v>
      </c>
      <c r="E27" t="s">
        <v>21</v>
      </c>
      <c r="F27">
        <v>30</v>
      </c>
      <c r="G27" s="4">
        <v>44389</v>
      </c>
      <c r="H27" s="6">
        <v>67910</v>
      </c>
      <c r="I27" t="s">
        <v>24</v>
      </c>
    </row>
    <row r="28" spans="3:9" x14ac:dyDescent="0.25">
      <c r="C28" t="s">
        <v>26</v>
      </c>
      <c r="D28" t="s">
        <v>8</v>
      </c>
      <c r="E28" t="s">
        <v>12</v>
      </c>
      <c r="F28">
        <v>31</v>
      </c>
      <c r="G28" s="4">
        <v>44663</v>
      </c>
      <c r="H28" s="6">
        <v>58100</v>
      </c>
      <c r="I28" t="s">
        <v>16</v>
      </c>
    </row>
    <row r="29" spans="3:9" x14ac:dyDescent="0.25">
      <c r="C29" t="s">
        <v>53</v>
      </c>
      <c r="D29" t="s">
        <v>15</v>
      </c>
      <c r="E29" t="s">
        <v>21</v>
      </c>
      <c r="F29">
        <v>27</v>
      </c>
      <c r="G29" s="4">
        <v>44567</v>
      </c>
      <c r="H29" s="6">
        <v>48980</v>
      </c>
      <c r="I29" t="s">
        <v>16</v>
      </c>
    </row>
    <row r="30" spans="3:9" x14ac:dyDescent="0.25">
      <c r="C30" t="s">
        <v>20</v>
      </c>
      <c r="E30" t="s">
        <v>21</v>
      </c>
      <c r="F30">
        <v>30</v>
      </c>
      <c r="G30" s="4">
        <v>44597</v>
      </c>
      <c r="H30" s="6">
        <v>64000</v>
      </c>
      <c r="I30" t="s">
        <v>16</v>
      </c>
    </row>
    <row r="31" spans="3:9" x14ac:dyDescent="0.25">
      <c r="C31" t="s">
        <v>7</v>
      </c>
      <c r="D31" t="s">
        <v>8</v>
      </c>
      <c r="E31" t="s">
        <v>9</v>
      </c>
      <c r="F31">
        <v>42</v>
      </c>
      <c r="G31" s="4">
        <v>44779</v>
      </c>
      <c r="H31" s="6">
        <v>75000</v>
      </c>
      <c r="I31" t="s">
        <v>10</v>
      </c>
    </row>
    <row r="32" spans="3:9" x14ac:dyDescent="0.25">
      <c r="C32" t="s">
        <v>74</v>
      </c>
      <c r="D32" t="s">
        <v>8</v>
      </c>
      <c r="E32" t="s">
        <v>12</v>
      </c>
      <c r="F32">
        <v>40</v>
      </c>
      <c r="G32" s="4">
        <v>44337</v>
      </c>
      <c r="H32" s="6">
        <v>87620</v>
      </c>
      <c r="I32" t="s">
        <v>16</v>
      </c>
    </row>
    <row r="33" spans="3:9" x14ac:dyDescent="0.25">
      <c r="C33" t="s">
        <v>44</v>
      </c>
      <c r="D33" t="s">
        <v>8</v>
      </c>
      <c r="E33" t="s">
        <v>12</v>
      </c>
      <c r="F33">
        <v>29</v>
      </c>
      <c r="G33" s="4">
        <v>44023</v>
      </c>
      <c r="H33" s="6">
        <v>34980</v>
      </c>
      <c r="I33" t="s">
        <v>16</v>
      </c>
    </row>
    <row r="34" spans="3:9" x14ac:dyDescent="0.25">
      <c r="C34" t="s">
        <v>35</v>
      </c>
      <c r="D34" t="s">
        <v>8</v>
      </c>
      <c r="E34" t="s">
        <v>21</v>
      </c>
      <c r="F34">
        <v>28</v>
      </c>
      <c r="G34" s="4">
        <v>44185</v>
      </c>
      <c r="H34" s="6">
        <v>75970</v>
      </c>
      <c r="I34" t="s">
        <v>16</v>
      </c>
    </row>
    <row r="35" spans="3:9" x14ac:dyDescent="0.25">
      <c r="C35" t="s">
        <v>38</v>
      </c>
      <c r="D35" t="s">
        <v>8</v>
      </c>
      <c r="E35" t="s">
        <v>21</v>
      </c>
      <c r="F35">
        <v>34</v>
      </c>
      <c r="G35" s="4">
        <v>44612</v>
      </c>
      <c r="H35" s="6">
        <v>60130</v>
      </c>
      <c r="I35" t="s">
        <v>16</v>
      </c>
    </row>
    <row r="36" spans="3:9" x14ac:dyDescent="0.25">
      <c r="C36" t="s">
        <v>41</v>
      </c>
      <c r="D36" t="s">
        <v>8</v>
      </c>
      <c r="E36" t="s">
        <v>12</v>
      </c>
      <c r="F36">
        <v>33</v>
      </c>
      <c r="G36" s="4">
        <v>44374</v>
      </c>
      <c r="H36" s="6">
        <v>75480</v>
      </c>
      <c r="I36" t="s">
        <v>42</v>
      </c>
    </row>
    <row r="37" spans="3:9" x14ac:dyDescent="0.25">
      <c r="C37" t="s">
        <v>40</v>
      </c>
      <c r="D37" t="s">
        <v>15</v>
      </c>
      <c r="E37" t="s">
        <v>9</v>
      </c>
      <c r="F37">
        <v>33</v>
      </c>
      <c r="G37" s="4">
        <v>44164</v>
      </c>
      <c r="H37" s="6">
        <v>115920</v>
      </c>
      <c r="I37" t="s">
        <v>16</v>
      </c>
    </row>
    <row r="38" spans="3:9" x14ac:dyDescent="0.25">
      <c r="C38" t="s">
        <v>48</v>
      </c>
      <c r="D38" t="s">
        <v>8</v>
      </c>
      <c r="E38" t="s">
        <v>19</v>
      </c>
      <c r="F38">
        <v>36</v>
      </c>
      <c r="G38" s="4">
        <v>44494</v>
      </c>
      <c r="H38" s="6">
        <v>78540</v>
      </c>
      <c r="I38" t="s">
        <v>16</v>
      </c>
    </row>
    <row r="39" spans="3:9" x14ac:dyDescent="0.25">
      <c r="C39" t="s">
        <v>34</v>
      </c>
      <c r="D39" t="s">
        <v>15</v>
      </c>
      <c r="E39" t="s">
        <v>9</v>
      </c>
      <c r="F39">
        <v>25</v>
      </c>
      <c r="G39" s="4">
        <v>44726</v>
      </c>
      <c r="H39" s="6">
        <v>109190</v>
      </c>
      <c r="I39" t="s">
        <v>13</v>
      </c>
    </row>
    <row r="40" spans="3:9" x14ac:dyDescent="0.25">
      <c r="C40" t="s">
        <v>73</v>
      </c>
      <c r="D40" t="s">
        <v>8</v>
      </c>
      <c r="E40" t="s">
        <v>19</v>
      </c>
      <c r="F40">
        <v>34</v>
      </c>
      <c r="G40" s="4">
        <v>44721</v>
      </c>
      <c r="H40" s="6">
        <v>49630</v>
      </c>
      <c r="I40" t="s">
        <v>24</v>
      </c>
    </row>
    <row r="41" spans="3:9" x14ac:dyDescent="0.25">
      <c r="C41" t="s">
        <v>107</v>
      </c>
      <c r="D41" t="s">
        <v>8</v>
      </c>
      <c r="E41" t="s">
        <v>9</v>
      </c>
      <c r="F41">
        <v>28</v>
      </c>
      <c r="G41" s="4">
        <v>44630</v>
      </c>
      <c r="H41" s="6">
        <v>99970</v>
      </c>
      <c r="I41" t="s">
        <v>16</v>
      </c>
    </row>
    <row r="42" spans="3:9" x14ac:dyDescent="0.25">
      <c r="C42" t="s">
        <v>71</v>
      </c>
      <c r="D42" t="s">
        <v>8</v>
      </c>
      <c r="E42" t="s">
        <v>12</v>
      </c>
      <c r="F42">
        <v>33</v>
      </c>
      <c r="G42" s="4">
        <v>44190</v>
      </c>
      <c r="H42" s="6">
        <v>96140</v>
      </c>
      <c r="I42" t="s">
        <v>16</v>
      </c>
    </row>
    <row r="43" spans="3:9" x14ac:dyDescent="0.25">
      <c r="C43" t="s">
        <v>50</v>
      </c>
      <c r="D43" t="s">
        <v>15</v>
      </c>
      <c r="E43" t="s">
        <v>9</v>
      </c>
      <c r="F43">
        <v>31</v>
      </c>
      <c r="G43" s="4">
        <v>44724</v>
      </c>
      <c r="H43" s="6">
        <v>103550</v>
      </c>
      <c r="I43" t="s">
        <v>16</v>
      </c>
    </row>
    <row r="44" spans="3:9" x14ac:dyDescent="0.25">
      <c r="C44" t="s">
        <v>14</v>
      </c>
      <c r="D44" t="s">
        <v>15</v>
      </c>
      <c r="E44" t="s">
        <v>12</v>
      </c>
      <c r="F44">
        <v>31</v>
      </c>
      <c r="G44" s="4">
        <v>44511</v>
      </c>
      <c r="H44" s="6">
        <v>48950</v>
      </c>
      <c r="I44" t="s">
        <v>16</v>
      </c>
    </row>
    <row r="45" spans="3:9" x14ac:dyDescent="0.25">
      <c r="C45" t="s">
        <v>63</v>
      </c>
      <c r="D45" t="s">
        <v>15</v>
      </c>
      <c r="E45" t="s">
        <v>21</v>
      </c>
      <c r="F45">
        <v>24</v>
      </c>
      <c r="G45" s="4">
        <v>44436</v>
      </c>
      <c r="H45" s="6">
        <v>52610</v>
      </c>
      <c r="I45" t="s">
        <v>24</v>
      </c>
    </row>
    <row r="46" spans="3:9" x14ac:dyDescent="0.25">
      <c r="C46" t="s">
        <v>72</v>
      </c>
      <c r="D46" t="s">
        <v>8</v>
      </c>
      <c r="E46" t="s">
        <v>9</v>
      </c>
      <c r="F46">
        <v>36</v>
      </c>
      <c r="G46" s="4">
        <v>44529</v>
      </c>
      <c r="H46" s="6">
        <v>78390</v>
      </c>
      <c r="I46" t="s">
        <v>16</v>
      </c>
    </row>
    <row r="47" spans="3:9" x14ac:dyDescent="0.25">
      <c r="C47" t="s">
        <v>88</v>
      </c>
      <c r="D47" t="s">
        <v>8</v>
      </c>
      <c r="E47" t="s">
        <v>21</v>
      </c>
      <c r="F47">
        <v>33</v>
      </c>
      <c r="G47" s="4">
        <v>44809</v>
      </c>
      <c r="H47" s="6">
        <v>86570</v>
      </c>
      <c r="I47" t="s">
        <v>16</v>
      </c>
    </row>
    <row r="48" spans="3:9" x14ac:dyDescent="0.25">
      <c r="C48" t="s">
        <v>92</v>
      </c>
      <c r="D48" t="s">
        <v>8</v>
      </c>
      <c r="E48" t="s">
        <v>12</v>
      </c>
      <c r="F48">
        <v>27</v>
      </c>
      <c r="G48" s="4">
        <v>44686</v>
      </c>
      <c r="H48" s="6">
        <v>83750</v>
      </c>
      <c r="I48" t="s">
        <v>16</v>
      </c>
    </row>
    <row r="49" spans="3:9" x14ac:dyDescent="0.25">
      <c r="C49" t="s">
        <v>102</v>
      </c>
      <c r="D49" t="s">
        <v>8</v>
      </c>
      <c r="E49" t="s">
        <v>21</v>
      </c>
      <c r="F49">
        <v>34</v>
      </c>
      <c r="G49" s="4">
        <v>44445</v>
      </c>
      <c r="H49" s="6">
        <v>92450</v>
      </c>
      <c r="I49" t="s">
        <v>16</v>
      </c>
    </row>
    <row r="50" spans="3:9" x14ac:dyDescent="0.25">
      <c r="C50" t="s">
        <v>64</v>
      </c>
      <c r="D50" t="s">
        <v>15</v>
      </c>
      <c r="E50" t="s">
        <v>12</v>
      </c>
      <c r="F50">
        <v>20</v>
      </c>
      <c r="G50" s="4">
        <v>44183</v>
      </c>
      <c r="H50" s="6">
        <v>112650</v>
      </c>
      <c r="I50" t="s">
        <v>16</v>
      </c>
    </row>
    <row r="51" spans="3:9" x14ac:dyDescent="0.25">
      <c r="C51" t="s">
        <v>104</v>
      </c>
      <c r="D51" t="s">
        <v>15</v>
      </c>
      <c r="E51" t="s">
        <v>9</v>
      </c>
      <c r="F51">
        <v>20</v>
      </c>
      <c r="G51" s="4">
        <v>44744</v>
      </c>
      <c r="H51" s="6">
        <v>79570</v>
      </c>
      <c r="I51" t="s">
        <v>16</v>
      </c>
    </row>
    <row r="52" spans="3:9" x14ac:dyDescent="0.25">
      <c r="C52" t="s">
        <v>91</v>
      </c>
      <c r="D52" t="s">
        <v>8</v>
      </c>
      <c r="E52" t="s">
        <v>19</v>
      </c>
      <c r="F52">
        <v>20</v>
      </c>
      <c r="G52" s="4">
        <v>44537</v>
      </c>
      <c r="H52" s="6">
        <v>68900</v>
      </c>
      <c r="I52" t="s">
        <v>24</v>
      </c>
    </row>
    <row r="53" spans="3:9" x14ac:dyDescent="0.25">
      <c r="C53" t="s">
        <v>39</v>
      </c>
      <c r="D53" t="s">
        <v>8</v>
      </c>
      <c r="E53" t="s">
        <v>12</v>
      </c>
      <c r="F53">
        <v>25</v>
      </c>
      <c r="G53" s="4">
        <v>44694</v>
      </c>
      <c r="H53" s="6">
        <v>80700</v>
      </c>
      <c r="I53" t="s">
        <v>13</v>
      </c>
    </row>
    <row r="54" spans="3:9" x14ac:dyDescent="0.25">
      <c r="C54" t="s">
        <v>100</v>
      </c>
      <c r="D54" t="s">
        <v>15</v>
      </c>
      <c r="E54" t="s">
        <v>9</v>
      </c>
      <c r="F54">
        <v>19</v>
      </c>
      <c r="G54" s="4">
        <v>44277</v>
      </c>
      <c r="H54" s="6">
        <v>58960</v>
      </c>
      <c r="I54" t="s">
        <v>16</v>
      </c>
    </row>
    <row r="55" spans="3:9" x14ac:dyDescent="0.25">
      <c r="C55" t="s">
        <v>106</v>
      </c>
      <c r="D55" t="s">
        <v>15</v>
      </c>
      <c r="E55" t="s">
        <v>12</v>
      </c>
      <c r="F55">
        <v>36</v>
      </c>
      <c r="G55" s="4">
        <v>44019</v>
      </c>
      <c r="H55" s="6">
        <v>118840</v>
      </c>
      <c r="I55" t="s">
        <v>16</v>
      </c>
    </row>
    <row r="56" spans="3:9" x14ac:dyDescent="0.25">
      <c r="C56" t="s">
        <v>29</v>
      </c>
      <c r="D56" t="s">
        <v>15</v>
      </c>
      <c r="E56" t="s">
        <v>21</v>
      </c>
      <c r="F56">
        <v>28</v>
      </c>
      <c r="G56" s="4">
        <v>44041</v>
      </c>
      <c r="H56" s="6">
        <v>48170</v>
      </c>
      <c r="I56" t="s">
        <v>13</v>
      </c>
    </row>
    <row r="57" spans="3:9" x14ac:dyDescent="0.25">
      <c r="C57" t="s">
        <v>108</v>
      </c>
      <c r="D57" t="s">
        <v>8</v>
      </c>
      <c r="E57" t="s">
        <v>56</v>
      </c>
      <c r="F57">
        <v>32</v>
      </c>
      <c r="G57" s="4">
        <v>44400</v>
      </c>
      <c r="H57" s="6">
        <v>45510</v>
      </c>
      <c r="I57" t="s">
        <v>16</v>
      </c>
    </row>
    <row r="58" spans="3:9" x14ac:dyDescent="0.25">
      <c r="C58" t="s">
        <v>64</v>
      </c>
      <c r="D58" t="s">
        <v>15</v>
      </c>
      <c r="E58" t="s">
        <v>9</v>
      </c>
      <c r="F58">
        <v>34</v>
      </c>
      <c r="G58" s="4">
        <v>44703</v>
      </c>
      <c r="H58" s="6">
        <v>112650</v>
      </c>
      <c r="I58" t="s">
        <v>16</v>
      </c>
    </row>
    <row r="59" spans="3:9" x14ac:dyDescent="0.25">
      <c r="C59" t="s">
        <v>83</v>
      </c>
      <c r="D59" t="s">
        <v>8</v>
      </c>
      <c r="E59" t="s">
        <v>9</v>
      </c>
      <c r="F59">
        <v>36</v>
      </c>
      <c r="G59" s="4">
        <v>44085</v>
      </c>
      <c r="H59" s="6">
        <v>114890</v>
      </c>
      <c r="I59" t="s">
        <v>16</v>
      </c>
    </row>
    <row r="60" spans="3:9" x14ac:dyDescent="0.25">
      <c r="C60" t="s">
        <v>67</v>
      </c>
      <c r="D60" t="s">
        <v>15</v>
      </c>
      <c r="E60" t="s">
        <v>12</v>
      </c>
      <c r="F60">
        <v>30</v>
      </c>
      <c r="G60" s="4">
        <v>44850</v>
      </c>
      <c r="H60" s="6">
        <v>69710</v>
      </c>
      <c r="I60" t="s">
        <v>16</v>
      </c>
    </row>
    <row r="61" spans="3:9" x14ac:dyDescent="0.25">
      <c r="C61" t="s">
        <v>94</v>
      </c>
      <c r="D61" t="s">
        <v>15</v>
      </c>
      <c r="E61" t="s">
        <v>21</v>
      </c>
      <c r="F61">
        <v>36</v>
      </c>
      <c r="G61" s="4">
        <v>44333</v>
      </c>
      <c r="H61" s="6">
        <v>71380</v>
      </c>
      <c r="I61" t="s">
        <v>16</v>
      </c>
    </row>
    <row r="62" spans="3:9" x14ac:dyDescent="0.25">
      <c r="C62" t="s">
        <v>33</v>
      </c>
      <c r="D62" t="s">
        <v>8</v>
      </c>
      <c r="E62" t="s">
        <v>19</v>
      </c>
      <c r="F62">
        <v>38</v>
      </c>
      <c r="G62" s="4">
        <v>44377</v>
      </c>
      <c r="H62" s="6">
        <v>109160</v>
      </c>
      <c r="I62" t="s">
        <v>10</v>
      </c>
    </row>
    <row r="63" spans="3:9" x14ac:dyDescent="0.25">
      <c r="C63" t="s">
        <v>98</v>
      </c>
      <c r="D63" t="s">
        <v>15</v>
      </c>
      <c r="E63" t="s">
        <v>9</v>
      </c>
      <c r="F63">
        <v>27</v>
      </c>
      <c r="G63" s="4">
        <v>44609</v>
      </c>
      <c r="H63" s="6">
        <v>113280</v>
      </c>
      <c r="I63" t="s">
        <v>42</v>
      </c>
    </row>
    <row r="64" spans="3:9" x14ac:dyDescent="0.25">
      <c r="C64" t="s">
        <v>25</v>
      </c>
      <c r="D64" t="s">
        <v>15</v>
      </c>
      <c r="E64" t="s">
        <v>12</v>
      </c>
      <c r="F64">
        <v>30</v>
      </c>
      <c r="G64" s="4">
        <v>44273</v>
      </c>
      <c r="H64" s="6">
        <v>69120</v>
      </c>
      <c r="I64" t="s">
        <v>16</v>
      </c>
    </row>
    <row r="65" spans="3:9" x14ac:dyDescent="0.25">
      <c r="C65" t="s">
        <v>55</v>
      </c>
      <c r="D65" t="s">
        <v>8</v>
      </c>
      <c r="E65" t="s">
        <v>56</v>
      </c>
      <c r="F65">
        <v>37</v>
      </c>
      <c r="G65" s="4">
        <v>44451</v>
      </c>
      <c r="H65" s="6">
        <v>118100</v>
      </c>
      <c r="I65" t="s">
        <v>16</v>
      </c>
    </row>
    <row r="66" spans="3:9" x14ac:dyDescent="0.25">
      <c r="C66" t="s">
        <v>62</v>
      </c>
      <c r="D66" t="s">
        <v>8</v>
      </c>
      <c r="E66" t="s">
        <v>9</v>
      </c>
      <c r="F66">
        <v>22</v>
      </c>
      <c r="G66" s="4">
        <v>44450</v>
      </c>
      <c r="H66" s="6">
        <v>76900</v>
      </c>
      <c r="I66" t="s">
        <v>13</v>
      </c>
    </row>
    <row r="67" spans="3:9" x14ac:dyDescent="0.25">
      <c r="C67" t="s">
        <v>17</v>
      </c>
      <c r="D67" t="s">
        <v>8</v>
      </c>
      <c r="E67" t="s">
        <v>12</v>
      </c>
      <c r="F67">
        <v>43</v>
      </c>
      <c r="G67" s="4">
        <v>45045</v>
      </c>
      <c r="H67" s="6">
        <v>114870</v>
      </c>
      <c r="I67" t="s">
        <v>16</v>
      </c>
    </row>
    <row r="68" spans="3:9" x14ac:dyDescent="0.25">
      <c r="C68" t="s">
        <v>52</v>
      </c>
      <c r="E68" t="s">
        <v>12</v>
      </c>
      <c r="F68">
        <v>32</v>
      </c>
      <c r="G68" s="4">
        <v>44774</v>
      </c>
      <c r="H68" s="6">
        <v>91310</v>
      </c>
      <c r="I68" t="s">
        <v>16</v>
      </c>
    </row>
    <row r="69" spans="3:9" x14ac:dyDescent="0.25">
      <c r="C69" t="s">
        <v>43</v>
      </c>
      <c r="D69" t="s">
        <v>8</v>
      </c>
      <c r="E69" t="s">
        <v>9</v>
      </c>
      <c r="F69">
        <v>28</v>
      </c>
      <c r="G69" s="4">
        <v>44486</v>
      </c>
      <c r="H69" s="6">
        <v>104770</v>
      </c>
      <c r="I69" t="s">
        <v>16</v>
      </c>
    </row>
    <row r="70" spans="3:9" x14ac:dyDescent="0.25">
      <c r="C70" t="s">
        <v>89</v>
      </c>
      <c r="D70" t="s">
        <v>15</v>
      </c>
      <c r="E70" t="s">
        <v>19</v>
      </c>
      <c r="F70">
        <v>27</v>
      </c>
      <c r="G70" s="4">
        <v>44134</v>
      </c>
      <c r="H70" s="6">
        <v>54970</v>
      </c>
      <c r="I70" t="s">
        <v>16</v>
      </c>
    </row>
    <row r="71" spans="3:9" x14ac:dyDescent="0.25">
      <c r="C71" t="s">
        <v>11</v>
      </c>
      <c r="E71" t="s">
        <v>12</v>
      </c>
      <c r="F71">
        <v>26</v>
      </c>
      <c r="G71" s="4">
        <v>44271</v>
      </c>
      <c r="H71" s="6">
        <v>90700</v>
      </c>
      <c r="I71" t="s">
        <v>13</v>
      </c>
    </row>
    <row r="72" spans="3:9" x14ac:dyDescent="0.25">
      <c r="C72" t="s">
        <v>109</v>
      </c>
      <c r="D72" t="s">
        <v>8</v>
      </c>
      <c r="E72" t="s">
        <v>19</v>
      </c>
      <c r="F72">
        <v>38</v>
      </c>
      <c r="G72" s="4">
        <v>44329</v>
      </c>
      <c r="H72" s="6">
        <v>56870</v>
      </c>
      <c r="I72" t="s">
        <v>13</v>
      </c>
    </row>
    <row r="73" spans="3:9" x14ac:dyDescent="0.25">
      <c r="C73" t="s">
        <v>77</v>
      </c>
      <c r="D73" t="s">
        <v>8</v>
      </c>
      <c r="E73" t="s">
        <v>19</v>
      </c>
      <c r="F73">
        <v>25</v>
      </c>
      <c r="G73" s="4">
        <v>44205</v>
      </c>
      <c r="H73" s="6">
        <v>92700</v>
      </c>
      <c r="I73" t="s">
        <v>16</v>
      </c>
    </row>
    <row r="74" spans="3:9" x14ac:dyDescent="0.25">
      <c r="C74" t="s">
        <v>32</v>
      </c>
      <c r="D74" t="s">
        <v>8</v>
      </c>
      <c r="E74" t="s">
        <v>21</v>
      </c>
      <c r="F74">
        <v>21</v>
      </c>
      <c r="G74" s="4">
        <v>44317</v>
      </c>
      <c r="H74" s="6">
        <v>65920</v>
      </c>
      <c r="I74" t="s">
        <v>16</v>
      </c>
    </row>
    <row r="75" spans="3:9" x14ac:dyDescent="0.25">
      <c r="C75" t="s">
        <v>59</v>
      </c>
      <c r="D75" t="s">
        <v>15</v>
      </c>
      <c r="E75" t="s">
        <v>9</v>
      </c>
      <c r="F75">
        <v>26</v>
      </c>
      <c r="G75" s="4">
        <v>44225</v>
      </c>
      <c r="H75" s="6">
        <v>47360</v>
      </c>
      <c r="I75" t="s">
        <v>16</v>
      </c>
    </row>
    <row r="76" spans="3:9" x14ac:dyDescent="0.25">
      <c r="C76" t="s">
        <v>37</v>
      </c>
      <c r="D76" t="s">
        <v>15</v>
      </c>
      <c r="E76" t="s">
        <v>9</v>
      </c>
      <c r="F76">
        <v>30</v>
      </c>
      <c r="G76" s="4">
        <v>44666</v>
      </c>
      <c r="H76" s="6">
        <v>60570</v>
      </c>
      <c r="I76" t="s">
        <v>16</v>
      </c>
    </row>
    <row r="77" spans="3:9" x14ac:dyDescent="0.25">
      <c r="C77" t="s">
        <v>96</v>
      </c>
      <c r="D77" t="s">
        <v>8</v>
      </c>
      <c r="E77" t="s">
        <v>9</v>
      </c>
      <c r="F77">
        <v>28</v>
      </c>
      <c r="G77" s="4">
        <v>44649</v>
      </c>
      <c r="H77" s="6">
        <v>104120</v>
      </c>
      <c r="I77" t="s">
        <v>16</v>
      </c>
    </row>
    <row r="78" spans="3:9" x14ac:dyDescent="0.25">
      <c r="C78" t="s">
        <v>23</v>
      </c>
      <c r="D78" t="s">
        <v>15</v>
      </c>
      <c r="E78" t="s">
        <v>12</v>
      </c>
      <c r="F78">
        <v>37</v>
      </c>
      <c r="G78" s="4">
        <v>44338</v>
      </c>
      <c r="H78" s="6">
        <v>88050</v>
      </c>
      <c r="I78" t="s">
        <v>24</v>
      </c>
    </row>
    <row r="79" spans="3:9" x14ac:dyDescent="0.25">
      <c r="C79" t="s">
        <v>103</v>
      </c>
      <c r="D79" t="s">
        <v>15</v>
      </c>
      <c r="E79" t="s">
        <v>12</v>
      </c>
      <c r="F79">
        <v>24</v>
      </c>
      <c r="G79" s="4">
        <v>44686</v>
      </c>
      <c r="H79" s="6">
        <v>100420</v>
      </c>
      <c r="I79" t="s">
        <v>16</v>
      </c>
    </row>
    <row r="80" spans="3:9" x14ac:dyDescent="0.25">
      <c r="C80" t="s">
        <v>54</v>
      </c>
      <c r="D80" t="s">
        <v>8</v>
      </c>
      <c r="E80" t="s">
        <v>9</v>
      </c>
      <c r="F80">
        <v>30</v>
      </c>
      <c r="G80" s="4">
        <v>44850</v>
      </c>
      <c r="H80" s="6">
        <v>114180</v>
      </c>
      <c r="I80" t="s">
        <v>16</v>
      </c>
    </row>
    <row r="81" spans="3:9" x14ac:dyDescent="0.25">
      <c r="C81" t="s">
        <v>86</v>
      </c>
      <c r="D81" t="s">
        <v>8</v>
      </c>
      <c r="E81" t="s">
        <v>12</v>
      </c>
      <c r="F81">
        <v>21</v>
      </c>
      <c r="G81" s="4">
        <v>44678</v>
      </c>
      <c r="H81" s="6">
        <v>33920</v>
      </c>
      <c r="I81" t="s">
        <v>16</v>
      </c>
    </row>
    <row r="82" spans="3:9" x14ac:dyDescent="0.25">
      <c r="C82" t="s">
        <v>69</v>
      </c>
      <c r="D82" t="s">
        <v>15</v>
      </c>
      <c r="E82" t="s">
        <v>9</v>
      </c>
      <c r="F82">
        <v>23</v>
      </c>
      <c r="G82" s="4">
        <v>44440</v>
      </c>
      <c r="H82" s="6">
        <v>106460</v>
      </c>
      <c r="I82" t="s">
        <v>16</v>
      </c>
    </row>
    <row r="83" spans="3:9" x14ac:dyDescent="0.25">
      <c r="C83" t="s">
        <v>57</v>
      </c>
      <c r="D83" t="s">
        <v>15</v>
      </c>
      <c r="E83" t="s">
        <v>9</v>
      </c>
      <c r="F83">
        <v>35</v>
      </c>
      <c r="G83" s="4">
        <v>44727</v>
      </c>
      <c r="H83" s="6">
        <v>40400</v>
      </c>
      <c r="I83" t="s">
        <v>16</v>
      </c>
    </row>
    <row r="84" spans="3:9" x14ac:dyDescent="0.25">
      <c r="C84" t="s">
        <v>68</v>
      </c>
      <c r="D84" t="s">
        <v>15</v>
      </c>
      <c r="E84" t="s">
        <v>21</v>
      </c>
      <c r="F84">
        <v>27</v>
      </c>
      <c r="G84" s="4">
        <v>44236</v>
      </c>
      <c r="H84" s="6">
        <v>91650</v>
      </c>
      <c r="I84" t="s">
        <v>13</v>
      </c>
    </row>
    <row r="85" spans="3:9" x14ac:dyDescent="0.25">
      <c r="C85" t="s">
        <v>99</v>
      </c>
      <c r="D85" t="s">
        <v>15</v>
      </c>
      <c r="E85" t="s">
        <v>19</v>
      </c>
      <c r="F85">
        <v>43</v>
      </c>
      <c r="G85" s="4">
        <v>44620</v>
      </c>
      <c r="H85" s="6">
        <v>36040</v>
      </c>
      <c r="I85" t="s">
        <v>16</v>
      </c>
    </row>
    <row r="86" spans="3:9" x14ac:dyDescent="0.25">
      <c r="C86" t="s">
        <v>101</v>
      </c>
      <c r="D86" t="s">
        <v>8</v>
      </c>
      <c r="E86" t="s">
        <v>12</v>
      </c>
      <c r="F86">
        <v>40</v>
      </c>
      <c r="G86" s="4">
        <v>44381</v>
      </c>
      <c r="H86" s="6">
        <v>104410</v>
      </c>
      <c r="I86" t="s">
        <v>16</v>
      </c>
    </row>
    <row r="87" spans="3:9" x14ac:dyDescent="0.25">
      <c r="C87" t="s">
        <v>85</v>
      </c>
      <c r="D87" t="s">
        <v>15</v>
      </c>
      <c r="E87" t="s">
        <v>21</v>
      </c>
      <c r="F87">
        <v>30</v>
      </c>
      <c r="G87" s="4">
        <v>44606</v>
      </c>
      <c r="H87" s="6">
        <v>96800</v>
      </c>
      <c r="I87" t="s">
        <v>16</v>
      </c>
    </row>
    <row r="88" spans="3:9" x14ac:dyDescent="0.25">
      <c r="C88" t="s">
        <v>28</v>
      </c>
      <c r="D88" t="s">
        <v>8</v>
      </c>
      <c r="E88" t="s">
        <v>21</v>
      </c>
      <c r="F88">
        <v>34</v>
      </c>
      <c r="G88" s="4">
        <v>44459</v>
      </c>
      <c r="H88" s="6">
        <v>85000</v>
      </c>
      <c r="I88" t="s">
        <v>16</v>
      </c>
    </row>
    <row r="89" spans="3:9" x14ac:dyDescent="0.25">
      <c r="C89" t="s">
        <v>80</v>
      </c>
      <c r="D89" t="s">
        <v>15</v>
      </c>
      <c r="E89" t="s">
        <v>19</v>
      </c>
      <c r="F89">
        <v>28</v>
      </c>
      <c r="G89" s="4">
        <v>44820</v>
      </c>
      <c r="H89" s="6">
        <v>43510</v>
      </c>
      <c r="I89" t="s">
        <v>42</v>
      </c>
    </row>
    <row r="90" spans="3:9" x14ac:dyDescent="0.25">
      <c r="C90" t="s">
        <v>79</v>
      </c>
      <c r="D90" t="s">
        <v>15</v>
      </c>
      <c r="E90" t="s">
        <v>21</v>
      </c>
      <c r="F90">
        <v>33</v>
      </c>
      <c r="G90" s="4">
        <v>44243</v>
      </c>
      <c r="H90" s="6">
        <v>59430</v>
      </c>
      <c r="I90" t="s">
        <v>16</v>
      </c>
    </row>
    <row r="91" spans="3:9" x14ac:dyDescent="0.25">
      <c r="C91" t="s">
        <v>93</v>
      </c>
      <c r="D91" t="s">
        <v>8</v>
      </c>
      <c r="E91" t="s">
        <v>21</v>
      </c>
      <c r="F91">
        <v>33</v>
      </c>
      <c r="G91" s="4">
        <v>44067</v>
      </c>
      <c r="H91" s="6">
        <v>65360</v>
      </c>
      <c r="I91" t="s">
        <v>16</v>
      </c>
    </row>
    <row r="92" spans="3:9" x14ac:dyDescent="0.25">
      <c r="C92" t="s">
        <v>66</v>
      </c>
      <c r="D92" t="s">
        <v>8</v>
      </c>
      <c r="E92" t="s">
        <v>9</v>
      </c>
      <c r="F92">
        <v>32</v>
      </c>
      <c r="G92" s="4">
        <v>44611</v>
      </c>
      <c r="H92" s="6">
        <v>41570</v>
      </c>
      <c r="I92" t="s">
        <v>16</v>
      </c>
    </row>
    <row r="93" spans="3:9" x14ac:dyDescent="0.25">
      <c r="C93" t="s">
        <v>95</v>
      </c>
      <c r="D93" t="s">
        <v>8</v>
      </c>
      <c r="E93" t="s">
        <v>12</v>
      </c>
      <c r="F93">
        <v>33</v>
      </c>
      <c r="G93" s="4">
        <v>44312</v>
      </c>
      <c r="H93" s="6">
        <v>75280</v>
      </c>
      <c r="I93" t="s">
        <v>16</v>
      </c>
    </row>
    <row r="94" spans="3:9" x14ac:dyDescent="0.25">
      <c r="C94" t="s">
        <v>18</v>
      </c>
      <c r="D94" t="s">
        <v>15</v>
      </c>
      <c r="E94" t="s">
        <v>19</v>
      </c>
      <c r="F94">
        <v>33</v>
      </c>
      <c r="G94" s="4">
        <v>44385</v>
      </c>
      <c r="H94" s="6">
        <v>74550</v>
      </c>
      <c r="I94" t="s">
        <v>16</v>
      </c>
    </row>
    <row r="95" spans="3:9" x14ac:dyDescent="0.25">
      <c r="C95" t="s">
        <v>45</v>
      </c>
      <c r="D95" t="s">
        <v>15</v>
      </c>
      <c r="E95" t="s">
        <v>9</v>
      </c>
      <c r="F95">
        <v>30</v>
      </c>
      <c r="G95" s="4">
        <v>44701</v>
      </c>
      <c r="H95" s="6">
        <v>67950</v>
      </c>
      <c r="I95" t="s">
        <v>16</v>
      </c>
    </row>
    <row r="96" spans="3:9" x14ac:dyDescent="0.25">
      <c r="C96" t="s">
        <v>90</v>
      </c>
      <c r="D96" t="s">
        <v>15</v>
      </c>
      <c r="E96" t="s">
        <v>21</v>
      </c>
      <c r="F96">
        <v>42</v>
      </c>
      <c r="G96" s="4">
        <v>44731</v>
      </c>
      <c r="H96" s="6">
        <v>70270</v>
      </c>
      <c r="I96" t="s">
        <v>24</v>
      </c>
    </row>
    <row r="97" spans="3:13" x14ac:dyDescent="0.25">
      <c r="C97" t="s">
        <v>46</v>
      </c>
      <c r="D97" t="s">
        <v>15</v>
      </c>
      <c r="E97" t="s">
        <v>9</v>
      </c>
      <c r="F97">
        <v>26</v>
      </c>
      <c r="G97" s="4">
        <v>44411</v>
      </c>
      <c r="H97" s="6">
        <v>53540</v>
      </c>
      <c r="I97" t="s">
        <v>16</v>
      </c>
    </row>
    <row r="98" spans="3:13" x14ac:dyDescent="0.25">
      <c r="C98" t="s">
        <v>58</v>
      </c>
      <c r="D98" t="s">
        <v>15</v>
      </c>
      <c r="E98" t="s">
        <v>19</v>
      </c>
      <c r="F98">
        <v>22</v>
      </c>
      <c r="G98" s="4">
        <v>44446</v>
      </c>
      <c r="H98" s="6">
        <v>112780</v>
      </c>
      <c r="I98" t="s">
        <v>13</v>
      </c>
    </row>
    <row r="99" spans="3:13" x14ac:dyDescent="0.25">
      <c r="C99" t="s">
        <v>70</v>
      </c>
      <c r="D99" t="s">
        <v>15</v>
      </c>
      <c r="E99" t="s">
        <v>9</v>
      </c>
      <c r="F99">
        <v>46</v>
      </c>
      <c r="G99" s="4">
        <v>44758</v>
      </c>
      <c r="H99" s="6">
        <v>70610</v>
      </c>
      <c r="I99" t="s">
        <v>16</v>
      </c>
    </row>
    <row r="100" spans="3:13" x14ac:dyDescent="0.25">
      <c r="C100" t="s">
        <v>75</v>
      </c>
      <c r="D100" t="s">
        <v>8</v>
      </c>
      <c r="E100" t="s">
        <v>19</v>
      </c>
      <c r="F100">
        <v>28</v>
      </c>
      <c r="G100" s="4">
        <v>44357</v>
      </c>
      <c r="H100" s="6">
        <v>53240</v>
      </c>
      <c r="I100" t="s">
        <v>16</v>
      </c>
    </row>
    <row r="101" spans="3:13" x14ac:dyDescent="0.25">
      <c r="C101" t="s">
        <v>49</v>
      </c>
      <c r="E101" t="s">
        <v>21</v>
      </c>
      <c r="F101">
        <v>37</v>
      </c>
      <c r="G101" s="4">
        <v>44146</v>
      </c>
      <c r="H101" s="6">
        <v>115440</v>
      </c>
      <c r="I101" t="s">
        <v>24</v>
      </c>
    </row>
    <row r="102" spans="3:13" x14ac:dyDescent="0.25">
      <c r="C102" t="s">
        <v>65</v>
      </c>
      <c r="D102" t="s">
        <v>15</v>
      </c>
      <c r="E102" t="s">
        <v>19</v>
      </c>
      <c r="F102">
        <v>32</v>
      </c>
      <c r="G102" s="4">
        <v>44465</v>
      </c>
      <c r="H102" s="6">
        <v>53540</v>
      </c>
      <c r="I102" t="s">
        <v>16</v>
      </c>
    </row>
    <row r="103" spans="3:13" x14ac:dyDescent="0.25">
      <c r="C103" t="s">
        <v>81</v>
      </c>
      <c r="D103" t="s">
        <v>8</v>
      </c>
      <c r="E103" t="s">
        <v>9</v>
      </c>
      <c r="F103">
        <v>30</v>
      </c>
      <c r="G103" s="4">
        <v>44861</v>
      </c>
      <c r="H103" s="6">
        <v>112570</v>
      </c>
      <c r="I103" t="s">
        <v>16</v>
      </c>
      <c r="M103" t="s">
        <v>206</v>
      </c>
    </row>
    <row r="104" spans="3:13" x14ac:dyDescent="0.25">
      <c r="C104" t="s">
        <v>51</v>
      </c>
      <c r="D104" t="s">
        <v>15</v>
      </c>
      <c r="E104" t="s">
        <v>9</v>
      </c>
      <c r="F104">
        <v>33</v>
      </c>
      <c r="G104" s="4">
        <v>44701</v>
      </c>
      <c r="H104" s="6">
        <v>48530</v>
      </c>
      <c r="I104" t="s">
        <v>13</v>
      </c>
    </row>
    <row r="105" spans="3:13" x14ac:dyDescent="0.25">
      <c r="C105" t="s">
        <v>61</v>
      </c>
      <c r="D105" t="s">
        <v>8</v>
      </c>
      <c r="E105" t="s">
        <v>12</v>
      </c>
      <c r="F105">
        <v>24</v>
      </c>
      <c r="G105" s="4">
        <v>44148</v>
      </c>
      <c r="H105" s="6">
        <v>62780</v>
      </c>
      <c r="I105" t="s">
        <v>16</v>
      </c>
    </row>
    <row r="106" spans="3:13" x14ac:dyDescent="0.25">
      <c r="C106" t="s">
        <v>204</v>
      </c>
      <c r="F106">
        <f>SUBTOTAL(101,nz_staff[Age])</f>
        <v>30.52</v>
      </c>
      <c r="H106" s="6">
        <f>SUBTOTAL(101,nz_staff[Salary])</f>
        <v>77472.100000000006</v>
      </c>
      <c r="I106">
        <f>SUBTOTAL(103,nz_staff[Rating])</f>
        <v>100</v>
      </c>
    </row>
  </sheetData>
  <conditionalFormatting sqref="C6:C105">
    <cfRule type="duplicateValues" dxfId="63"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tabColor rgb="FFC00000"/>
  </sheetPr>
  <dimension ref="B2:L115"/>
  <sheetViews>
    <sheetView workbookViewId="0">
      <selection activeCell="L32" sqref="L32"/>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customWidth="1"/>
    <col min="8" max="8" width="9.5703125" customWidth="1"/>
    <col min="12" max="12" width="17.5703125" customWidth="1"/>
  </cols>
  <sheetData>
    <row r="2" spans="2:12" x14ac:dyDescent="0.25">
      <c r="B2" t="s">
        <v>0</v>
      </c>
      <c r="C2" t="s">
        <v>1</v>
      </c>
      <c r="D2" t="s">
        <v>3</v>
      </c>
      <c r="E2" t="s">
        <v>6</v>
      </c>
      <c r="F2" t="s">
        <v>4</v>
      </c>
      <c r="G2" t="s">
        <v>2</v>
      </c>
      <c r="H2" t="s">
        <v>5</v>
      </c>
      <c r="L2" s="5" t="s">
        <v>203</v>
      </c>
    </row>
    <row r="3" spans="2:12" x14ac:dyDescent="0.25">
      <c r="B3" t="s">
        <v>156</v>
      </c>
      <c r="C3" t="s">
        <v>15</v>
      </c>
      <c r="D3">
        <v>20</v>
      </c>
      <c r="E3" t="s">
        <v>16</v>
      </c>
      <c r="F3" s="4">
        <v>44122</v>
      </c>
      <c r="G3" t="s">
        <v>12</v>
      </c>
      <c r="H3">
        <v>112650</v>
      </c>
    </row>
    <row r="4" spans="2:12" x14ac:dyDescent="0.25">
      <c r="B4" t="s">
        <v>176</v>
      </c>
      <c r="C4" t="s">
        <v>8</v>
      </c>
      <c r="D4">
        <v>32</v>
      </c>
      <c r="E4" t="s">
        <v>13</v>
      </c>
      <c r="F4" s="4">
        <v>44293</v>
      </c>
      <c r="G4" t="s">
        <v>12</v>
      </c>
      <c r="H4">
        <v>43840</v>
      </c>
    </row>
    <row r="5" spans="2:12" x14ac:dyDescent="0.25">
      <c r="B5" t="s">
        <v>143</v>
      </c>
      <c r="C5" t="s">
        <v>15</v>
      </c>
      <c r="D5">
        <v>31</v>
      </c>
      <c r="E5" t="s">
        <v>16</v>
      </c>
      <c r="F5" s="4">
        <v>44663</v>
      </c>
      <c r="G5" t="s">
        <v>9</v>
      </c>
      <c r="H5">
        <v>103550</v>
      </c>
    </row>
    <row r="6" spans="2:12" x14ac:dyDescent="0.25">
      <c r="B6" t="s">
        <v>201</v>
      </c>
      <c r="C6" t="s">
        <v>8</v>
      </c>
      <c r="D6">
        <v>32</v>
      </c>
      <c r="E6" t="s">
        <v>16</v>
      </c>
      <c r="F6" s="4">
        <v>44339</v>
      </c>
      <c r="G6" t="s">
        <v>56</v>
      </c>
      <c r="H6">
        <v>45510</v>
      </c>
    </row>
    <row r="7" spans="2:12" x14ac:dyDescent="0.25">
      <c r="B7" t="s">
        <v>142</v>
      </c>
      <c r="D7">
        <v>37</v>
      </c>
      <c r="E7" t="s">
        <v>24</v>
      </c>
      <c r="F7" s="4">
        <v>44085</v>
      </c>
      <c r="G7" t="s">
        <v>21</v>
      </c>
      <c r="H7">
        <v>115440</v>
      </c>
    </row>
    <row r="8" spans="2:12" x14ac:dyDescent="0.25">
      <c r="B8" t="s">
        <v>202</v>
      </c>
      <c r="C8" t="s">
        <v>8</v>
      </c>
      <c r="D8">
        <v>38</v>
      </c>
      <c r="E8" t="s">
        <v>13</v>
      </c>
      <c r="F8" s="4">
        <v>44268</v>
      </c>
      <c r="G8" t="s">
        <v>19</v>
      </c>
      <c r="H8">
        <v>56870</v>
      </c>
    </row>
    <row r="9" spans="2:12" x14ac:dyDescent="0.25">
      <c r="B9" t="s">
        <v>169</v>
      </c>
      <c r="C9" t="s">
        <v>8</v>
      </c>
      <c r="D9">
        <v>25</v>
      </c>
      <c r="E9" t="s">
        <v>16</v>
      </c>
      <c r="F9" s="4">
        <v>44144</v>
      </c>
      <c r="G9" t="s">
        <v>19</v>
      </c>
      <c r="H9">
        <v>92700</v>
      </c>
    </row>
    <row r="10" spans="2:12" x14ac:dyDescent="0.25">
      <c r="B10" t="s">
        <v>145</v>
      </c>
      <c r="D10">
        <v>32</v>
      </c>
      <c r="E10" t="s">
        <v>16</v>
      </c>
      <c r="F10" s="4">
        <v>44713</v>
      </c>
      <c r="G10" t="s">
        <v>12</v>
      </c>
      <c r="H10">
        <v>91310</v>
      </c>
    </row>
    <row r="11" spans="2:12" x14ac:dyDescent="0.25">
      <c r="B11" t="s">
        <v>115</v>
      </c>
      <c r="C11" t="s">
        <v>15</v>
      </c>
      <c r="D11">
        <v>33</v>
      </c>
      <c r="E11" t="s">
        <v>16</v>
      </c>
      <c r="F11" s="4">
        <v>44324</v>
      </c>
      <c r="G11" t="s">
        <v>19</v>
      </c>
      <c r="H11">
        <v>74550</v>
      </c>
    </row>
    <row r="12" spans="2:12" x14ac:dyDescent="0.25">
      <c r="B12" t="s">
        <v>128</v>
      </c>
      <c r="C12" t="s">
        <v>15</v>
      </c>
      <c r="D12" t="s">
        <v>205</v>
      </c>
      <c r="E12" t="s">
        <v>13</v>
      </c>
      <c r="F12" s="4">
        <v>44665</v>
      </c>
      <c r="G12" t="s">
        <v>9</v>
      </c>
      <c r="H12">
        <v>109190</v>
      </c>
    </row>
    <row r="13" spans="2:12" x14ac:dyDescent="0.25">
      <c r="B13" t="s">
        <v>194</v>
      </c>
      <c r="C13" t="s">
        <v>8</v>
      </c>
      <c r="D13">
        <v>40</v>
      </c>
      <c r="E13" t="s">
        <v>16</v>
      </c>
      <c r="F13" s="4">
        <v>44320</v>
      </c>
      <c r="G13" t="s">
        <v>12</v>
      </c>
      <c r="H13">
        <v>104410</v>
      </c>
    </row>
    <row r="14" spans="2:12" x14ac:dyDescent="0.25">
      <c r="B14" t="s">
        <v>177</v>
      </c>
      <c r="C14" t="s">
        <v>15</v>
      </c>
      <c r="D14">
        <v>30</v>
      </c>
      <c r="E14" t="s">
        <v>16</v>
      </c>
      <c r="F14" s="4">
        <v>44544</v>
      </c>
      <c r="G14" t="s">
        <v>21</v>
      </c>
      <c r="H14">
        <v>96800</v>
      </c>
    </row>
    <row r="15" spans="2:12" x14ac:dyDescent="0.25">
      <c r="B15" t="s">
        <v>123</v>
      </c>
      <c r="C15" t="s">
        <v>15</v>
      </c>
      <c r="D15">
        <v>28</v>
      </c>
      <c r="E15" t="s">
        <v>13</v>
      </c>
      <c r="F15" s="4">
        <v>43980</v>
      </c>
      <c r="G15" t="s">
        <v>21</v>
      </c>
      <c r="H15">
        <v>48170</v>
      </c>
    </row>
    <row r="16" spans="2:12"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row r="115" spans="2:8" x14ac:dyDescent="0.25">
      <c r="B115" t="s">
        <v>204</v>
      </c>
      <c r="H115">
        <f>SUBTOTAL(109,india_staff[Salary])</f>
        <v>8757930</v>
      </c>
    </row>
  </sheetData>
  <conditionalFormatting sqref="B2:B115">
    <cfRule type="duplicateValues" dxfId="62"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D995-908F-4E5B-8DBD-20CBF751525C}">
  <dimension ref="A1:K184"/>
  <sheetViews>
    <sheetView workbookViewId="0"/>
  </sheetViews>
  <sheetFormatPr defaultRowHeight="15" x14ac:dyDescent="0.25"/>
  <cols>
    <col min="1" max="1" width="30" bestFit="1" customWidth="1"/>
    <col min="2" max="2" width="10" bestFit="1" customWidth="1"/>
    <col min="3" max="3" width="14" bestFit="1" customWidth="1"/>
    <col min="4" max="4" width="6.7109375" bestFit="1" customWidth="1"/>
    <col min="5" max="5" width="14.85546875" bestFit="1" customWidth="1"/>
    <col min="6" max="6" width="8.5703125" bestFit="1" customWidth="1"/>
    <col min="7" max="7" width="14.28515625" bestFit="1" customWidth="1"/>
    <col min="8" max="8" width="11.5703125" bestFit="1" customWidth="1"/>
    <col min="9" max="9" width="12" bestFit="1" customWidth="1"/>
    <col min="10" max="10" width="8.7109375" bestFit="1" customWidth="1"/>
    <col min="11" max="11" width="13.42578125" bestFit="1" customWidth="1"/>
  </cols>
  <sheetData>
    <row r="1" spans="1:11" x14ac:dyDescent="0.25">
      <c r="A1" t="s">
        <v>0</v>
      </c>
      <c r="B1" t="s">
        <v>1</v>
      </c>
      <c r="C1" t="s">
        <v>2</v>
      </c>
      <c r="D1" t="s">
        <v>3</v>
      </c>
      <c r="E1" t="s">
        <v>4</v>
      </c>
      <c r="F1" t="s">
        <v>5</v>
      </c>
      <c r="G1" t="s">
        <v>6</v>
      </c>
      <c r="H1" t="s">
        <v>207</v>
      </c>
      <c r="I1" t="s">
        <v>213</v>
      </c>
      <c r="J1" t="s">
        <v>234</v>
      </c>
      <c r="K1" t="s">
        <v>235</v>
      </c>
    </row>
    <row r="2" spans="1:11" x14ac:dyDescent="0.25">
      <c r="A2" s="41" t="s">
        <v>86</v>
      </c>
      <c r="B2" s="41" t="s">
        <v>8</v>
      </c>
      <c r="C2" s="41" t="s">
        <v>12</v>
      </c>
      <c r="D2">
        <v>21</v>
      </c>
      <c r="E2" s="42">
        <v>44678</v>
      </c>
      <c r="F2">
        <v>33920</v>
      </c>
      <c r="G2" s="41" t="s">
        <v>16</v>
      </c>
      <c r="H2" s="41" t="s">
        <v>243</v>
      </c>
      <c r="I2">
        <v>2.3917808219178083</v>
      </c>
      <c r="J2">
        <v>1018</v>
      </c>
      <c r="K2">
        <v>3</v>
      </c>
    </row>
    <row r="3" spans="1:11" x14ac:dyDescent="0.25">
      <c r="A3" s="41" t="s">
        <v>179</v>
      </c>
      <c r="B3" s="41" t="s">
        <v>8</v>
      </c>
      <c r="C3" s="41" t="s">
        <v>12</v>
      </c>
      <c r="D3">
        <v>21</v>
      </c>
      <c r="E3" s="42">
        <v>44619</v>
      </c>
      <c r="F3">
        <v>33920</v>
      </c>
      <c r="G3" s="41" t="s">
        <v>16</v>
      </c>
      <c r="H3" s="41" t="s">
        <v>244</v>
      </c>
      <c r="I3">
        <v>2.5534246575342467</v>
      </c>
      <c r="J3">
        <v>1018</v>
      </c>
      <c r="K3">
        <v>3</v>
      </c>
    </row>
    <row r="4" spans="1:11" x14ac:dyDescent="0.25">
      <c r="A4" s="41" t="s">
        <v>44</v>
      </c>
      <c r="B4" s="41" t="s">
        <v>8</v>
      </c>
      <c r="C4" s="41" t="s">
        <v>12</v>
      </c>
      <c r="D4">
        <v>29</v>
      </c>
      <c r="E4" s="42">
        <v>44023</v>
      </c>
      <c r="F4">
        <v>34980</v>
      </c>
      <c r="G4" s="41" t="s">
        <v>16</v>
      </c>
      <c r="H4" s="41" t="s">
        <v>243</v>
      </c>
      <c r="I4">
        <v>4.1863013698630134</v>
      </c>
      <c r="J4">
        <v>1050</v>
      </c>
      <c r="K4">
        <v>3</v>
      </c>
    </row>
    <row r="5" spans="1:11" x14ac:dyDescent="0.25">
      <c r="A5" s="41" t="s">
        <v>137</v>
      </c>
      <c r="B5" s="41" t="s">
        <v>8</v>
      </c>
      <c r="C5" s="41" t="s">
        <v>12</v>
      </c>
      <c r="D5">
        <v>29</v>
      </c>
      <c r="E5" s="42">
        <v>43962</v>
      </c>
      <c r="F5">
        <v>34980</v>
      </c>
      <c r="G5" s="41" t="s">
        <v>16</v>
      </c>
      <c r="H5" s="41" t="s">
        <v>244</v>
      </c>
      <c r="I5">
        <v>4.353424657534247</v>
      </c>
      <c r="J5">
        <v>1050</v>
      </c>
      <c r="K5">
        <v>3</v>
      </c>
    </row>
    <row r="6" spans="1:11" x14ac:dyDescent="0.25">
      <c r="A6" s="41" t="s">
        <v>99</v>
      </c>
      <c r="B6" s="41" t="s">
        <v>15</v>
      </c>
      <c r="C6" s="41" t="s">
        <v>19</v>
      </c>
      <c r="D6">
        <v>43</v>
      </c>
      <c r="E6" s="42">
        <v>44620</v>
      </c>
      <c r="F6">
        <v>36040</v>
      </c>
      <c r="G6" s="41" t="s">
        <v>16</v>
      </c>
      <c r="H6" s="41" t="s">
        <v>243</v>
      </c>
      <c r="I6">
        <v>2.5506849315068494</v>
      </c>
      <c r="J6">
        <v>1082</v>
      </c>
      <c r="K6">
        <v>3</v>
      </c>
    </row>
    <row r="7" spans="1:11" x14ac:dyDescent="0.25">
      <c r="A7" s="41" t="s">
        <v>192</v>
      </c>
      <c r="B7" s="41" t="s">
        <v>15</v>
      </c>
      <c r="C7" s="41" t="s">
        <v>19</v>
      </c>
      <c r="D7">
        <v>43</v>
      </c>
      <c r="E7" s="42">
        <v>44558</v>
      </c>
      <c r="F7">
        <v>36040</v>
      </c>
      <c r="G7" s="41" t="s">
        <v>16</v>
      </c>
      <c r="H7" s="41" t="s">
        <v>244</v>
      </c>
      <c r="I7">
        <v>2.7205479452054795</v>
      </c>
      <c r="J7">
        <v>1082</v>
      </c>
      <c r="K7">
        <v>3</v>
      </c>
    </row>
    <row r="8" spans="1:11" x14ac:dyDescent="0.25">
      <c r="A8" s="41" t="s">
        <v>47</v>
      </c>
      <c r="B8" s="41" t="s">
        <v>15</v>
      </c>
      <c r="C8" s="41" t="s">
        <v>9</v>
      </c>
      <c r="D8">
        <v>21</v>
      </c>
      <c r="E8" s="42">
        <v>44104</v>
      </c>
      <c r="F8">
        <v>37920</v>
      </c>
      <c r="G8" s="41" t="s">
        <v>16</v>
      </c>
      <c r="H8" s="41" t="s">
        <v>243</v>
      </c>
      <c r="I8">
        <v>3.9643835616438357</v>
      </c>
      <c r="J8">
        <v>1138</v>
      </c>
      <c r="K8">
        <v>3</v>
      </c>
    </row>
    <row r="9" spans="1:11" x14ac:dyDescent="0.25">
      <c r="A9" s="41" t="s">
        <v>140</v>
      </c>
      <c r="B9" s="41" t="s">
        <v>15</v>
      </c>
      <c r="C9" s="41" t="s">
        <v>9</v>
      </c>
      <c r="D9">
        <v>21</v>
      </c>
      <c r="E9" s="42">
        <v>44042</v>
      </c>
      <c r="F9">
        <v>37920</v>
      </c>
      <c r="G9" s="41" t="s">
        <v>16</v>
      </c>
      <c r="H9" s="41" t="s">
        <v>244</v>
      </c>
      <c r="I9">
        <v>4.1342465753424653</v>
      </c>
      <c r="J9">
        <v>1138</v>
      </c>
      <c r="K9">
        <v>3</v>
      </c>
    </row>
    <row r="10" spans="1:11" x14ac:dyDescent="0.25">
      <c r="A10" s="41" t="s">
        <v>57</v>
      </c>
      <c r="B10" s="41" t="s">
        <v>15</v>
      </c>
      <c r="C10" s="41" t="s">
        <v>9</v>
      </c>
      <c r="D10">
        <v>35</v>
      </c>
      <c r="E10" s="42">
        <v>44727</v>
      </c>
      <c r="F10">
        <v>40400</v>
      </c>
      <c r="G10" s="41" t="s">
        <v>16</v>
      </c>
      <c r="H10" s="41" t="s">
        <v>243</v>
      </c>
      <c r="I10">
        <v>2.2575342465753425</v>
      </c>
      <c r="J10">
        <v>1212</v>
      </c>
      <c r="K10">
        <v>3</v>
      </c>
    </row>
    <row r="11" spans="1:11" x14ac:dyDescent="0.25">
      <c r="A11" s="41" t="s">
        <v>149</v>
      </c>
      <c r="B11" s="41" t="s">
        <v>15</v>
      </c>
      <c r="C11" s="41" t="s">
        <v>9</v>
      </c>
      <c r="D11">
        <v>35</v>
      </c>
      <c r="E11" s="42">
        <v>44666</v>
      </c>
      <c r="F11">
        <v>40400</v>
      </c>
      <c r="G11" s="41" t="s">
        <v>16</v>
      </c>
      <c r="H11" s="41" t="s">
        <v>244</v>
      </c>
      <c r="I11">
        <v>2.4246575342465753</v>
      </c>
      <c r="J11">
        <v>1212</v>
      </c>
      <c r="K11">
        <v>3</v>
      </c>
    </row>
    <row r="12" spans="1:11" x14ac:dyDescent="0.25">
      <c r="A12" s="41" t="s">
        <v>66</v>
      </c>
      <c r="B12" s="41" t="s">
        <v>8</v>
      </c>
      <c r="C12" s="41" t="s">
        <v>9</v>
      </c>
      <c r="D12">
        <v>32</v>
      </c>
      <c r="E12" s="42">
        <v>44611</v>
      </c>
      <c r="F12">
        <v>41570</v>
      </c>
      <c r="G12" s="41" t="s">
        <v>16</v>
      </c>
      <c r="H12" s="41" t="s">
        <v>243</v>
      </c>
      <c r="I12">
        <v>2.5753424657534247</v>
      </c>
      <c r="J12">
        <v>1248</v>
      </c>
      <c r="K12">
        <v>3</v>
      </c>
    </row>
    <row r="13" spans="1:11" x14ac:dyDescent="0.25">
      <c r="A13" s="41" t="s">
        <v>158</v>
      </c>
      <c r="B13" s="41" t="s">
        <v>8</v>
      </c>
      <c r="C13" s="41" t="s">
        <v>9</v>
      </c>
      <c r="D13">
        <v>32</v>
      </c>
      <c r="E13" s="42">
        <v>44549</v>
      </c>
      <c r="F13">
        <v>41570</v>
      </c>
      <c r="G13" s="41" t="s">
        <v>16</v>
      </c>
      <c r="H13" s="41" t="s">
        <v>244</v>
      </c>
      <c r="I13">
        <v>2.7452054794520548</v>
      </c>
      <c r="J13">
        <v>1248</v>
      </c>
      <c r="K13">
        <v>3</v>
      </c>
    </row>
    <row r="14" spans="1:11" x14ac:dyDescent="0.25">
      <c r="A14" s="41" t="s">
        <v>30</v>
      </c>
      <c r="B14" s="41" t="s">
        <v>8</v>
      </c>
      <c r="C14" s="41" t="s">
        <v>12</v>
      </c>
      <c r="D14">
        <v>31</v>
      </c>
      <c r="E14" s="42">
        <v>44145</v>
      </c>
      <c r="F14">
        <v>41980</v>
      </c>
      <c r="G14" s="41" t="s">
        <v>16</v>
      </c>
      <c r="H14" s="41" t="s">
        <v>243</v>
      </c>
      <c r="I14">
        <v>3.8520547945205479</v>
      </c>
      <c r="J14">
        <v>1260</v>
      </c>
      <c r="K14">
        <v>3</v>
      </c>
    </row>
    <row r="15" spans="1:11" x14ac:dyDescent="0.25">
      <c r="A15" s="41" t="s">
        <v>124</v>
      </c>
      <c r="B15" s="41" t="s">
        <v>8</v>
      </c>
      <c r="C15" s="41" t="s">
        <v>12</v>
      </c>
      <c r="D15">
        <v>31</v>
      </c>
      <c r="E15" s="42">
        <v>44084</v>
      </c>
      <c r="F15">
        <v>41980</v>
      </c>
      <c r="G15" s="41" t="s">
        <v>16</v>
      </c>
      <c r="H15" s="41" t="s">
        <v>244</v>
      </c>
      <c r="I15">
        <v>4.0191780821917806</v>
      </c>
      <c r="J15">
        <v>1260</v>
      </c>
      <c r="K15">
        <v>3</v>
      </c>
    </row>
    <row r="16" spans="1:11" x14ac:dyDescent="0.25">
      <c r="A16" s="41" t="s">
        <v>80</v>
      </c>
      <c r="B16" s="41" t="s">
        <v>15</v>
      </c>
      <c r="C16" s="41" t="s">
        <v>19</v>
      </c>
      <c r="D16">
        <v>28</v>
      </c>
      <c r="E16" s="42">
        <v>44820</v>
      </c>
      <c r="F16">
        <v>43510</v>
      </c>
      <c r="G16" s="41" t="s">
        <v>42</v>
      </c>
      <c r="H16" s="41" t="s">
        <v>243</v>
      </c>
      <c r="I16">
        <v>2.0027397260273974</v>
      </c>
      <c r="J16">
        <v>1306</v>
      </c>
      <c r="K16">
        <v>1</v>
      </c>
    </row>
    <row r="17" spans="1:11" x14ac:dyDescent="0.25">
      <c r="A17" s="41" t="s">
        <v>172</v>
      </c>
      <c r="B17" s="41" t="s">
        <v>15</v>
      </c>
      <c r="C17" s="41" t="s">
        <v>19</v>
      </c>
      <c r="D17">
        <v>28</v>
      </c>
      <c r="E17" s="42">
        <v>44758</v>
      </c>
      <c r="F17">
        <v>43510</v>
      </c>
      <c r="G17" s="41" t="s">
        <v>42</v>
      </c>
      <c r="H17" s="41" t="s">
        <v>244</v>
      </c>
      <c r="I17">
        <v>2.1726027397260275</v>
      </c>
      <c r="J17">
        <v>1306</v>
      </c>
      <c r="K17">
        <v>1</v>
      </c>
    </row>
    <row r="18" spans="1:11" x14ac:dyDescent="0.25">
      <c r="A18" s="41" t="s">
        <v>84</v>
      </c>
      <c r="B18" s="41" t="s">
        <v>8</v>
      </c>
      <c r="C18" s="41" t="s">
        <v>12</v>
      </c>
      <c r="D18">
        <v>32</v>
      </c>
      <c r="E18" s="42">
        <v>44354</v>
      </c>
      <c r="F18">
        <v>43840</v>
      </c>
      <c r="G18" s="41" t="s">
        <v>13</v>
      </c>
      <c r="H18" s="41" t="s">
        <v>243</v>
      </c>
      <c r="I18">
        <v>3.2794520547945205</v>
      </c>
      <c r="J18">
        <v>1316</v>
      </c>
      <c r="K18">
        <v>4</v>
      </c>
    </row>
    <row r="19" spans="1:11" x14ac:dyDescent="0.25">
      <c r="A19" s="41" t="s">
        <v>176</v>
      </c>
      <c r="B19" s="41" t="s">
        <v>8</v>
      </c>
      <c r="C19" s="41" t="s">
        <v>12</v>
      </c>
      <c r="D19">
        <v>32</v>
      </c>
      <c r="E19" s="42">
        <v>44293</v>
      </c>
      <c r="F19">
        <v>43840</v>
      </c>
      <c r="G19" s="41" t="s">
        <v>13</v>
      </c>
      <c r="H19" s="41" t="s">
        <v>244</v>
      </c>
      <c r="I19">
        <v>3.4465753424657533</v>
      </c>
      <c r="J19">
        <v>1316</v>
      </c>
      <c r="K19">
        <v>4</v>
      </c>
    </row>
    <row r="20" spans="1:11" x14ac:dyDescent="0.25">
      <c r="A20" s="41" t="s">
        <v>108</v>
      </c>
      <c r="B20" s="41" t="s">
        <v>8</v>
      </c>
      <c r="C20" s="41" t="s">
        <v>56</v>
      </c>
      <c r="D20">
        <v>32</v>
      </c>
      <c r="E20" s="42">
        <v>44400</v>
      </c>
      <c r="F20">
        <v>45510</v>
      </c>
      <c r="G20" s="41" t="s">
        <v>16</v>
      </c>
      <c r="H20" s="41" t="s">
        <v>243</v>
      </c>
      <c r="I20">
        <v>3.1534246575342464</v>
      </c>
      <c r="J20">
        <v>1366</v>
      </c>
      <c r="K20">
        <v>3</v>
      </c>
    </row>
    <row r="21" spans="1:11" x14ac:dyDescent="0.25">
      <c r="A21" s="41" t="s">
        <v>201</v>
      </c>
      <c r="B21" s="41" t="s">
        <v>8</v>
      </c>
      <c r="C21" s="41" t="s">
        <v>56</v>
      </c>
      <c r="D21">
        <v>32</v>
      </c>
      <c r="E21" s="42">
        <v>44339</v>
      </c>
      <c r="F21">
        <v>45510</v>
      </c>
      <c r="G21" s="41" t="s">
        <v>16</v>
      </c>
      <c r="H21" s="41" t="s">
        <v>244</v>
      </c>
      <c r="I21">
        <v>3.3205479452054796</v>
      </c>
      <c r="J21">
        <v>1366</v>
      </c>
      <c r="K21">
        <v>3</v>
      </c>
    </row>
    <row r="22" spans="1:11" x14ac:dyDescent="0.25">
      <c r="A22" s="41" t="s">
        <v>59</v>
      </c>
      <c r="B22" s="41" t="s">
        <v>15</v>
      </c>
      <c r="C22" s="41" t="s">
        <v>9</v>
      </c>
      <c r="D22">
        <v>26</v>
      </c>
      <c r="E22" s="42">
        <v>44225</v>
      </c>
      <c r="F22">
        <v>47360</v>
      </c>
      <c r="G22" s="41" t="s">
        <v>16</v>
      </c>
      <c r="H22" s="41" t="s">
        <v>243</v>
      </c>
      <c r="I22">
        <v>3.6328767123287671</v>
      </c>
      <c r="J22">
        <v>1421</v>
      </c>
      <c r="K22">
        <v>3</v>
      </c>
    </row>
    <row r="23" spans="1:11" x14ac:dyDescent="0.25">
      <c r="A23" s="41" t="s">
        <v>151</v>
      </c>
      <c r="B23" s="41" t="s">
        <v>15</v>
      </c>
      <c r="C23" s="41" t="s">
        <v>9</v>
      </c>
      <c r="D23">
        <v>26</v>
      </c>
      <c r="E23" s="42">
        <v>44164</v>
      </c>
      <c r="F23">
        <v>47360</v>
      </c>
      <c r="G23" s="41" t="s">
        <v>16</v>
      </c>
      <c r="H23" s="41" t="s">
        <v>244</v>
      </c>
      <c r="I23">
        <v>3.8</v>
      </c>
      <c r="J23">
        <v>1421</v>
      </c>
      <c r="K23">
        <v>3</v>
      </c>
    </row>
    <row r="24" spans="1:11" x14ac:dyDescent="0.25">
      <c r="A24" s="41" t="s">
        <v>29</v>
      </c>
      <c r="B24" s="41" t="s">
        <v>15</v>
      </c>
      <c r="C24" s="41" t="s">
        <v>21</v>
      </c>
      <c r="D24">
        <v>28</v>
      </c>
      <c r="E24" s="42">
        <v>44041</v>
      </c>
      <c r="F24">
        <v>48170</v>
      </c>
      <c r="G24" s="41" t="s">
        <v>13</v>
      </c>
      <c r="H24" s="41" t="s">
        <v>243</v>
      </c>
      <c r="I24">
        <v>4.1369863013698627</v>
      </c>
      <c r="J24">
        <v>1446</v>
      </c>
      <c r="K24">
        <v>4</v>
      </c>
    </row>
    <row r="25" spans="1:11" x14ac:dyDescent="0.25">
      <c r="A25" s="41" t="s">
        <v>123</v>
      </c>
      <c r="B25" s="41" t="s">
        <v>15</v>
      </c>
      <c r="C25" s="41" t="s">
        <v>21</v>
      </c>
      <c r="D25">
        <v>28</v>
      </c>
      <c r="E25" s="42">
        <v>43980</v>
      </c>
      <c r="F25">
        <v>48170</v>
      </c>
      <c r="G25" s="41" t="s">
        <v>13</v>
      </c>
      <c r="H25" s="41" t="s">
        <v>244</v>
      </c>
      <c r="I25">
        <v>4.3041095890410963</v>
      </c>
      <c r="J25">
        <v>1446</v>
      </c>
      <c r="K25">
        <v>4</v>
      </c>
    </row>
    <row r="26" spans="1:11" x14ac:dyDescent="0.25">
      <c r="A26" s="41" t="s">
        <v>51</v>
      </c>
      <c r="B26" s="41" t="s">
        <v>15</v>
      </c>
      <c r="C26" s="41" t="s">
        <v>9</v>
      </c>
      <c r="D26">
        <v>33</v>
      </c>
      <c r="E26" s="42">
        <v>44701</v>
      </c>
      <c r="F26">
        <v>48530</v>
      </c>
      <c r="G26" s="41" t="s">
        <v>13</v>
      </c>
      <c r="H26" s="41" t="s">
        <v>243</v>
      </c>
      <c r="I26">
        <v>2.3287671232876712</v>
      </c>
      <c r="J26">
        <v>1456</v>
      </c>
      <c r="K26">
        <v>4</v>
      </c>
    </row>
    <row r="27" spans="1:11" x14ac:dyDescent="0.25">
      <c r="A27" s="41" t="s">
        <v>144</v>
      </c>
      <c r="B27" s="41" t="s">
        <v>15</v>
      </c>
      <c r="C27" s="41" t="s">
        <v>9</v>
      </c>
      <c r="D27">
        <v>33</v>
      </c>
      <c r="E27" s="42">
        <v>44640</v>
      </c>
      <c r="F27">
        <v>48530</v>
      </c>
      <c r="G27" s="41" t="s">
        <v>13</v>
      </c>
      <c r="H27" s="41" t="s">
        <v>244</v>
      </c>
      <c r="I27">
        <v>2.495890410958904</v>
      </c>
      <c r="J27">
        <v>1456</v>
      </c>
      <c r="K27">
        <v>4</v>
      </c>
    </row>
    <row r="28" spans="1:11" x14ac:dyDescent="0.25">
      <c r="A28" s="41" t="s">
        <v>14</v>
      </c>
      <c r="B28" s="41" t="s">
        <v>15</v>
      </c>
      <c r="C28" s="41" t="s">
        <v>12</v>
      </c>
      <c r="D28">
        <v>31</v>
      </c>
      <c r="E28" s="42">
        <v>44511</v>
      </c>
      <c r="F28">
        <v>48950</v>
      </c>
      <c r="G28" s="41" t="s">
        <v>16</v>
      </c>
      <c r="H28" s="41" t="s">
        <v>243</v>
      </c>
      <c r="I28">
        <v>2.8493150684931505</v>
      </c>
      <c r="J28">
        <v>1469</v>
      </c>
      <c r="K28">
        <v>3</v>
      </c>
    </row>
    <row r="29" spans="1:11" x14ac:dyDescent="0.25">
      <c r="A29" s="41" t="s">
        <v>113</v>
      </c>
      <c r="B29" s="41" t="s">
        <v>15</v>
      </c>
      <c r="C29" s="41" t="s">
        <v>12</v>
      </c>
      <c r="D29">
        <v>31</v>
      </c>
      <c r="E29" s="42">
        <v>44450</v>
      </c>
      <c r="F29">
        <v>48950</v>
      </c>
      <c r="G29" s="41" t="s">
        <v>16</v>
      </c>
      <c r="H29" s="41" t="s">
        <v>244</v>
      </c>
      <c r="I29">
        <v>3.0164383561643837</v>
      </c>
      <c r="J29">
        <v>1469</v>
      </c>
      <c r="K29">
        <v>3</v>
      </c>
    </row>
    <row r="30" spans="1:11" x14ac:dyDescent="0.25">
      <c r="A30" s="41" t="s">
        <v>53</v>
      </c>
      <c r="B30" s="41" t="s">
        <v>15</v>
      </c>
      <c r="C30" s="41" t="s">
        <v>21</v>
      </c>
      <c r="D30">
        <v>27</v>
      </c>
      <c r="E30" s="42">
        <v>44567</v>
      </c>
      <c r="F30">
        <v>48980</v>
      </c>
      <c r="G30" s="41" t="s">
        <v>16</v>
      </c>
      <c r="H30" s="41" t="s">
        <v>243</v>
      </c>
      <c r="I30">
        <v>2.6958904109589041</v>
      </c>
      <c r="J30">
        <v>1470</v>
      </c>
      <c r="K30">
        <v>3</v>
      </c>
    </row>
    <row r="31" spans="1:11" x14ac:dyDescent="0.25">
      <c r="A31" s="41" t="s">
        <v>146</v>
      </c>
      <c r="B31" s="41" t="s">
        <v>15</v>
      </c>
      <c r="C31" s="41" t="s">
        <v>21</v>
      </c>
      <c r="D31">
        <v>27</v>
      </c>
      <c r="E31" s="42">
        <v>44506</v>
      </c>
      <c r="F31">
        <v>48980</v>
      </c>
      <c r="G31" s="41" t="s">
        <v>16</v>
      </c>
      <c r="H31" s="41" t="s">
        <v>244</v>
      </c>
      <c r="I31">
        <v>2.8630136986301369</v>
      </c>
      <c r="J31">
        <v>1470</v>
      </c>
      <c r="K31">
        <v>3</v>
      </c>
    </row>
    <row r="32" spans="1:11" x14ac:dyDescent="0.25">
      <c r="A32" s="41" t="s">
        <v>73</v>
      </c>
      <c r="B32" s="41" t="s">
        <v>8</v>
      </c>
      <c r="C32" s="41" t="s">
        <v>19</v>
      </c>
      <c r="D32">
        <v>34</v>
      </c>
      <c r="E32" s="42">
        <v>44721</v>
      </c>
      <c r="F32">
        <v>49630</v>
      </c>
      <c r="G32" s="41" t="s">
        <v>24</v>
      </c>
      <c r="H32" s="41" t="s">
        <v>243</v>
      </c>
      <c r="I32">
        <v>2.2739726027397262</v>
      </c>
      <c r="J32">
        <v>1489</v>
      </c>
      <c r="K32">
        <v>2</v>
      </c>
    </row>
    <row r="33" spans="1:11" x14ac:dyDescent="0.25">
      <c r="A33" s="41" t="s">
        <v>165</v>
      </c>
      <c r="B33" s="41" t="s">
        <v>8</v>
      </c>
      <c r="C33" s="41" t="s">
        <v>19</v>
      </c>
      <c r="D33">
        <v>34</v>
      </c>
      <c r="E33" s="42">
        <v>44660</v>
      </c>
      <c r="F33">
        <v>49630</v>
      </c>
      <c r="G33" s="41" t="s">
        <v>24</v>
      </c>
      <c r="H33" s="41" t="s">
        <v>244</v>
      </c>
      <c r="I33">
        <v>2.441095890410959</v>
      </c>
      <c r="J33">
        <v>1489</v>
      </c>
      <c r="K33">
        <v>2</v>
      </c>
    </row>
    <row r="34" spans="1:11" x14ac:dyDescent="0.25">
      <c r="A34" s="41" t="s">
        <v>63</v>
      </c>
      <c r="B34" s="41" t="s">
        <v>15</v>
      </c>
      <c r="C34" s="41" t="s">
        <v>21</v>
      </c>
      <c r="D34">
        <v>24</v>
      </c>
      <c r="E34" s="42">
        <v>44436</v>
      </c>
      <c r="F34">
        <v>52610</v>
      </c>
      <c r="G34" s="41" t="s">
        <v>24</v>
      </c>
      <c r="H34" s="41" t="s">
        <v>243</v>
      </c>
      <c r="I34">
        <v>3.0547945205479454</v>
      </c>
      <c r="J34">
        <v>1579</v>
      </c>
      <c r="K34">
        <v>2</v>
      </c>
    </row>
    <row r="35" spans="1:11" x14ac:dyDescent="0.25">
      <c r="A35" s="41" t="s">
        <v>155</v>
      </c>
      <c r="B35" s="41" t="s">
        <v>15</v>
      </c>
      <c r="C35" s="41" t="s">
        <v>21</v>
      </c>
      <c r="D35">
        <v>24</v>
      </c>
      <c r="E35" s="42">
        <v>44375</v>
      </c>
      <c r="F35">
        <v>52610</v>
      </c>
      <c r="G35" s="41" t="s">
        <v>24</v>
      </c>
      <c r="H35" s="41" t="s">
        <v>244</v>
      </c>
      <c r="I35">
        <v>3.2219178082191782</v>
      </c>
      <c r="J35">
        <v>1579</v>
      </c>
      <c r="K35">
        <v>2</v>
      </c>
    </row>
    <row r="36" spans="1:11" x14ac:dyDescent="0.25">
      <c r="A36" s="41" t="s">
        <v>75</v>
      </c>
      <c r="B36" s="41" t="s">
        <v>8</v>
      </c>
      <c r="C36" s="41" t="s">
        <v>19</v>
      </c>
      <c r="D36">
        <v>28</v>
      </c>
      <c r="E36" s="42">
        <v>44357</v>
      </c>
      <c r="F36">
        <v>53240</v>
      </c>
      <c r="G36" s="41" t="s">
        <v>16</v>
      </c>
      <c r="H36" s="41" t="s">
        <v>243</v>
      </c>
      <c r="I36">
        <v>3.2712328767123289</v>
      </c>
      <c r="J36">
        <v>1598</v>
      </c>
      <c r="K36">
        <v>3</v>
      </c>
    </row>
    <row r="37" spans="1:11" x14ac:dyDescent="0.25">
      <c r="A37" s="41" t="s">
        <v>167</v>
      </c>
      <c r="B37" s="41" t="s">
        <v>8</v>
      </c>
      <c r="C37" s="41" t="s">
        <v>19</v>
      </c>
      <c r="D37">
        <v>28</v>
      </c>
      <c r="E37" s="42">
        <v>44296</v>
      </c>
      <c r="F37">
        <v>53240</v>
      </c>
      <c r="G37" s="41" t="s">
        <v>16</v>
      </c>
      <c r="H37" s="41" t="s">
        <v>244</v>
      </c>
      <c r="I37">
        <v>3.4383561643835616</v>
      </c>
      <c r="J37">
        <v>1598</v>
      </c>
      <c r="K37">
        <v>3</v>
      </c>
    </row>
    <row r="38" spans="1:11" x14ac:dyDescent="0.25">
      <c r="A38" s="41" t="s">
        <v>65</v>
      </c>
      <c r="B38" s="41" t="s">
        <v>15</v>
      </c>
      <c r="C38" s="41" t="s">
        <v>19</v>
      </c>
      <c r="D38">
        <v>32</v>
      </c>
      <c r="E38" s="42">
        <v>44465</v>
      </c>
      <c r="F38">
        <v>53540</v>
      </c>
      <c r="G38" s="41" t="s">
        <v>16</v>
      </c>
      <c r="H38" s="41" t="s">
        <v>243</v>
      </c>
      <c r="I38">
        <v>2.9753424657534246</v>
      </c>
      <c r="J38">
        <v>1607</v>
      </c>
      <c r="K38">
        <v>3</v>
      </c>
    </row>
    <row r="39" spans="1:11" x14ac:dyDescent="0.25">
      <c r="A39" s="41" t="s">
        <v>46</v>
      </c>
      <c r="B39" s="41" t="s">
        <v>15</v>
      </c>
      <c r="C39" s="41" t="s">
        <v>9</v>
      </c>
      <c r="D39">
        <v>26</v>
      </c>
      <c r="E39" s="42">
        <v>44411</v>
      </c>
      <c r="F39">
        <v>53540</v>
      </c>
      <c r="G39" s="41" t="s">
        <v>16</v>
      </c>
      <c r="H39" s="41" t="s">
        <v>243</v>
      </c>
      <c r="I39">
        <v>3.1232876712328768</v>
      </c>
      <c r="J39">
        <v>1607</v>
      </c>
      <c r="K39">
        <v>3</v>
      </c>
    </row>
    <row r="40" spans="1:11" x14ac:dyDescent="0.25">
      <c r="A40" s="41" t="s">
        <v>157</v>
      </c>
      <c r="B40" s="41" t="s">
        <v>15</v>
      </c>
      <c r="C40" s="41" t="s">
        <v>19</v>
      </c>
      <c r="D40">
        <v>32</v>
      </c>
      <c r="E40" s="42">
        <v>44403</v>
      </c>
      <c r="F40">
        <v>53540</v>
      </c>
      <c r="G40" s="41" t="s">
        <v>16</v>
      </c>
      <c r="H40" s="41" t="s">
        <v>244</v>
      </c>
      <c r="I40">
        <v>3.1452054794520548</v>
      </c>
      <c r="J40">
        <v>1607</v>
      </c>
      <c r="K40">
        <v>3</v>
      </c>
    </row>
    <row r="41" spans="1:11" x14ac:dyDescent="0.25">
      <c r="A41" s="41" t="s">
        <v>139</v>
      </c>
      <c r="B41" s="41" t="s">
        <v>15</v>
      </c>
      <c r="C41" s="41" t="s">
        <v>9</v>
      </c>
      <c r="D41">
        <v>26</v>
      </c>
      <c r="E41" s="42">
        <v>44350</v>
      </c>
      <c r="F41">
        <v>53540</v>
      </c>
      <c r="G41" s="41" t="s">
        <v>16</v>
      </c>
      <c r="H41" s="41" t="s">
        <v>244</v>
      </c>
      <c r="I41">
        <v>3.2904109589041095</v>
      </c>
      <c r="J41">
        <v>1607</v>
      </c>
      <c r="K41">
        <v>3</v>
      </c>
    </row>
    <row r="42" spans="1:11" x14ac:dyDescent="0.25">
      <c r="A42" s="41" t="s">
        <v>82</v>
      </c>
      <c r="B42" s="41" t="s">
        <v>15</v>
      </c>
      <c r="C42" s="41" t="s">
        <v>12</v>
      </c>
      <c r="D42">
        <v>33</v>
      </c>
      <c r="E42" s="42">
        <v>44509</v>
      </c>
      <c r="F42">
        <v>53870</v>
      </c>
      <c r="G42" s="41" t="s">
        <v>16</v>
      </c>
      <c r="H42" s="41" t="s">
        <v>243</v>
      </c>
      <c r="I42">
        <v>2.8547945205479452</v>
      </c>
      <c r="J42">
        <v>1617</v>
      </c>
      <c r="K42">
        <v>3</v>
      </c>
    </row>
    <row r="43" spans="1:11" x14ac:dyDescent="0.25">
      <c r="A43" s="41" t="s">
        <v>174</v>
      </c>
      <c r="B43" s="41" t="s">
        <v>15</v>
      </c>
      <c r="C43" s="41" t="s">
        <v>12</v>
      </c>
      <c r="D43">
        <v>33</v>
      </c>
      <c r="E43" s="42">
        <v>44448</v>
      </c>
      <c r="F43">
        <v>53870</v>
      </c>
      <c r="G43" s="41" t="s">
        <v>16</v>
      </c>
      <c r="H43" s="41" t="s">
        <v>244</v>
      </c>
      <c r="I43">
        <v>3.021917808219178</v>
      </c>
      <c r="J43">
        <v>1617</v>
      </c>
      <c r="K43">
        <v>3</v>
      </c>
    </row>
    <row r="44" spans="1:11" x14ac:dyDescent="0.25">
      <c r="A44" s="41" t="s">
        <v>89</v>
      </c>
      <c r="B44" s="41" t="s">
        <v>15</v>
      </c>
      <c r="C44" s="41" t="s">
        <v>19</v>
      </c>
      <c r="D44">
        <v>27</v>
      </c>
      <c r="E44" s="42">
        <v>44134</v>
      </c>
      <c r="F44">
        <v>54970</v>
      </c>
      <c r="G44" s="41" t="s">
        <v>16</v>
      </c>
      <c r="H44" s="41" t="s">
        <v>243</v>
      </c>
      <c r="I44">
        <v>3.882191780821918</v>
      </c>
      <c r="J44">
        <v>1650</v>
      </c>
      <c r="K44">
        <v>3</v>
      </c>
    </row>
    <row r="45" spans="1:11" x14ac:dyDescent="0.25">
      <c r="A45" s="41" t="s">
        <v>182</v>
      </c>
      <c r="B45" s="41" t="s">
        <v>15</v>
      </c>
      <c r="C45" s="41" t="s">
        <v>19</v>
      </c>
      <c r="D45">
        <v>27</v>
      </c>
      <c r="E45" s="42">
        <v>44073</v>
      </c>
      <c r="F45">
        <v>54970</v>
      </c>
      <c r="G45" s="41" t="s">
        <v>16</v>
      </c>
      <c r="H45" s="41" t="s">
        <v>244</v>
      </c>
      <c r="I45">
        <v>4.0493150684931507</v>
      </c>
      <c r="J45">
        <v>1650</v>
      </c>
      <c r="K45">
        <v>3</v>
      </c>
    </row>
    <row r="46" spans="1:11" x14ac:dyDescent="0.25">
      <c r="A46" s="41" t="s">
        <v>109</v>
      </c>
      <c r="B46" s="41" t="s">
        <v>8</v>
      </c>
      <c r="C46" s="41" t="s">
        <v>19</v>
      </c>
      <c r="D46">
        <v>38</v>
      </c>
      <c r="E46" s="42">
        <v>44329</v>
      </c>
      <c r="F46">
        <v>56870</v>
      </c>
      <c r="G46" s="41" t="s">
        <v>13</v>
      </c>
      <c r="H46" s="41" t="s">
        <v>243</v>
      </c>
      <c r="I46">
        <v>3.3479452054794518</v>
      </c>
      <c r="J46">
        <v>1707</v>
      </c>
      <c r="K46">
        <v>4</v>
      </c>
    </row>
    <row r="47" spans="1:11" x14ac:dyDescent="0.25">
      <c r="A47" s="41" t="s">
        <v>202</v>
      </c>
      <c r="B47" s="41" t="s">
        <v>8</v>
      </c>
      <c r="C47" s="41" t="s">
        <v>19</v>
      </c>
      <c r="D47">
        <v>38</v>
      </c>
      <c r="E47" s="42">
        <v>44268</v>
      </c>
      <c r="F47">
        <v>56870</v>
      </c>
      <c r="G47" s="41" t="s">
        <v>13</v>
      </c>
      <c r="H47" s="41" t="s">
        <v>244</v>
      </c>
      <c r="I47">
        <v>3.515068493150685</v>
      </c>
      <c r="J47">
        <v>1707</v>
      </c>
      <c r="K47">
        <v>4</v>
      </c>
    </row>
    <row r="48" spans="1:11" x14ac:dyDescent="0.25">
      <c r="A48" s="41" t="s">
        <v>31</v>
      </c>
      <c r="B48" s="41" t="s">
        <v>15</v>
      </c>
      <c r="C48" s="41" t="s">
        <v>9</v>
      </c>
      <c r="D48">
        <v>21</v>
      </c>
      <c r="E48" s="42">
        <v>44762</v>
      </c>
      <c r="F48">
        <v>57090</v>
      </c>
      <c r="G48" s="41" t="s">
        <v>16</v>
      </c>
      <c r="H48" s="41" t="s">
        <v>243</v>
      </c>
      <c r="I48">
        <v>2.1616438356164385</v>
      </c>
      <c r="J48">
        <v>1713</v>
      </c>
      <c r="K48">
        <v>3</v>
      </c>
    </row>
    <row r="49" spans="1:11" x14ac:dyDescent="0.25">
      <c r="A49" s="41" t="s">
        <v>125</v>
      </c>
      <c r="B49" s="41" t="s">
        <v>15</v>
      </c>
      <c r="C49" s="41" t="s">
        <v>9</v>
      </c>
      <c r="D49">
        <v>21</v>
      </c>
      <c r="E49" s="42">
        <v>44701</v>
      </c>
      <c r="F49">
        <v>57090</v>
      </c>
      <c r="G49" s="41" t="s">
        <v>16</v>
      </c>
      <c r="H49" s="41" t="s">
        <v>244</v>
      </c>
      <c r="I49">
        <v>2.3287671232876712</v>
      </c>
      <c r="J49">
        <v>1713</v>
      </c>
      <c r="K49">
        <v>3</v>
      </c>
    </row>
    <row r="50" spans="1:11" x14ac:dyDescent="0.25">
      <c r="A50" s="41" t="s">
        <v>26</v>
      </c>
      <c r="B50" s="41" t="s">
        <v>8</v>
      </c>
      <c r="C50" s="41" t="s">
        <v>12</v>
      </c>
      <c r="D50">
        <v>31</v>
      </c>
      <c r="E50" s="42">
        <v>44663</v>
      </c>
      <c r="F50">
        <v>58100</v>
      </c>
      <c r="G50" s="41" t="s">
        <v>16</v>
      </c>
      <c r="H50" s="41" t="s">
        <v>243</v>
      </c>
      <c r="I50">
        <v>2.4328767123287673</v>
      </c>
      <c r="J50">
        <v>1743</v>
      </c>
      <c r="K50">
        <v>3</v>
      </c>
    </row>
    <row r="51" spans="1:11" x14ac:dyDescent="0.25">
      <c r="A51" s="41" t="s">
        <v>120</v>
      </c>
      <c r="B51" s="41" t="s">
        <v>8</v>
      </c>
      <c r="C51" s="41" t="s">
        <v>12</v>
      </c>
      <c r="D51">
        <v>31</v>
      </c>
      <c r="E51" s="42">
        <v>44604</v>
      </c>
      <c r="F51">
        <v>58100</v>
      </c>
      <c r="G51" s="41" t="s">
        <v>16</v>
      </c>
      <c r="H51" s="41" t="s">
        <v>244</v>
      </c>
      <c r="I51">
        <v>2.5945205479452054</v>
      </c>
      <c r="J51">
        <v>1743</v>
      </c>
      <c r="K51">
        <v>3</v>
      </c>
    </row>
    <row r="52" spans="1:11" x14ac:dyDescent="0.25">
      <c r="A52" s="41" t="s">
        <v>36</v>
      </c>
      <c r="B52" s="41" t="s">
        <v>8</v>
      </c>
      <c r="C52" s="41" t="s">
        <v>21</v>
      </c>
      <c r="D52">
        <v>34</v>
      </c>
      <c r="E52" s="42">
        <v>44653</v>
      </c>
      <c r="F52">
        <v>58940</v>
      </c>
      <c r="G52" s="41" t="s">
        <v>16</v>
      </c>
      <c r="H52" s="41" t="s">
        <v>243</v>
      </c>
      <c r="I52">
        <v>2.4602739726027396</v>
      </c>
      <c r="J52">
        <v>1769</v>
      </c>
      <c r="K52">
        <v>3</v>
      </c>
    </row>
    <row r="53" spans="1:11" x14ac:dyDescent="0.25">
      <c r="A53" s="41" t="s">
        <v>130</v>
      </c>
      <c r="B53" s="41" t="s">
        <v>8</v>
      </c>
      <c r="C53" s="41" t="s">
        <v>21</v>
      </c>
      <c r="D53">
        <v>34</v>
      </c>
      <c r="E53" s="42">
        <v>44594</v>
      </c>
      <c r="F53">
        <v>58940</v>
      </c>
      <c r="G53" s="41" t="s">
        <v>16</v>
      </c>
      <c r="H53" s="41" t="s">
        <v>244</v>
      </c>
      <c r="I53">
        <v>2.6219178082191781</v>
      </c>
      <c r="J53">
        <v>1769</v>
      </c>
      <c r="K53">
        <v>3</v>
      </c>
    </row>
    <row r="54" spans="1:11" x14ac:dyDescent="0.25">
      <c r="A54" s="41" t="s">
        <v>100</v>
      </c>
      <c r="B54" s="41" t="s">
        <v>15</v>
      </c>
      <c r="C54" s="41" t="s">
        <v>9</v>
      </c>
      <c r="D54">
        <v>19</v>
      </c>
      <c r="E54" s="42">
        <v>44277</v>
      </c>
      <c r="F54">
        <v>58960</v>
      </c>
      <c r="G54" s="41" t="s">
        <v>16</v>
      </c>
      <c r="H54" s="41" t="s">
        <v>243</v>
      </c>
      <c r="I54">
        <v>3.4904109589041097</v>
      </c>
      <c r="J54">
        <v>1769</v>
      </c>
      <c r="K54">
        <v>3</v>
      </c>
    </row>
    <row r="55" spans="1:11" x14ac:dyDescent="0.25">
      <c r="A55" s="41" t="s">
        <v>193</v>
      </c>
      <c r="B55" s="41" t="s">
        <v>15</v>
      </c>
      <c r="C55" s="41" t="s">
        <v>9</v>
      </c>
      <c r="D55">
        <v>19</v>
      </c>
      <c r="E55" s="42">
        <v>44218</v>
      </c>
      <c r="F55">
        <v>58960</v>
      </c>
      <c r="G55" s="41" t="s">
        <v>16</v>
      </c>
      <c r="H55" s="41" t="s">
        <v>244</v>
      </c>
      <c r="I55">
        <v>3.6520547945205482</v>
      </c>
      <c r="J55">
        <v>1769</v>
      </c>
      <c r="K55">
        <v>3</v>
      </c>
    </row>
    <row r="56" spans="1:11" x14ac:dyDescent="0.25">
      <c r="A56" s="41" t="s">
        <v>79</v>
      </c>
      <c r="B56" s="41" t="s">
        <v>15</v>
      </c>
      <c r="C56" s="41" t="s">
        <v>21</v>
      </c>
      <c r="D56">
        <v>33</v>
      </c>
      <c r="E56" s="42">
        <v>44243</v>
      </c>
      <c r="F56">
        <v>59430</v>
      </c>
      <c r="G56" s="41" t="s">
        <v>16</v>
      </c>
      <c r="H56" s="41" t="s">
        <v>243</v>
      </c>
      <c r="I56">
        <v>3.5835616438356164</v>
      </c>
      <c r="J56">
        <v>1783</v>
      </c>
      <c r="K56">
        <v>3</v>
      </c>
    </row>
    <row r="57" spans="1:11" x14ac:dyDescent="0.25">
      <c r="A57" s="41" t="s">
        <v>171</v>
      </c>
      <c r="B57" s="41" t="s">
        <v>15</v>
      </c>
      <c r="C57" s="41" t="s">
        <v>21</v>
      </c>
      <c r="D57">
        <v>33</v>
      </c>
      <c r="E57" s="42">
        <v>44181</v>
      </c>
      <c r="F57">
        <v>59430</v>
      </c>
      <c r="G57" s="41" t="s">
        <v>16</v>
      </c>
      <c r="H57" s="41" t="s">
        <v>244</v>
      </c>
      <c r="I57">
        <v>3.7534246575342465</v>
      </c>
      <c r="J57">
        <v>1783</v>
      </c>
      <c r="K57">
        <v>3</v>
      </c>
    </row>
    <row r="58" spans="1:11" x14ac:dyDescent="0.25">
      <c r="A58" s="41" t="s">
        <v>38</v>
      </c>
      <c r="B58" s="41" t="s">
        <v>8</v>
      </c>
      <c r="C58" s="41" t="s">
        <v>21</v>
      </c>
      <c r="D58">
        <v>34</v>
      </c>
      <c r="E58" s="42">
        <v>44612</v>
      </c>
      <c r="F58">
        <v>60130</v>
      </c>
      <c r="G58" s="41" t="s">
        <v>16</v>
      </c>
      <c r="H58" s="41" t="s">
        <v>243</v>
      </c>
      <c r="I58">
        <v>2.5726027397260274</v>
      </c>
      <c r="J58">
        <v>1804</v>
      </c>
      <c r="K58">
        <v>3</v>
      </c>
    </row>
    <row r="59" spans="1:11" x14ac:dyDescent="0.25">
      <c r="A59" s="41" t="s">
        <v>132</v>
      </c>
      <c r="B59" s="41" t="s">
        <v>8</v>
      </c>
      <c r="C59" s="41" t="s">
        <v>21</v>
      </c>
      <c r="D59">
        <v>34</v>
      </c>
      <c r="E59" s="42">
        <v>44550</v>
      </c>
      <c r="F59">
        <v>60130</v>
      </c>
      <c r="G59" s="41" t="s">
        <v>16</v>
      </c>
      <c r="H59" s="41" t="s">
        <v>244</v>
      </c>
      <c r="I59">
        <v>2.7424657534246575</v>
      </c>
      <c r="J59">
        <v>1804</v>
      </c>
      <c r="K59">
        <v>3</v>
      </c>
    </row>
    <row r="60" spans="1:11" x14ac:dyDescent="0.25">
      <c r="A60" s="41" t="s">
        <v>37</v>
      </c>
      <c r="B60" s="41" t="s">
        <v>15</v>
      </c>
      <c r="C60" s="41" t="s">
        <v>9</v>
      </c>
      <c r="D60">
        <v>30</v>
      </c>
      <c r="E60" s="42">
        <v>44666</v>
      </c>
      <c r="F60">
        <v>60570</v>
      </c>
      <c r="G60" s="41" t="s">
        <v>16</v>
      </c>
      <c r="H60" s="41" t="s">
        <v>243</v>
      </c>
      <c r="I60">
        <v>2.4246575342465753</v>
      </c>
      <c r="J60">
        <v>1818</v>
      </c>
      <c r="K60">
        <v>3</v>
      </c>
    </row>
    <row r="61" spans="1:11" x14ac:dyDescent="0.25">
      <c r="A61" s="41" t="s">
        <v>131</v>
      </c>
      <c r="B61" s="41" t="s">
        <v>15</v>
      </c>
      <c r="C61" s="41" t="s">
        <v>9</v>
      </c>
      <c r="D61">
        <v>30</v>
      </c>
      <c r="E61" s="42">
        <v>44607</v>
      </c>
      <c r="F61">
        <v>60570</v>
      </c>
      <c r="G61" s="41" t="s">
        <v>16</v>
      </c>
      <c r="H61" s="41" t="s">
        <v>244</v>
      </c>
      <c r="I61">
        <v>2.5863013698630137</v>
      </c>
      <c r="J61">
        <v>1818</v>
      </c>
      <c r="K61">
        <v>3</v>
      </c>
    </row>
    <row r="62" spans="1:11" x14ac:dyDescent="0.25">
      <c r="A62" s="41" t="s">
        <v>61</v>
      </c>
      <c r="B62" s="41" t="s">
        <v>8</v>
      </c>
      <c r="C62" s="41" t="s">
        <v>12</v>
      </c>
      <c r="D62">
        <v>24</v>
      </c>
      <c r="E62" s="42">
        <v>44148</v>
      </c>
      <c r="F62">
        <v>62780</v>
      </c>
      <c r="G62" s="41" t="s">
        <v>16</v>
      </c>
      <c r="H62" s="41" t="s">
        <v>243</v>
      </c>
      <c r="I62">
        <v>3.8438356164383563</v>
      </c>
      <c r="J62">
        <v>1884</v>
      </c>
      <c r="K62">
        <v>3</v>
      </c>
    </row>
    <row r="63" spans="1:11" x14ac:dyDescent="0.25">
      <c r="A63" s="41" t="s">
        <v>153</v>
      </c>
      <c r="B63" s="41" t="s">
        <v>8</v>
      </c>
      <c r="C63" s="41" t="s">
        <v>12</v>
      </c>
      <c r="D63">
        <v>24</v>
      </c>
      <c r="E63" s="42">
        <v>44087</v>
      </c>
      <c r="F63">
        <v>62780</v>
      </c>
      <c r="G63" s="41" t="s">
        <v>16</v>
      </c>
      <c r="H63" s="41" t="s">
        <v>244</v>
      </c>
      <c r="I63">
        <v>4.0109589041095894</v>
      </c>
      <c r="J63">
        <v>1884</v>
      </c>
      <c r="K63">
        <v>3</v>
      </c>
    </row>
    <row r="64" spans="1:11" x14ac:dyDescent="0.25">
      <c r="A64" s="41" t="s">
        <v>20</v>
      </c>
      <c r="B64" s="41" t="s">
        <v>208</v>
      </c>
      <c r="C64" s="41" t="s">
        <v>21</v>
      </c>
      <c r="D64">
        <v>30</v>
      </c>
      <c r="E64" s="42">
        <v>44597</v>
      </c>
      <c r="F64">
        <v>64000</v>
      </c>
      <c r="G64" s="41" t="s">
        <v>16</v>
      </c>
      <c r="H64" s="41" t="s">
        <v>243</v>
      </c>
      <c r="I64">
        <v>2.6136986301369864</v>
      </c>
      <c r="J64">
        <v>1920</v>
      </c>
      <c r="K64">
        <v>3</v>
      </c>
    </row>
    <row r="65" spans="1:11" x14ac:dyDescent="0.25">
      <c r="A65" s="41" t="s">
        <v>116</v>
      </c>
      <c r="B65" s="41" t="s">
        <v>208</v>
      </c>
      <c r="C65" s="41" t="s">
        <v>21</v>
      </c>
      <c r="D65">
        <v>30</v>
      </c>
      <c r="E65" s="42">
        <v>44535</v>
      </c>
      <c r="F65">
        <v>64000</v>
      </c>
      <c r="G65" s="41" t="s">
        <v>16</v>
      </c>
      <c r="H65" s="41" t="s">
        <v>244</v>
      </c>
      <c r="I65">
        <v>2.7835616438356166</v>
      </c>
      <c r="J65">
        <v>1920</v>
      </c>
      <c r="K65">
        <v>3</v>
      </c>
    </row>
    <row r="66" spans="1:11" x14ac:dyDescent="0.25">
      <c r="A66" s="41" t="s">
        <v>93</v>
      </c>
      <c r="B66" s="41" t="s">
        <v>8</v>
      </c>
      <c r="C66" s="41" t="s">
        <v>21</v>
      </c>
      <c r="D66">
        <v>33</v>
      </c>
      <c r="E66" s="42">
        <v>44067</v>
      </c>
      <c r="F66">
        <v>65360</v>
      </c>
      <c r="G66" s="41" t="s">
        <v>16</v>
      </c>
      <c r="H66" s="41" t="s">
        <v>243</v>
      </c>
      <c r="I66">
        <v>4.065753424657534</v>
      </c>
      <c r="J66">
        <v>1961</v>
      </c>
      <c r="K66">
        <v>3</v>
      </c>
    </row>
    <row r="67" spans="1:11" x14ac:dyDescent="0.25">
      <c r="A67" s="41" t="s">
        <v>186</v>
      </c>
      <c r="B67" s="41" t="s">
        <v>8</v>
      </c>
      <c r="C67" s="41" t="s">
        <v>21</v>
      </c>
      <c r="D67">
        <v>33</v>
      </c>
      <c r="E67" s="42">
        <v>44006</v>
      </c>
      <c r="F67">
        <v>65360</v>
      </c>
      <c r="G67" s="41" t="s">
        <v>16</v>
      </c>
      <c r="H67" s="41" t="s">
        <v>244</v>
      </c>
      <c r="I67">
        <v>4.2328767123287667</v>
      </c>
      <c r="J67">
        <v>1961</v>
      </c>
      <c r="K67">
        <v>3</v>
      </c>
    </row>
    <row r="68" spans="1:11" x14ac:dyDescent="0.25">
      <c r="A68" s="41" t="s">
        <v>76</v>
      </c>
      <c r="B68" s="41" t="s">
        <v>15</v>
      </c>
      <c r="C68" s="41" t="s">
        <v>19</v>
      </c>
      <c r="D68">
        <v>25</v>
      </c>
      <c r="E68" s="42">
        <v>44383</v>
      </c>
      <c r="F68">
        <v>65700</v>
      </c>
      <c r="G68" s="41" t="s">
        <v>16</v>
      </c>
      <c r="H68" s="41" t="s">
        <v>243</v>
      </c>
      <c r="I68">
        <v>3.2</v>
      </c>
      <c r="J68">
        <v>1971</v>
      </c>
      <c r="K68">
        <v>3</v>
      </c>
    </row>
    <row r="69" spans="1:11" x14ac:dyDescent="0.25">
      <c r="A69" s="41" t="s">
        <v>168</v>
      </c>
      <c r="B69" s="41" t="s">
        <v>15</v>
      </c>
      <c r="C69" s="41" t="s">
        <v>19</v>
      </c>
      <c r="D69">
        <v>25</v>
      </c>
      <c r="E69" s="42">
        <v>44322</v>
      </c>
      <c r="F69">
        <v>65700</v>
      </c>
      <c r="G69" s="41" t="s">
        <v>16</v>
      </c>
      <c r="H69" s="41" t="s">
        <v>244</v>
      </c>
      <c r="I69">
        <v>3.3671232876712329</v>
      </c>
      <c r="J69">
        <v>1971</v>
      </c>
      <c r="K69">
        <v>3</v>
      </c>
    </row>
    <row r="70" spans="1:11" x14ac:dyDescent="0.25">
      <c r="A70" s="41" t="s">
        <v>32</v>
      </c>
      <c r="B70" s="41" t="s">
        <v>8</v>
      </c>
      <c r="C70" s="41" t="s">
        <v>21</v>
      </c>
      <c r="D70">
        <v>21</v>
      </c>
      <c r="E70" s="42">
        <v>44317</v>
      </c>
      <c r="F70">
        <v>65920</v>
      </c>
      <c r="G70" s="41" t="s">
        <v>16</v>
      </c>
      <c r="H70" s="41" t="s">
        <v>243</v>
      </c>
      <c r="I70">
        <v>3.3808219178082193</v>
      </c>
      <c r="J70">
        <v>1978</v>
      </c>
      <c r="K70">
        <v>3</v>
      </c>
    </row>
    <row r="71" spans="1:11" x14ac:dyDescent="0.25">
      <c r="A71" s="41" t="s">
        <v>126</v>
      </c>
      <c r="B71" s="41" t="s">
        <v>8</v>
      </c>
      <c r="C71" s="41" t="s">
        <v>21</v>
      </c>
      <c r="D71">
        <v>21</v>
      </c>
      <c r="E71" s="42">
        <v>44256</v>
      </c>
      <c r="F71">
        <v>65920</v>
      </c>
      <c r="G71" s="41" t="s">
        <v>16</v>
      </c>
      <c r="H71" s="41" t="s">
        <v>244</v>
      </c>
      <c r="I71">
        <v>3.547945205479452</v>
      </c>
      <c r="J71">
        <v>1978</v>
      </c>
      <c r="K71">
        <v>3</v>
      </c>
    </row>
    <row r="72" spans="1:11" x14ac:dyDescent="0.25">
      <c r="A72" s="41" t="s">
        <v>27</v>
      </c>
      <c r="B72" s="41" t="s">
        <v>8</v>
      </c>
      <c r="C72" s="41" t="s">
        <v>21</v>
      </c>
      <c r="D72">
        <v>30</v>
      </c>
      <c r="E72" s="42">
        <v>44389</v>
      </c>
      <c r="F72">
        <v>67910</v>
      </c>
      <c r="G72" s="41" t="s">
        <v>24</v>
      </c>
      <c r="H72" s="41" t="s">
        <v>243</v>
      </c>
      <c r="I72">
        <v>3.1835616438356165</v>
      </c>
      <c r="J72">
        <v>2038</v>
      </c>
      <c r="K72">
        <v>2</v>
      </c>
    </row>
    <row r="73" spans="1:11" x14ac:dyDescent="0.25">
      <c r="A73" s="41" t="s">
        <v>121</v>
      </c>
      <c r="B73" s="41" t="s">
        <v>8</v>
      </c>
      <c r="C73" s="41" t="s">
        <v>21</v>
      </c>
      <c r="D73">
        <v>30</v>
      </c>
      <c r="E73" s="42">
        <v>44328</v>
      </c>
      <c r="F73">
        <v>67910</v>
      </c>
      <c r="G73" s="41" t="s">
        <v>24</v>
      </c>
      <c r="H73" s="41" t="s">
        <v>244</v>
      </c>
      <c r="I73">
        <v>3.3506849315068492</v>
      </c>
      <c r="J73">
        <v>2038</v>
      </c>
      <c r="K73">
        <v>2</v>
      </c>
    </row>
    <row r="74" spans="1:11" x14ac:dyDescent="0.25">
      <c r="A74" s="41" t="s">
        <v>45</v>
      </c>
      <c r="B74" s="41" t="s">
        <v>15</v>
      </c>
      <c r="C74" s="41" t="s">
        <v>9</v>
      </c>
      <c r="D74">
        <v>30</v>
      </c>
      <c r="E74" s="42">
        <v>44701</v>
      </c>
      <c r="F74">
        <v>67950</v>
      </c>
      <c r="G74" s="41" t="s">
        <v>16</v>
      </c>
      <c r="H74" s="41" t="s">
        <v>243</v>
      </c>
      <c r="I74">
        <v>2.3287671232876712</v>
      </c>
      <c r="J74">
        <v>2039</v>
      </c>
      <c r="K74">
        <v>3</v>
      </c>
    </row>
    <row r="75" spans="1:11" x14ac:dyDescent="0.25">
      <c r="A75" s="41" t="s">
        <v>138</v>
      </c>
      <c r="B75" s="41" t="s">
        <v>15</v>
      </c>
      <c r="C75" s="41" t="s">
        <v>9</v>
      </c>
      <c r="D75">
        <v>30</v>
      </c>
      <c r="E75" s="42">
        <v>44640</v>
      </c>
      <c r="F75">
        <v>67950</v>
      </c>
      <c r="G75" s="41" t="s">
        <v>16</v>
      </c>
      <c r="H75" s="41" t="s">
        <v>244</v>
      </c>
      <c r="I75">
        <v>2.495890410958904</v>
      </c>
      <c r="J75">
        <v>2039</v>
      </c>
      <c r="K75">
        <v>3</v>
      </c>
    </row>
    <row r="76" spans="1:11" x14ac:dyDescent="0.25">
      <c r="A76" s="41" t="s">
        <v>91</v>
      </c>
      <c r="B76" s="41" t="s">
        <v>8</v>
      </c>
      <c r="C76" s="41" t="s">
        <v>19</v>
      </c>
      <c r="D76">
        <v>20</v>
      </c>
      <c r="E76" s="42">
        <v>44537</v>
      </c>
      <c r="F76">
        <v>68900</v>
      </c>
      <c r="G76" s="41" t="s">
        <v>24</v>
      </c>
      <c r="H76" s="41" t="s">
        <v>243</v>
      </c>
      <c r="I76">
        <v>2.7780821917808218</v>
      </c>
      <c r="J76">
        <v>2067</v>
      </c>
      <c r="K76">
        <v>2</v>
      </c>
    </row>
    <row r="77" spans="1:11" x14ac:dyDescent="0.25">
      <c r="A77" s="41" t="s">
        <v>184</v>
      </c>
      <c r="B77" s="41" t="s">
        <v>8</v>
      </c>
      <c r="C77" s="41" t="s">
        <v>19</v>
      </c>
      <c r="D77">
        <v>20</v>
      </c>
      <c r="E77" s="42">
        <v>44476</v>
      </c>
      <c r="F77">
        <v>68900</v>
      </c>
      <c r="G77" s="41" t="s">
        <v>24</v>
      </c>
      <c r="H77" s="41" t="s">
        <v>244</v>
      </c>
      <c r="I77">
        <v>2.9452054794520546</v>
      </c>
      <c r="J77">
        <v>2067</v>
      </c>
      <c r="K77">
        <v>2</v>
      </c>
    </row>
    <row r="78" spans="1:11" x14ac:dyDescent="0.25">
      <c r="A78" s="41" t="s">
        <v>97</v>
      </c>
      <c r="B78" s="41" t="s">
        <v>15</v>
      </c>
      <c r="C78" s="41" t="s">
        <v>12</v>
      </c>
      <c r="D78">
        <v>37</v>
      </c>
      <c r="E78" s="42">
        <v>44701</v>
      </c>
      <c r="F78">
        <v>69070</v>
      </c>
      <c r="G78" s="41" t="s">
        <v>16</v>
      </c>
      <c r="H78" s="41" t="s">
        <v>243</v>
      </c>
      <c r="I78">
        <v>2.3287671232876712</v>
      </c>
      <c r="J78">
        <v>2073</v>
      </c>
      <c r="K78">
        <v>3</v>
      </c>
    </row>
    <row r="79" spans="1:11" x14ac:dyDescent="0.25">
      <c r="A79" s="41" t="s">
        <v>190</v>
      </c>
      <c r="B79" s="41" t="s">
        <v>15</v>
      </c>
      <c r="C79" s="41" t="s">
        <v>12</v>
      </c>
      <c r="D79">
        <v>37</v>
      </c>
      <c r="E79" s="42">
        <v>44640</v>
      </c>
      <c r="F79">
        <v>69070</v>
      </c>
      <c r="G79" s="41" t="s">
        <v>16</v>
      </c>
      <c r="H79" s="41" t="s">
        <v>244</v>
      </c>
      <c r="I79">
        <v>2.495890410958904</v>
      </c>
      <c r="J79">
        <v>2073</v>
      </c>
      <c r="K79">
        <v>3</v>
      </c>
    </row>
    <row r="80" spans="1:11" x14ac:dyDescent="0.25">
      <c r="A80" s="41" t="s">
        <v>25</v>
      </c>
      <c r="B80" s="41" t="s">
        <v>15</v>
      </c>
      <c r="C80" s="41" t="s">
        <v>12</v>
      </c>
      <c r="D80">
        <v>30</v>
      </c>
      <c r="E80" s="42">
        <v>44273</v>
      </c>
      <c r="F80">
        <v>69120</v>
      </c>
      <c r="G80" s="41" t="s">
        <v>16</v>
      </c>
      <c r="H80" s="41" t="s">
        <v>243</v>
      </c>
      <c r="I80">
        <v>3.5013698630136987</v>
      </c>
      <c r="J80">
        <v>2074</v>
      </c>
      <c r="K80">
        <v>3</v>
      </c>
    </row>
    <row r="81" spans="1:11" x14ac:dyDescent="0.25">
      <c r="A81" s="41" t="s">
        <v>119</v>
      </c>
      <c r="B81" s="41" t="s">
        <v>15</v>
      </c>
      <c r="C81" s="41" t="s">
        <v>12</v>
      </c>
      <c r="D81">
        <v>30</v>
      </c>
      <c r="E81" s="42">
        <v>44214</v>
      </c>
      <c r="F81">
        <v>69120</v>
      </c>
      <c r="G81" s="41" t="s">
        <v>16</v>
      </c>
      <c r="H81" s="41" t="s">
        <v>244</v>
      </c>
      <c r="I81">
        <v>3.6630136986301371</v>
      </c>
      <c r="J81">
        <v>2074</v>
      </c>
      <c r="K81">
        <v>3</v>
      </c>
    </row>
    <row r="82" spans="1:11" x14ac:dyDescent="0.25">
      <c r="A82" s="41" t="s">
        <v>67</v>
      </c>
      <c r="B82" s="41" t="s">
        <v>15</v>
      </c>
      <c r="C82" s="41" t="s">
        <v>12</v>
      </c>
      <c r="D82">
        <v>30</v>
      </c>
      <c r="E82" s="42">
        <v>44850</v>
      </c>
      <c r="F82">
        <v>69710</v>
      </c>
      <c r="G82" s="41" t="s">
        <v>16</v>
      </c>
      <c r="H82" s="41" t="s">
        <v>243</v>
      </c>
      <c r="I82">
        <v>1.9205479452054794</v>
      </c>
      <c r="J82">
        <v>1395</v>
      </c>
      <c r="K82">
        <v>3</v>
      </c>
    </row>
    <row r="83" spans="1:11" x14ac:dyDescent="0.25">
      <c r="A83" s="41" t="s">
        <v>159</v>
      </c>
      <c r="B83" s="41" t="s">
        <v>15</v>
      </c>
      <c r="C83" s="41" t="s">
        <v>12</v>
      </c>
      <c r="D83">
        <v>30</v>
      </c>
      <c r="E83" s="42">
        <v>44789</v>
      </c>
      <c r="F83">
        <v>69710</v>
      </c>
      <c r="G83" s="41" t="s">
        <v>16</v>
      </c>
      <c r="H83" s="41" t="s">
        <v>244</v>
      </c>
      <c r="I83">
        <v>2.0876712328767124</v>
      </c>
      <c r="J83">
        <v>2092</v>
      </c>
      <c r="K83">
        <v>3</v>
      </c>
    </row>
    <row r="84" spans="1:11" x14ac:dyDescent="0.25">
      <c r="A84" s="41" t="s">
        <v>90</v>
      </c>
      <c r="B84" s="41" t="s">
        <v>15</v>
      </c>
      <c r="C84" s="41" t="s">
        <v>21</v>
      </c>
      <c r="D84">
        <v>42</v>
      </c>
      <c r="E84" s="42">
        <v>44731</v>
      </c>
      <c r="F84">
        <v>70270</v>
      </c>
      <c r="G84" s="41" t="s">
        <v>24</v>
      </c>
      <c r="H84" s="41" t="s">
        <v>243</v>
      </c>
      <c r="I84">
        <v>2.2465753424657535</v>
      </c>
      <c r="J84">
        <v>2109</v>
      </c>
      <c r="K84">
        <v>2</v>
      </c>
    </row>
    <row r="85" spans="1:11" x14ac:dyDescent="0.25">
      <c r="A85" s="41" t="s">
        <v>183</v>
      </c>
      <c r="B85" s="41" t="s">
        <v>15</v>
      </c>
      <c r="C85" s="41" t="s">
        <v>21</v>
      </c>
      <c r="D85">
        <v>42</v>
      </c>
      <c r="E85" s="42">
        <v>44670</v>
      </c>
      <c r="F85">
        <v>70270</v>
      </c>
      <c r="G85" s="41" t="s">
        <v>24</v>
      </c>
      <c r="H85" s="41" t="s">
        <v>244</v>
      </c>
      <c r="I85">
        <v>2.4136986301369863</v>
      </c>
      <c r="J85">
        <v>2109</v>
      </c>
      <c r="K85">
        <v>2</v>
      </c>
    </row>
    <row r="86" spans="1:11" x14ac:dyDescent="0.25">
      <c r="A86" s="41" t="s">
        <v>70</v>
      </c>
      <c r="B86" s="41" t="s">
        <v>15</v>
      </c>
      <c r="C86" s="41" t="s">
        <v>9</v>
      </c>
      <c r="D86">
        <v>46</v>
      </c>
      <c r="E86" s="42">
        <v>44758</v>
      </c>
      <c r="F86">
        <v>70610</v>
      </c>
      <c r="G86" s="41" t="s">
        <v>16</v>
      </c>
      <c r="H86" s="41" t="s">
        <v>243</v>
      </c>
      <c r="I86">
        <v>2.1726027397260275</v>
      </c>
      <c r="J86">
        <v>2119</v>
      </c>
      <c r="K86">
        <v>3</v>
      </c>
    </row>
    <row r="87" spans="1:11" x14ac:dyDescent="0.25">
      <c r="A87" s="41" t="s">
        <v>162</v>
      </c>
      <c r="B87" s="41" t="s">
        <v>15</v>
      </c>
      <c r="C87" s="41" t="s">
        <v>9</v>
      </c>
      <c r="D87">
        <v>46</v>
      </c>
      <c r="E87" s="42">
        <v>44697</v>
      </c>
      <c r="F87">
        <v>70610</v>
      </c>
      <c r="G87" s="41" t="s">
        <v>16</v>
      </c>
      <c r="H87" s="41" t="s">
        <v>244</v>
      </c>
      <c r="I87">
        <v>2.3397260273972602</v>
      </c>
      <c r="J87">
        <v>2119</v>
      </c>
      <c r="K87">
        <v>3</v>
      </c>
    </row>
    <row r="88" spans="1:11" x14ac:dyDescent="0.25">
      <c r="A88" s="41" t="s">
        <v>94</v>
      </c>
      <c r="B88" s="41" t="s">
        <v>15</v>
      </c>
      <c r="C88" s="41" t="s">
        <v>21</v>
      </c>
      <c r="D88">
        <v>36</v>
      </c>
      <c r="E88" s="42">
        <v>44333</v>
      </c>
      <c r="F88">
        <v>71380</v>
      </c>
      <c r="G88" s="41" t="s">
        <v>16</v>
      </c>
      <c r="H88" s="41" t="s">
        <v>243</v>
      </c>
      <c r="I88">
        <v>3.3369863013698629</v>
      </c>
      <c r="J88">
        <v>2142</v>
      </c>
      <c r="K88">
        <v>3</v>
      </c>
    </row>
    <row r="89" spans="1:11" x14ac:dyDescent="0.25">
      <c r="A89" s="41" t="s">
        <v>187</v>
      </c>
      <c r="B89" s="41" t="s">
        <v>15</v>
      </c>
      <c r="C89" s="41" t="s">
        <v>21</v>
      </c>
      <c r="D89">
        <v>36</v>
      </c>
      <c r="E89" s="42">
        <v>44272</v>
      </c>
      <c r="F89">
        <v>71380</v>
      </c>
      <c r="G89" s="41" t="s">
        <v>16</v>
      </c>
      <c r="H89" s="41" t="s">
        <v>244</v>
      </c>
      <c r="I89">
        <v>3.504109589041096</v>
      </c>
      <c r="J89">
        <v>2142</v>
      </c>
      <c r="K89">
        <v>3</v>
      </c>
    </row>
    <row r="90" spans="1:11" x14ac:dyDescent="0.25">
      <c r="A90" s="41" t="s">
        <v>18</v>
      </c>
      <c r="B90" s="41" t="s">
        <v>15</v>
      </c>
      <c r="C90" s="41" t="s">
        <v>19</v>
      </c>
      <c r="D90">
        <v>33</v>
      </c>
      <c r="E90" s="42">
        <v>44385</v>
      </c>
      <c r="F90">
        <v>74550</v>
      </c>
      <c r="G90" s="41" t="s">
        <v>16</v>
      </c>
      <c r="H90" s="41" t="s">
        <v>243</v>
      </c>
      <c r="I90">
        <v>3.1945205479452055</v>
      </c>
      <c r="J90">
        <v>2237</v>
      </c>
      <c r="K90">
        <v>3</v>
      </c>
    </row>
    <row r="91" spans="1:11" x14ac:dyDescent="0.25">
      <c r="A91" s="41" t="s">
        <v>115</v>
      </c>
      <c r="B91" s="41" t="s">
        <v>15</v>
      </c>
      <c r="C91" s="41" t="s">
        <v>19</v>
      </c>
      <c r="D91">
        <v>33</v>
      </c>
      <c r="E91" s="42">
        <v>44324</v>
      </c>
      <c r="F91">
        <v>74550</v>
      </c>
      <c r="G91" s="41" t="s">
        <v>16</v>
      </c>
      <c r="H91" s="41" t="s">
        <v>244</v>
      </c>
      <c r="I91">
        <v>3.3616438356164382</v>
      </c>
      <c r="J91">
        <v>2237</v>
      </c>
      <c r="K91">
        <v>3</v>
      </c>
    </row>
    <row r="92" spans="1:11" x14ac:dyDescent="0.25">
      <c r="A92" s="41" t="s">
        <v>7</v>
      </c>
      <c r="B92" s="41" t="s">
        <v>8</v>
      </c>
      <c r="C92" s="41" t="s">
        <v>9</v>
      </c>
      <c r="D92">
        <v>42</v>
      </c>
      <c r="E92" s="42">
        <v>44779</v>
      </c>
      <c r="F92">
        <v>75000</v>
      </c>
      <c r="G92" s="41" t="s">
        <v>10</v>
      </c>
      <c r="H92" s="41" t="s">
        <v>243</v>
      </c>
      <c r="I92">
        <v>2.1150684931506851</v>
      </c>
      <c r="J92">
        <v>2250</v>
      </c>
      <c r="K92">
        <v>5</v>
      </c>
    </row>
    <row r="93" spans="1:11" x14ac:dyDescent="0.25">
      <c r="A93" s="41" t="s">
        <v>111</v>
      </c>
      <c r="B93" s="41" t="s">
        <v>8</v>
      </c>
      <c r="C93" s="41" t="s">
        <v>9</v>
      </c>
      <c r="D93">
        <v>42</v>
      </c>
      <c r="E93" s="42">
        <v>44718</v>
      </c>
      <c r="F93">
        <v>75000</v>
      </c>
      <c r="G93" s="41" t="s">
        <v>10</v>
      </c>
      <c r="H93" s="41" t="s">
        <v>244</v>
      </c>
      <c r="I93">
        <v>2.2821917808219179</v>
      </c>
      <c r="J93">
        <v>2250</v>
      </c>
      <c r="K93">
        <v>5</v>
      </c>
    </row>
    <row r="94" spans="1:11" x14ac:dyDescent="0.25">
      <c r="A94" s="41" t="s">
        <v>95</v>
      </c>
      <c r="B94" s="41" t="s">
        <v>8</v>
      </c>
      <c r="C94" s="41" t="s">
        <v>12</v>
      </c>
      <c r="D94">
        <v>33</v>
      </c>
      <c r="E94" s="42">
        <v>44312</v>
      </c>
      <c r="F94">
        <v>75280</v>
      </c>
      <c r="G94" s="41" t="s">
        <v>16</v>
      </c>
      <c r="H94" s="41" t="s">
        <v>243</v>
      </c>
      <c r="I94">
        <v>3.3945205479452056</v>
      </c>
      <c r="J94">
        <v>2259</v>
      </c>
      <c r="K94">
        <v>3</v>
      </c>
    </row>
    <row r="95" spans="1:11" x14ac:dyDescent="0.25">
      <c r="A95" s="41" t="s">
        <v>188</v>
      </c>
      <c r="B95" s="41" t="s">
        <v>8</v>
      </c>
      <c r="C95" s="41" t="s">
        <v>12</v>
      </c>
      <c r="D95">
        <v>33</v>
      </c>
      <c r="E95" s="42">
        <v>44253</v>
      </c>
      <c r="F95">
        <v>75280</v>
      </c>
      <c r="G95" s="41" t="s">
        <v>16</v>
      </c>
      <c r="H95" s="41" t="s">
        <v>244</v>
      </c>
      <c r="I95">
        <v>3.5561643835616437</v>
      </c>
      <c r="J95">
        <v>2259</v>
      </c>
      <c r="K95">
        <v>3</v>
      </c>
    </row>
    <row r="96" spans="1:11" x14ac:dyDescent="0.25">
      <c r="A96" s="41" t="s">
        <v>41</v>
      </c>
      <c r="B96" s="41" t="s">
        <v>8</v>
      </c>
      <c r="C96" s="41" t="s">
        <v>12</v>
      </c>
      <c r="D96">
        <v>33</v>
      </c>
      <c r="E96" s="42">
        <v>44374</v>
      </c>
      <c r="F96">
        <v>75480</v>
      </c>
      <c r="G96" s="41" t="s">
        <v>42</v>
      </c>
      <c r="H96" s="41" t="s">
        <v>243</v>
      </c>
      <c r="I96">
        <v>3.2246575342465755</v>
      </c>
      <c r="J96">
        <v>2265</v>
      </c>
      <c r="K96">
        <v>1</v>
      </c>
    </row>
    <row r="97" spans="1:11" x14ac:dyDescent="0.25">
      <c r="A97" s="41" t="s">
        <v>135</v>
      </c>
      <c r="B97" s="41" t="s">
        <v>8</v>
      </c>
      <c r="C97" s="41" t="s">
        <v>12</v>
      </c>
      <c r="D97">
        <v>33</v>
      </c>
      <c r="E97" s="42">
        <v>44313</v>
      </c>
      <c r="F97">
        <v>75480</v>
      </c>
      <c r="G97" s="41" t="s">
        <v>42</v>
      </c>
      <c r="H97" s="41" t="s">
        <v>244</v>
      </c>
      <c r="I97">
        <v>3.3917808219178083</v>
      </c>
      <c r="J97">
        <v>2265</v>
      </c>
      <c r="K97">
        <v>1</v>
      </c>
    </row>
    <row r="98" spans="1:11" x14ac:dyDescent="0.25">
      <c r="A98" s="41" t="s">
        <v>78</v>
      </c>
      <c r="B98" s="41" t="s">
        <v>15</v>
      </c>
      <c r="C98" s="41" t="s">
        <v>56</v>
      </c>
      <c r="D98">
        <v>21</v>
      </c>
      <c r="E98" s="42">
        <v>44242</v>
      </c>
      <c r="F98">
        <v>75880</v>
      </c>
      <c r="G98" s="41" t="s">
        <v>16</v>
      </c>
      <c r="H98" s="41" t="s">
        <v>243</v>
      </c>
      <c r="I98">
        <v>3.5863013698630137</v>
      </c>
      <c r="J98">
        <v>2277</v>
      </c>
      <c r="K98">
        <v>3</v>
      </c>
    </row>
    <row r="99" spans="1:11" x14ac:dyDescent="0.25">
      <c r="A99" s="41" t="s">
        <v>170</v>
      </c>
      <c r="B99" s="41" t="s">
        <v>15</v>
      </c>
      <c r="C99" s="41" t="s">
        <v>56</v>
      </c>
      <c r="D99">
        <v>21</v>
      </c>
      <c r="E99" s="42">
        <v>44180</v>
      </c>
      <c r="F99">
        <v>75880</v>
      </c>
      <c r="G99" s="41" t="s">
        <v>16</v>
      </c>
      <c r="H99" s="41" t="s">
        <v>244</v>
      </c>
      <c r="I99">
        <v>3.7561643835616438</v>
      </c>
      <c r="J99">
        <v>2277</v>
      </c>
      <c r="K99">
        <v>3</v>
      </c>
    </row>
    <row r="100" spans="1:11" x14ac:dyDescent="0.25">
      <c r="A100" s="41" t="s">
        <v>35</v>
      </c>
      <c r="B100" s="41" t="s">
        <v>8</v>
      </c>
      <c r="C100" s="41" t="s">
        <v>21</v>
      </c>
      <c r="D100">
        <v>28</v>
      </c>
      <c r="E100" s="42">
        <v>44185</v>
      </c>
      <c r="F100">
        <v>75970</v>
      </c>
      <c r="G100" s="41" t="s">
        <v>16</v>
      </c>
      <c r="H100" s="41" t="s">
        <v>243</v>
      </c>
      <c r="I100">
        <v>3.7424657534246575</v>
      </c>
      <c r="J100">
        <v>2280</v>
      </c>
      <c r="K100">
        <v>3</v>
      </c>
    </row>
    <row r="101" spans="1:11" x14ac:dyDescent="0.25">
      <c r="A101" s="41" t="s">
        <v>129</v>
      </c>
      <c r="B101" s="41" t="s">
        <v>8</v>
      </c>
      <c r="C101" s="41" t="s">
        <v>21</v>
      </c>
      <c r="D101">
        <v>28</v>
      </c>
      <c r="E101" s="42">
        <v>44124</v>
      </c>
      <c r="F101">
        <v>75970</v>
      </c>
      <c r="G101" s="41" t="s">
        <v>16</v>
      </c>
      <c r="H101" s="41" t="s">
        <v>244</v>
      </c>
      <c r="I101">
        <v>3.9095890410958902</v>
      </c>
      <c r="J101">
        <v>2280</v>
      </c>
      <c r="K101">
        <v>3</v>
      </c>
    </row>
    <row r="102" spans="1:11" x14ac:dyDescent="0.25">
      <c r="A102" s="41" t="s">
        <v>62</v>
      </c>
      <c r="B102" s="41" t="s">
        <v>8</v>
      </c>
      <c r="C102" s="41" t="s">
        <v>9</v>
      </c>
      <c r="D102">
        <v>22</v>
      </c>
      <c r="E102" s="42">
        <v>44450</v>
      </c>
      <c r="F102">
        <v>76900</v>
      </c>
      <c r="G102" s="41" t="s">
        <v>13</v>
      </c>
      <c r="H102" s="41" t="s">
        <v>243</v>
      </c>
      <c r="I102">
        <v>3.0164383561643837</v>
      </c>
      <c r="J102">
        <v>2307</v>
      </c>
      <c r="K102">
        <v>4</v>
      </c>
    </row>
    <row r="103" spans="1:11" x14ac:dyDescent="0.25">
      <c r="A103" s="41" t="s">
        <v>154</v>
      </c>
      <c r="B103" s="41" t="s">
        <v>8</v>
      </c>
      <c r="C103" s="41" t="s">
        <v>9</v>
      </c>
      <c r="D103">
        <v>22</v>
      </c>
      <c r="E103" s="42">
        <v>44388</v>
      </c>
      <c r="F103">
        <v>76900</v>
      </c>
      <c r="G103" s="41" t="s">
        <v>13</v>
      </c>
      <c r="H103" s="41" t="s">
        <v>244</v>
      </c>
      <c r="I103">
        <v>3.1863013698630138</v>
      </c>
      <c r="J103">
        <v>2307</v>
      </c>
      <c r="K103">
        <v>4</v>
      </c>
    </row>
    <row r="104" spans="1:11" x14ac:dyDescent="0.25">
      <c r="A104" s="41" t="s">
        <v>72</v>
      </c>
      <c r="B104" s="41" t="s">
        <v>8</v>
      </c>
      <c r="C104" s="41" t="s">
        <v>9</v>
      </c>
      <c r="D104">
        <v>36</v>
      </c>
      <c r="E104" s="42">
        <v>44529</v>
      </c>
      <c r="F104">
        <v>78390</v>
      </c>
      <c r="G104" s="41" t="s">
        <v>16</v>
      </c>
      <c r="H104" s="41" t="s">
        <v>243</v>
      </c>
      <c r="I104">
        <v>2.8</v>
      </c>
      <c r="J104">
        <v>2352</v>
      </c>
      <c r="K104">
        <v>3</v>
      </c>
    </row>
    <row r="105" spans="1:11" x14ac:dyDescent="0.25">
      <c r="A105" s="41" t="s">
        <v>164</v>
      </c>
      <c r="B105" s="41" t="s">
        <v>8</v>
      </c>
      <c r="C105" s="41" t="s">
        <v>9</v>
      </c>
      <c r="D105">
        <v>36</v>
      </c>
      <c r="E105" s="42">
        <v>44468</v>
      </c>
      <c r="F105">
        <v>78390</v>
      </c>
      <c r="G105" s="41" t="s">
        <v>16</v>
      </c>
      <c r="H105" s="41" t="s">
        <v>244</v>
      </c>
      <c r="I105">
        <v>2.967123287671233</v>
      </c>
      <c r="J105">
        <v>2352</v>
      </c>
      <c r="K105">
        <v>3</v>
      </c>
    </row>
    <row r="106" spans="1:11" x14ac:dyDescent="0.25">
      <c r="A106" s="41" t="s">
        <v>48</v>
      </c>
      <c r="B106" s="41" t="s">
        <v>8</v>
      </c>
      <c r="C106" s="41" t="s">
        <v>19</v>
      </c>
      <c r="D106">
        <v>36</v>
      </c>
      <c r="E106" s="42">
        <v>44494</v>
      </c>
      <c r="F106">
        <v>78540</v>
      </c>
      <c r="G106" s="41" t="s">
        <v>16</v>
      </c>
      <c r="H106" s="41" t="s">
        <v>243</v>
      </c>
      <c r="I106">
        <v>2.8958904109589043</v>
      </c>
      <c r="J106">
        <v>2357</v>
      </c>
      <c r="K106">
        <v>3</v>
      </c>
    </row>
    <row r="107" spans="1:11" x14ac:dyDescent="0.25">
      <c r="A107" s="41" t="s">
        <v>141</v>
      </c>
      <c r="B107" s="41" t="s">
        <v>8</v>
      </c>
      <c r="C107" s="41" t="s">
        <v>19</v>
      </c>
      <c r="D107">
        <v>36</v>
      </c>
      <c r="E107" s="42">
        <v>44433</v>
      </c>
      <c r="F107">
        <v>78540</v>
      </c>
      <c r="G107" s="41" t="s">
        <v>16</v>
      </c>
      <c r="H107" s="41" t="s">
        <v>244</v>
      </c>
      <c r="I107">
        <v>3.0630136986301371</v>
      </c>
      <c r="J107">
        <v>2357</v>
      </c>
      <c r="K107">
        <v>3</v>
      </c>
    </row>
    <row r="108" spans="1:11" x14ac:dyDescent="0.25">
      <c r="A108" s="41" t="s">
        <v>104</v>
      </c>
      <c r="B108" s="41" t="s">
        <v>15</v>
      </c>
      <c r="C108" s="41" t="s">
        <v>9</v>
      </c>
      <c r="D108">
        <v>20</v>
      </c>
      <c r="E108" s="42">
        <v>44744</v>
      </c>
      <c r="F108">
        <v>79570</v>
      </c>
      <c r="G108" s="41" t="s">
        <v>16</v>
      </c>
      <c r="H108" s="41" t="s">
        <v>243</v>
      </c>
      <c r="I108">
        <v>2.2109589041095892</v>
      </c>
      <c r="J108">
        <v>2388</v>
      </c>
      <c r="K108">
        <v>3</v>
      </c>
    </row>
    <row r="109" spans="1:11" x14ac:dyDescent="0.25">
      <c r="A109" s="41" t="s">
        <v>197</v>
      </c>
      <c r="B109" s="41" t="s">
        <v>15</v>
      </c>
      <c r="C109" s="41" t="s">
        <v>9</v>
      </c>
      <c r="D109">
        <v>20</v>
      </c>
      <c r="E109" s="42">
        <v>44683</v>
      </c>
      <c r="F109">
        <v>79570</v>
      </c>
      <c r="G109" s="41" t="s">
        <v>16</v>
      </c>
      <c r="H109" s="41" t="s">
        <v>244</v>
      </c>
      <c r="I109">
        <v>2.3780821917808219</v>
      </c>
      <c r="J109">
        <v>2388</v>
      </c>
      <c r="K109">
        <v>3</v>
      </c>
    </row>
    <row r="110" spans="1:11" x14ac:dyDescent="0.25">
      <c r="A110" s="41" t="s">
        <v>39</v>
      </c>
      <c r="B110" s="41" t="s">
        <v>8</v>
      </c>
      <c r="C110" s="41" t="s">
        <v>12</v>
      </c>
      <c r="D110">
        <v>25</v>
      </c>
      <c r="E110" s="42">
        <v>44694</v>
      </c>
      <c r="F110">
        <v>80700</v>
      </c>
      <c r="G110" s="41" t="s">
        <v>13</v>
      </c>
      <c r="H110" s="41" t="s">
        <v>243</v>
      </c>
      <c r="I110">
        <v>2.3479452054794518</v>
      </c>
      <c r="J110">
        <v>2421</v>
      </c>
      <c r="K110">
        <v>4</v>
      </c>
    </row>
    <row r="111" spans="1:11" x14ac:dyDescent="0.25">
      <c r="A111" s="41" t="s">
        <v>133</v>
      </c>
      <c r="B111" s="41" t="s">
        <v>8</v>
      </c>
      <c r="C111" s="41" t="s">
        <v>12</v>
      </c>
      <c r="D111">
        <v>25</v>
      </c>
      <c r="E111" s="42">
        <v>44633</v>
      </c>
      <c r="F111">
        <v>80700</v>
      </c>
      <c r="G111" s="41" t="s">
        <v>13</v>
      </c>
      <c r="H111" s="41" t="s">
        <v>244</v>
      </c>
      <c r="I111">
        <v>2.515068493150685</v>
      </c>
      <c r="J111">
        <v>2421</v>
      </c>
      <c r="K111">
        <v>4</v>
      </c>
    </row>
    <row r="112" spans="1:11" x14ac:dyDescent="0.25">
      <c r="A112" s="41" t="s">
        <v>92</v>
      </c>
      <c r="B112" s="41" t="s">
        <v>8</v>
      </c>
      <c r="C112" s="41" t="s">
        <v>12</v>
      </c>
      <c r="D112">
        <v>27</v>
      </c>
      <c r="E112" s="42">
        <v>44686</v>
      </c>
      <c r="F112">
        <v>83750</v>
      </c>
      <c r="G112" s="41" t="s">
        <v>16</v>
      </c>
      <c r="H112" s="41" t="s">
        <v>243</v>
      </c>
      <c r="I112">
        <v>2.3698630136986303</v>
      </c>
      <c r="J112">
        <v>2513</v>
      </c>
      <c r="K112">
        <v>3</v>
      </c>
    </row>
    <row r="113" spans="1:11" x14ac:dyDescent="0.25">
      <c r="A113" s="41" t="s">
        <v>185</v>
      </c>
      <c r="B113" s="41" t="s">
        <v>8</v>
      </c>
      <c r="C113" s="41" t="s">
        <v>12</v>
      </c>
      <c r="D113">
        <v>27</v>
      </c>
      <c r="E113" s="42">
        <v>44625</v>
      </c>
      <c r="F113">
        <v>83750</v>
      </c>
      <c r="G113" s="41" t="s">
        <v>16</v>
      </c>
      <c r="H113" s="41" t="s">
        <v>244</v>
      </c>
      <c r="I113">
        <v>2.536986301369863</v>
      </c>
      <c r="J113">
        <v>2513</v>
      </c>
      <c r="K113">
        <v>3</v>
      </c>
    </row>
    <row r="114" spans="1:11" x14ac:dyDescent="0.25">
      <c r="A114" s="41" t="s">
        <v>28</v>
      </c>
      <c r="B114" s="41" t="s">
        <v>8</v>
      </c>
      <c r="C114" s="41" t="s">
        <v>21</v>
      </c>
      <c r="D114">
        <v>34</v>
      </c>
      <c r="E114" s="42">
        <v>44459</v>
      </c>
      <c r="F114">
        <v>85000</v>
      </c>
      <c r="G114" s="41" t="s">
        <v>16</v>
      </c>
      <c r="H114" s="41" t="s">
        <v>243</v>
      </c>
      <c r="I114">
        <v>2.9917808219178084</v>
      </c>
      <c r="J114">
        <v>2550</v>
      </c>
      <c r="K114">
        <v>3</v>
      </c>
    </row>
    <row r="115" spans="1:11" x14ac:dyDescent="0.25">
      <c r="A115" s="41" t="s">
        <v>122</v>
      </c>
      <c r="B115" s="41" t="s">
        <v>8</v>
      </c>
      <c r="C115" s="41" t="s">
        <v>21</v>
      </c>
      <c r="D115">
        <v>34</v>
      </c>
      <c r="E115" s="42">
        <v>44397</v>
      </c>
      <c r="F115">
        <v>85000</v>
      </c>
      <c r="G115" s="41" t="s">
        <v>16</v>
      </c>
      <c r="H115" s="41" t="s">
        <v>244</v>
      </c>
      <c r="I115">
        <v>3.1616438356164385</v>
      </c>
      <c r="J115">
        <v>2550</v>
      </c>
      <c r="K115">
        <v>3</v>
      </c>
    </row>
    <row r="116" spans="1:11" x14ac:dyDescent="0.25">
      <c r="A116" s="41" t="s">
        <v>88</v>
      </c>
      <c r="B116" s="41" t="s">
        <v>8</v>
      </c>
      <c r="C116" s="41" t="s">
        <v>21</v>
      </c>
      <c r="D116">
        <v>33</v>
      </c>
      <c r="E116" s="42">
        <v>44809</v>
      </c>
      <c r="F116">
        <v>86570</v>
      </c>
      <c r="G116" s="41" t="s">
        <v>16</v>
      </c>
      <c r="H116" s="41" t="s">
        <v>243</v>
      </c>
      <c r="I116">
        <v>2.032876712328767</v>
      </c>
      <c r="J116">
        <v>2598</v>
      </c>
      <c r="K116">
        <v>3</v>
      </c>
    </row>
    <row r="117" spans="1:11" x14ac:dyDescent="0.25">
      <c r="A117" s="41" t="s">
        <v>181</v>
      </c>
      <c r="B117" s="41" t="s">
        <v>8</v>
      </c>
      <c r="C117" s="41" t="s">
        <v>21</v>
      </c>
      <c r="D117">
        <v>33</v>
      </c>
      <c r="E117" s="42">
        <v>44747</v>
      </c>
      <c r="F117">
        <v>86570</v>
      </c>
      <c r="G117" s="41" t="s">
        <v>16</v>
      </c>
      <c r="H117" s="41" t="s">
        <v>244</v>
      </c>
      <c r="I117">
        <v>2.2027397260273971</v>
      </c>
      <c r="J117">
        <v>2598</v>
      </c>
      <c r="K117">
        <v>3</v>
      </c>
    </row>
    <row r="118" spans="1:11" x14ac:dyDescent="0.25">
      <c r="A118" s="41" t="s">
        <v>74</v>
      </c>
      <c r="B118" s="41" t="s">
        <v>8</v>
      </c>
      <c r="C118" s="41" t="s">
        <v>12</v>
      </c>
      <c r="D118">
        <v>40</v>
      </c>
      <c r="E118" s="42">
        <v>44337</v>
      </c>
      <c r="F118">
        <v>87620</v>
      </c>
      <c r="G118" s="41" t="s">
        <v>16</v>
      </c>
      <c r="H118" s="41" t="s">
        <v>243</v>
      </c>
      <c r="I118">
        <v>3.3260273972602739</v>
      </c>
      <c r="J118">
        <v>2629</v>
      </c>
      <c r="K118">
        <v>3</v>
      </c>
    </row>
    <row r="119" spans="1:11" x14ac:dyDescent="0.25">
      <c r="A119" s="41" t="s">
        <v>166</v>
      </c>
      <c r="B119" s="41" t="s">
        <v>8</v>
      </c>
      <c r="C119" s="41" t="s">
        <v>12</v>
      </c>
      <c r="D119">
        <v>40</v>
      </c>
      <c r="E119" s="42">
        <v>44276</v>
      </c>
      <c r="F119">
        <v>87620</v>
      </c>
      <c r="G119" s="41" t="s">
        <v>16</v>
      </c>
      <c r="H119" s="41" t="s">
        <v>244</v>
      </c>
      <c r="I119">
        <v>3.493150684931507</v>
      </c>
      <c r="J119">
        <v>2629</v>
      </c>
      <c r="K119">
        <v>3</v>
      </c>
    </row>
    <row r="120" spans="1:11" x14ac:dyDescent="0.25">
      <c r="A120" s="41" t="s">
        <v>23</v>
      </c>
      <c r="B120" s="41" t="s">
        <v>15</v>
      </c>
      <c r="C120" s="41" t="s">
        <v>12</v>
      </c>
      <c r="D120">
        <v>37</v>
      </c>
      <c r="E120" s="42">
        <v>44338</v>
      </c>
      <c r="F120">
        <v>88050</v>
      </c>
      <c r="G120" s="41" t="s">
        <v>24</v>
      </c>
      <c r="H120" s="41" t="s">
        <v>243</v>
      </c>
      <c r="I120">
        <v>3.3232876712328765</v>
      </c>
      <c r="J120">
        <v>2642</v>
      </c>
      <c r="K120">
        <v>2</v>
      </c>
    </row>
    <row r="121" spans="1:11" x14ac:dyDescent="0.25">
      <c r="A121" s="41" t="s">
        <v>118</v>
      </c>
      <c r="B121" s="41" t="s">
        <v>15</v>
      </c>
      <c r="C121" s="41" t="s">
        <v>12</v>
      </c>
      <c r="D121">
        <v>37</v>
      </c>
      <c r="E121" s="42">
        <v>44277</v>
      </c>
      <c r="F121">
        <v>88050</v>
      </c>
      <c r="G121" s="41" t="s">
        <v>24</v>
      </c>
      <c r="H121" s="41" t="s">
        <v>244</v>
      </c>
      <c r="I121">
        <v>3.4904109589041097</v>
      </c>
      <c r="J121">
        <v>2642</v>
      </c>
      <c r="K121">
        <v>2</v>
      </c>
    </row>
    <row r="122" spans="1:11" x14ac:dyDescent="0.25">
      <c r="A122" s="41" t="s">
        <v>11</v>
      </c>
      <c r="B122" s="41" t="s">
        <v>208</v>
      </c>
      <c r="C122" s="41" t="s">
        <v>12</v>
      </c>
      <c r="D122">
        <v>26</v>
      </c>
      <c r="E122" s="42">
        <v>44271</v>
      </c>
      <c r="F122">
        <v>90700</v>
      </c>
      <c r="G122" s="41" t="s">
        <v>13</v>
      </c>
      <c r="H122" s="41" t="s">
        <v>243</v>
      </c>
      <c r="I122">
        <v>3.506849315068493</v>
      </c>
      <c r="J122">
        <v>2721</v>
      </c>
      <c r="K122">
        <v>4</v>
      </c>
    </row>
    <row r="123" spans="1:11" x14ac:dyDescent="0.25">
      <c r="A123" s="41" t="s">
        <v>112</v>
      </c>
      <c r="B123" s="41" t="s">
        <v>208</v>
      </c>
      <c r="C123" s="41" t="s">
        <v>12</v>
      </c>
      <c r="D123">
        <v>27</v>
      </c>
      <c r="E123" s="42">
        <v>44212</v>
      </c>
      <c r="F123">
        <v>90700</v>
      </c>
      <c r="G123" s="41" t="s">
        <v>13</v>
      </c>
      <c r="H123" s="41" t="s">
        <v>244</v>
      </c>
      <c r="I123">
        <v>3.6684931506849314</v>
      </c>
      <c r="J123">
        <v>2721</v>
      </c>
      <c r="K123">
        <v>4</v>
      </c>
    </row>
    <row r="124" spans="1:11" x14ac:dyDescent="0.25">
      <c r="A124" s="41" t="s">
        <v>52</v>
      </c>
      <c r="B124" s="41" t="s">
        <v>208</v>
      </c>
      <c r="C124" s="41" t="s">
        <v>12</v>
      </c>
      <c r="D124">
        <v>32</v>
      </c>
      <c r="E124" s="42">
        <v>44774</v>
      </c>
      <c r="F124">
        <v>91310</v>
      </c>
      <c r="G124" s="41" t="s">
        <v>16</v>
      </c>
      <c r="H124" s="41" t="s">
        <v>243</v>
      </c>
      <c r="I124">
        <v>2.128767123287671</v>
      </c>
      <c r="J124">
        <v>2740</v>
      </c>
      <c r="K124">
        <v>3</v>
      </c>
    </row>
    <row r="125" spans="1:11" x14ac:dyDescent="0.25">
      <c r="A125" s="41" t="s">
        <v>145</v>
      </c>
      <c r="B125" s="41" t="s">
        <v>208</v>
      </c>
      <c r="C125" s="41" t="s">
        <v>12</v>
      </c>
      <c r="D125">
        <v>32</v>
      </c>
      <c r="E125" s="42">
        <v>44713</v>
      </c>
      <c r="F125">
        <v>91310</v>
      </c>
      <c r="G125" s="41" t="s">
        <v>16</v>
      </c>
      <c r="H125" s="41" t="s">
        <v>244</v>
      </c>
      <c r="I125">
        <v>2.2958904109589042</v>
      </c>
      <c r="J125">
        <v>2740</v>
      </c>
      <c r="K125">
        <v>3</v>
      </c>
    </row>
    <row r="126" spans="1:11" x14ac:dyDescent="0.25">
      <c r="A126" s="41" t="s">
        <v>68</v>
      </c>
      <c r="B126" s="41" t="s">
        <v>15</v>
      </c>
      <c r="C126" s="41" t="s">
        <v>21</v>
      </c>
      <c r="D126">
        <v>27</v>
      </c>
      <c r="E126" s="42">
        <v>44236</v>
      </c>
      <c r="F126">
        <v>91650</v>
      </c>
      <c r="G126" s="41" t="s">
        <v>13</v>
      </c>
      <c r="H126" s="41" t="s">
        <v>243</v>
      </c>
      <c r="I126">
        <v>3.6027397260273974</v>
      </c>
      <c r="J126">
        <v>2750</v>
      </c>
      <c r="K126">
        <v>4</v>
      </c>
    </row>
    <row r="127" spans="1:11" x14ac:dyDescent="0.25">
      <c r="A127" s="41" t="s">
        <v>160</v>
      </c>
      <c r="B127" s="41" t="s">
        <v>15</v>
      </c>
      <c r="C127" s="41" t="s">
        <v>21</v>
      </c>
      <c r="D127">
        <v>27</v>
      </c>
      <c r="E127" s="42">
        <v>44174</v>
      </c>
      <c r="F127">
        <v>91650</v>
      </c>
      <c r="G127" s="41" t="s">
        <v>13</v>
      </c>
      <c r="H127" s="41" t="s">
        <v>244</v>
      </c>
      <c r="I127">
        <v>3.7726027397260276</v>
      </c>
      <c r="J127">
        <v>2750</v>
      </c>
      <c r="K127">
        <v>4</v>
      </c>
    </row>
    <row r="128" spans="1:11" x14ac:dyDescent="0.25">
      <c r="A128" s="41" t="s">
        <v>102</v>
      </c>
      <c r="B128" s="41" t="s">
        <v>8</v>
      </c>
      <c r="C128" s="41" t="s">
        <v>21</v>
      </c>
      <c r="D128">
        <v>34</v>
      </c>
      <c r="E128" s="42">
        <v>44445</v>
      </c>
      <c r="F128">
        <v>92450</v>
      </c>
      <c r="G128" s="41" t="s">
        <v>16</v>
      </c>
      <c r="H128" s="41" t="s">
        <v>243</v>
      </c>
      <c r="I128">
        <v>3.0301369863013701</v>
      </c>
      <c r="J128">
        <v>2774</v>
      </c>
      <c r="K128">
        <v>3</v>
      </c>
    </row>
    <row r="129" spans="1:11" x14ac:dyDescent="0.25">
      <c r="A129" s="41" t="s">
        <v>195</v>
      </c>
      <c r="B129" s="41" t="s">
        <v>8</v>
      </c>
      <c r="C129" s="41" t="s">
        <v>21</v>
      </c>
      <c r="D129">
        <v>34</v>
      </c>
      <c r="E129" s="42">
        <v>44383</v>
      </c>
      <c r="F129">
        <v>92450</v>
      </c>
      <c r="G129" s="41" t="s">
        <v>16</v>
      </c>
      <c r="H129" s="41" t="s">
        <v>244</v>
      </c>
      <c r="I129">
        <v>3.2</v>
      </c>
      <c r="J129">
        <v>2774</v>
      </c>
      <c r="K129">
        <v>3</v>
      </c>
    </row>
    <row r="130" spans="1:11" x14ac:dyDescent="0.25">
      <c r="A130" s="41" t="s">
        <v>77</v>
      </c>
      <c r="B130" s="41" t="s">
        <v>8</v>
      </c>
      <c r="C130" s="41" t="s">
        <v>19</v>
      </c>
      <c r="D130">
        <v>25</v>
      </c>
      <c r="E130" s="42">
        <v>44205</v>
      </c>
      <c r="F130">
        <v>92700</v>
      </c>
      <c r="G130" s="41" t="s">
        <v>16</v>
      </c>
      <c r="H130" s="41" t="s">
        <v>243</v>
      </c>
      <c r="I130">
        <v>3.6876712328767125</v>
      </c>
      <c r="J130">
        <v>2781</v>
      </c>
      <c r="K130">
        <v>3</v>
      </c>
    </row>
    <row r="131" spans="1:11" x14ac:dyDescent="0.25">
      <c r="A131" s="41" t="s">
        <v>169</v>
      </c>
      <c r="B131" s="41" t="s">
        <v>8</v>
      </c>
      <c r="C131" s="41" t="s">
        <v>19</v>
      </c>
      <c r="D131">
        <v>25</v>
      </c>
      <c r="E131" s="42">
        <v>44144</v>
      </c>
      <c r="F131">
        <v>92700</v>
      </c>
      <c r="G131" s="41" t="s">
        <v>16</v>
      </c>
      <c r="H131" s="41" t="s">
        <v>244</v>
      </c>
      <c r="I131">
        <v>3.8547945205479452</v>
      </c>
      <c r="J131">
        <v>2781</v>
      </c>
      <c r="K131">
        <v>3</v>
      </c>
    </row>
    <row r="132" spans="1:11" x14ac:dyDescent="0.25">
      <c r="A132" s="41" t="s">
        <v>71</v>
      </c>
      <c r="B132" s="41" t="s">
        <v>8</v>
      </c>
      <c r="C132" s="41" t="s">
        <v>12</v>
      </c>
      <c r="D132">
        <v>33</v>
      </c>
      <c r="E132" s="42">
        <v>44190</v>
      </c>
      <c r="F132">
        <v>96140</v>
      </c>
      <c r="G132" s="41" t="s">
        <v>16</v>
      </c>
      <c r="H132" s="41" t="s">
        <v>243</v>
      </c>
      <c r="I132">
        <v>3.7287671232876711</v>
      </c>
      <c r="J132">
        <v>2885</v>
      </c>
      <c r="K132">
        <v>3</v>
      </c>
    </row>
    <row r="133" spans="1:11" x14ac:dyDescent="0.25">
      <c r="A133" s="41" t="s">
        <v>163</v>
      </c>
      <c r="B133" s="41" t="s">
        <v>8</v>
      </c>
      <c r="C133" s="41" t="s">
        <v>12</v>
      </c>
      <c r="D133">
        <v>33</v>
      </c>
      <c r="E133" s="42">
        <v>44129</v>
      </c>
      <c r="F133">
        <v>96140</v>
      </c>
      <c r="G133" s="41" t="s">
        <v>16</v>
      </c>
      <c r="H133" s="41" t="s">
        <v>244</v>
      </c>
      <c r="I133">
        <v>3.8958904109589043</v>
      </c>
      <c r="J133">
        <v>2885</v>
      </c>
      <c r="K133">
        <v>3</v>
      </c>
    </row>
    <row r="134" spans="1:11" x14ac:dyDescent="0.25">
      <c r="A134" s="41" t="s">
        <v>85</v>
      </c>
      <c r="B134" s="41" t="s">
        <v>15</v>
      </c>
      <c r="C134" s="41" t="s">
        <v>21</v>
      </c>
      <c r="D134">
        <v>30</v>
      </c>
      <c r="E134" s="42">
        <v>44606</v>
      </c>
      <c r="F134">
        <v>96800</v>
      </c>
      <c r="G134" s="41" t="s">
        <v>16</v>
      </c>
      <c r="H134" s="41" t="s">
        <v>243</v>
      </c>
      <c r="I134">
        <v>2.5890410958904111</v>
      </c>
      <c r="J134">
        <v>2904</v>
      </c>
      <c r="K134">
        <v>3</v>
      </c>
    </row>
    <row r="135" spans="1:11" x14ac:dyDescent="0.25">
      <c r="A135" s="41" t="s">
        <v>177</v>
      </c>
      <c r="B135" s="41" t="s">
        <v>15</v>
      </c>
      <c r="C135" s="41" t="s">
        <v>21</v>
      </c>
      <c r="D135">
        <v>30</v>
      </c>
      <c r="E135" s="42">
        <v>44544</v>
      </c>
      <c r="F135">
        <v>96800</v>
      </c>
      <c r="G135" s="41" t="s">
        <v>16</v>
      </c>
      <c r="H135" s="41" t="s">
        <v>244</v>
      </c>
      <c r="I135">
        <v>2.7589041095890412</v>
      </c>
      <c r="J135">
        <v>2904</v>
      </c>
      <c r="K135">
        <v>3</v>
      </c>
    </row>
    <row r="136" spans="1:11" x14ac:dyDescent="0.25">
      <c r="A136" s="41" t="s">
        <v>105</v>
      </c>
      <c r="B136" s="41" t="s">
        <v>15</v>
      </c>
      <c r="C136" s="41" t="s">
        <v>9</v>
      </c>
      <c r="D136">
        <v>40</v>
      </c>
      <c r="E136" s="42">
        <v>44263</v>
      </c>
      <c r="F136">
        <v>99750</v>
      </c>
      <c r="G136" s="41" t="s">
        <v>16</v>
      </c>
      <c r="H136" s="41" t="s">
        <v>243</v>
      </c>
      <c r="I136">
        <v>3.5287671232876714</v>
      </c>
      <c r="J136">
        <v>2993</v>
      </c>
      <c r="K136">
        <v>3</v>
      </c>
    </row>
    <row r="137" spans="1:11" x14ac:dyDescent="0.25">
      <c r="A137" s="41" t="s">
        <v>198</v>
      </c>
      <c r="B137" s="41" t="s">
        <v>15</v>
      </c>
      <c r="C137" s="41" t="s">
        <v>9</v>
      </c>
      <c r="D137">
        <v>40</v>
      </c>
      <c r="E137" s="42">
        <v>44204</v>
      </c>
      <c r="F137">
        <v>99750</v>
      </c>
      <c r="G137" s="41" t="s">
        <v>16</v>
      </c>
      <c r="H137" s="41" t="s">
        <v>244</v>
      </c>
      <c r="I137">
        <v>3.6904109589041094</v>
      </c>
      <c r="J137">
        <v>2993</v>
      </c>
      <c r="K137">
        <v>3</v>
      </c>
    </row>
    <row r="138" spans="1:11" x14ac:dyDescent="0.25">
      <c r="A138" s="41" t="s">
        <v>107</v>
      </c>
      <c r="B138" s="41" t="s">
        <v>8</v>
      </c>
      <c r="C138" s="41" t="s">
        <v>9</v>
      </c>
      <c r="D138">
        <v>28</v>
      </c>
      <c r="E138" s="42">
        <v>44630</v>
      </c>
      <c r="F138">
        <v>99970</v>
      </c>
      <c r="G138" s="41" t="s">
        <v>16</v>
      </c>
      <c r="H138" s="41" t="s">
        <v>243</v>
      </c>
      <c r="I138">
        <v>2.5232876712328767</v>
      </c>
      <c r="J138">
        <v>3000</v>
      </c>
      <c r="K138">
        <v>3</v>
      </c>
    </row>
    <row r="139" spans="1:11" x14ac:dyDescent="0.25">
      <c r="A139" s="41" t="s">
        <v>200</v>
      </c>
      <c r="B139" s="41" t="s">
        <v>8</v>
      </c>
      <c r="C139" s="41" t="s">
        <v>9</v>
      </c>
      <c r="D139">
        <v>28</v>
      </c>
      <c r="E139" s="42">
        <v>44571</v>
      </c>
      <c r="F139">
        <v>99970</v>
      </c>
      <c r="G139" s="41" t="s">
        <v>16</v>
      </c>
      <c r="H139" s="41" t="s">
        <v>244</v>
      </c>
      <c r="I139">
        <v>2.6849315068493151</v>
      </c>
      <c r="J139">
        <v>3000</v>
      </c>
      <c r="K139">
        <v>3</v>
      </c>
    </row>
    <row r="140" spans="1:11" x14ac:dyDescent="0.25">
      <c r="A140" s="41" t="s">
        <v>103</v>
      </c>
      <c r="B140" s="41" t="s">
        <v>15</v>
      </c>
      <c r="C140" s="41" t="s">
        <v>12</v>
      </c>
      <c r="D140">
        <v>24</v>
      </c>
      <c r="E140" s="42">
        <v>44686</v>
      </c>
      <c r="F140">
        <v>100420</v>
      </c>
      <c r="G140" s="41" t="s">
        <v>16</v>
      </c>
      <c r="H140" s="41" t="s">
        <v>243</v>
      </c>
      <c r="I140">
        <v>2.3698630136986303</v>
      </c>
      <c r="J140">
        <v>3013</v>
      </c>
      <c r="K140">
        <v>3</v>
      </c>
    </row>
    <row r="141" spans="1:11" x14ac:dyDescent="0.25">
      <c r="A141" s="41" t="s">
        <v>196</v>
      </c>
      <c r="B141" s="41" t="s">
        <v>15</v>
      </c>
      <c r="C141" s="41" t="s">
        <v>12</v>
      </c>
      <c r="D141">
        <v>24</v>
      </c>
      <c r="E141" s="42">
        <v>44625</v>
      </c>
      <c r="F141">
        <v>100420</v>
      </c>
      <c r="G141" s="41" t="s">
        <v>16</v>
      </c>
      <c r="H141" s="41" t="s">
        <v>244</v>
      </c>
      <c r="I141">
        <v>2.536986301369863</v>
      </c>
      <c r="J141">
        <v>3013</v>
      </c>
      <c r="K141">
        <v>3</v>
      </c>
    </row>
    <row r="142" spans="1:11" x14ac:dyDescent="0.25">
      <c r="A142" s="41" t="s">
        <v>50</v>
      </c>
      <c r="B142" s="41" t="s">
        <v>15</v>
      </c>
      <c r="C142" s="41" t="s">
        <v>9</v>
      </c>
      <c r="D142">
        <v>31</v>
      </c>
      <c r="E142" s="42">
        <v>44724</v>
      </c>
      <c r="F142">
        <v>103550</v>
      </c>
      <c r="G142" s="41" t="s">
        <v>16</v>
      </c>
      <c r="H142" s="41" t="s">
        <v>243</v>
      </c>
      <c r="I142">
        <v>2.2657534246575342</v>
      </c>
      <c r="J142">
        <v>3107</v>
      </c>
      <c r="K142">
        <v>3</v>
      </c>
    </row>
    <row r="143" spans="1:11" x14ac:dyDescent="0.25">
      <c r="A143" s="41" t="s">
        <v>143</v>
      </c>
      <c r="B143" s="41" t="s">
        <v>15</v>
      </c>
      <c r="C143" s="41" t="s">
        <v>9</v>
      </c>
      <c r="D143">
        <v>31</v>
      </c>
      <c r="E143" s="42">
        <v>44663</v>
      </c>
      <c r="F143">
        <v>103550</v>
      </c>
      <c r="G143" s="41" t="s">
        <v>16</v>
      </c>
      <c r="H143" s="41" t="s">
        <v>244</v>
      </c>
      <c r="I143">
        <v>2.4328767123287673</v>
      </c>
      <c r="J143">
        <v>3107</v>
      </c>
      <c r="K143">
        <v>3</v>
      </c>
    </row>
    <row r="144" spans="1:11" x14ac:dyDescent="0.25">
      <c r="A144" s="41" t="s">
        <v>96</v>
      </c>
      <c r="B144" s="41" t="s">
        <v>8</v>
      </c>
      <c r="C144" s="41" t="s">
        <v>9</v>
      </c>
      <c r="D144">
        <v>28</v>
      </c>
      <c r="E144" s="42">
        <v>44649</v>
      </c>
      <c r="F144">
        <v>104120</v>
      </c>
      <c r="G144" s="41" t="s">
        <v>16</v>
      </c>
      <c r="H144" s="41" t="s">
        <v>243</v>
      </c>
      <c r="I144">
        <v>2.4712328767123286</v>
      </c>
      <c r="J144">
        <v>3124</v>
      </c>
      <c r="K144">
        <v>3</v>
      </c>
    </row>
    <row r="145" spans="1:11" x14ac:dyDescent="0.25">
      <c r="A145" s="41" t="s">
        <v>189</v>
      </c>
      <c r="B145" s="41" t="s">
        <v>8</v>
      </c>
      <c r="C145" s="41" t="s">
        <v>9</v>
      </c>
      <c r="D145">
        <v>28</v>
      </c>
      <c r="E145" s="42">
        <v>44590</v>
      </c>
      <c r="F145">
        <v>104120</v>
      </c>
      <c r="G145" s="41" t="s">
        <v>16</v>
      </c>
      <c r="H145" s="41" t="s">
        <v>244</v>
      </c>
      <c r="I145">
        <v>2.6328767123287671</v>
      </c>
      <c r="J145">
        <v>3124</v>
      </c>
      <c r="K145">
        <v>3</v>
      </c>
    </row>
    <row r="146" spans="1:11" x14ac:dyDescent="0.25">
      <c r="A146" s="41" t="s">
        <v>101</v>
      </c>
      <c r="B146" s="41" t="s">
        <v>8</v>
      </c>
      <c r="C146" s="41" t="s">
        <v>12</v>
      </c>
      <c r="D146">
        <v>40</v>
      </c>
      <c r="E146" s="42">
        <v>44381</v>
      </c>
      <c r="F146">
        <v>104410</v>
      </c>
      <c r="G146" s="41" t="s">
        <v>16</v>
      </c>
      <c r="H146" s="41" t="s">
        <v>243</v>
      </c>
      <c r="I146">
        <v>3.2054794520547945</v>
      </c>
      <c r="J146">
        <v>3133</v>
      </c>
      <c r="K146">
        <v>3</v>
      </c>
    </row>
    <row r="147" spans="1:11" x14ac:dyDescent="0.25">
      <c r="A147" s="41" t="s">
        <v>194</v>
      </c>
      <c r="B147" s="41" t="s">
        <v>8</v>
      </c>
      <c r="C147" s="41" t="s">
        <v>12</v>
      </c>
      <c r="D147">
        <v>40</v>
      </c>
      <c r="E147" s="42">
        <v>44320</v>
      </c>
      <c r="F147">
        <v>104410</v>
      </c>
      <c r="G147" s="41" t="s">
        <v>16</v>
      </c>
      <c r="H147" s="41" t="s">
        <v>244</v>
      </c>
      <c r="I147">
        <v>3.3726027397260272</v>
      </c>
      <c r="J147">
        <v>3133</v>
      </c>
      <c r="K147">
        <v>3</v>
      </c>
    </row>
    <row r="148" spans="1:11" x14ac:dyDescent="0.25">
      <c r="A148" s="41" t="s">
        <v>43</v>
      </c>
      <c r="B148" s="41" t="s">
        <v>8</v>
      </c>
      <c r="C148" s="41" t="s">
        <v>9</v>
      </c>
      <c r="D148">
        <v>28</v>
      </c>
      <c r="E148" s="42">
        <v>44486</v>
      </c>
      <c r="F148">
        <v>104770</v>
      </c>
      <c r="G148" s="41" t="s">
        <v>16</v>
      </c>
      <c r="H148" s="41" t="s">
        <v>243</v>
      </c>
      <c r="I148">
        <v>2.9178082191780823</v>
      </c>
      <c r="J148">
        <v>3144</v>
      </c>
      <c r="K148">
        <v>3</v>
      </c>
    </row>
    <row r="149" spans="1:11" x14ac:dyDescent="0.25">
      <c r="A149" s="41" t="s">
        <v>136</v>
      </c>
      <c r="B149" s="41" t="s">
        <v>8</v>
      </c>
      <c r="C149" s="41" t="s">
        <v>9</v>
      </c>
      <c r="D149">
        <v>28</v>
      </c>
      <c r="E149" s="42">
        <v>44425</v>
      </c>
      <c r="F149">
        <v>104770</v>
      </c>
      <c r="G149" s="41" t="s">
        <v>16</v>
      </c>
      <c r="H149" s="41" t="s">
        <v>244</v>
      </c>
      <c r="I149">
        <v>3.0849315068493151</v>
      </c>
      <c r="J149">
        <v>3144</v>
      </c>
      <c r="K149">
        <v>3</v>
      </c>
    </row>
    <row r="150" spans="1:11" x14ac:dyDescent="0.25">
      <c r="A150" s="41" t="s">
        <v>69</v>
      </c>
      <c r="B150" s="41" t="s">
        <v>15</v>
      </c>
      <c r="C150" s="41" t="s">
        <v>9</v>
      </c>
      <c r="D150">
        <v>23</v>
      </c>
      <c r="E150" s="42">
        <v>44440</v>
      </c>
      <c r="F150">
        <v>106460</v>
      </c>
      <c r="G150" s="41" t="s">
        <v>16</v>
      </c>
      <c r="H150" s="41" t="s">
        <v>243</v>
      </c>
      <c r="I150">
        <v>3.043835616438356</v>
      </c>
      <c r="J150">
        <v>3194</v>
      </c>
      <c r="K150">
        <v>3</v>
      </c>
    </row>
    <row r="151" spans="1:11" x14ac:dyDescent="0.25">
      <c r="A151" s="41" t="s">
        <v>161</v>
      </c>
      <c r="B151" s="41" t="s">
        <v>15</v>
      </c>
      <c r="C151" s="41" t="s">
        <v>9</v>
      </c>
      <c r="D151">
        <v>23</v>
      </c>
      <c r="E151" s="42">
        <v>44378</v>
      </c>
      <c r="F151">
        <v>106460</v>
      </c>
      <c r="G151" s="41" t="s">
        <v>16</v>
      </c>
      <c r="H151" s="41" t="s">
        <v>244</v>
      </c>
      <c r="I151">
        <v>3.2136986301369861</v>
      </c>
      <c r="J151">
        <v>3194</v>
      </c>
      <c r="K151">
        <v>3</v>
      </c>
    </row>
    <row r="152" spans="1:11" x14ac:dyDescent="0.25">
      <c r="A152" s="41" t="s">
        <v>22</v>
      </c>
      <c r="B152" s="41" t="s">
        <v>15</v>
      </c>
      <c r="C152" s="41" t="s">
        <v>12</v>
      </c>
      <c r="D152">
        <v>20</v>
      </c>
      <c r="E152" s="42">
        <v>44459</v>
      </c>
      <c r="F152">
        <v>107700</v>
      </c>
      <c r="G152" s="41" t="s">
        <v>16</v>
      </c>
      <c r="H152" s="41" t="s">
        <v>243</v>
      </c>
      <c r="I152">
        <v>2.9917808219178084</v>
      </c>
      <c r="J152">
        <v>3231</v>
      </c>
      <c r="K152">
        <v>3</v>
      </c>
    </row>
    <row r="153" spans="1:11" x14ac:dyDescent="0.25">
      <c r="A153" s="41" t="s">
        <v>117</v>
      </c>
      <c r="B153" s="41" t="s">
        <v>15</v>
      </c>
      <c r="C153" s="41" t="s">
        <v>12</v>
      </c>
      <c r="D153">
        <v>20</v>
      </c>
      <c r="E153" s="42">
        <v>44397</v>
      </c>
      <c r="F153">
        <v>107700</v>
      </c>
      <c r="G153" s="41" t="s">
        <v>16</v>
      </c>
      <c r="H153" s="41" t="s">
        <v>244</v>
      </c>
      <c r="I153">
        <v>3.1616438356164385</v>
      </c>
      <c r="J153">
        <v>3231</v>
      </c>
      <c r="K153">
        <v>3</v>
      </c>
    </row>
    <row r="154" spans="1:11" x14ac:dyDescent="0.25">
      <c r="A154" s="41" t="s">
        <v>33</v>
      </c>
      <c r="B154" s="41" t="s">
        <v>8</v>
      </c>
      <c r="C154" s="41" t="s">
        <v>19</v>
      </c>
      <c r="D154">
        <v>38</v>
      </c>
      <c r="E154" s="42">
        <v>44377</v>
      </c>
      <c r="F154">
        <v>109160</v>
      </c>
      <c r="G154" s="41" t="s">
        <v>10</v>
      </c>
      <c r="H154" s="41" t="s">
        <v>243</v>
      </c>
      <c r="I154">
        <v>3.2164383561643834</v>
      </c>
      <c r="J154">
        <v>3275</v>
      </c>
      <c r="K154">
        <v>5</v>
      </c>
    </row>
    <row r="155" spans="1:11" x14ac:dyDescent="0.25">
      <c r="A155" s="41" t="s">
        <v>127</v>
      </c>
      <c r="B155" s="41" t="s">
        <v>8</v>
      </c>
      <c r="C155" s="41" t="s">
        <v>19</v>
      </c>
      <c r="D155">
        <v>38</v>
      </c>
      <c r="E155" s="42">
        <v>44316</v>
      </c>
      <c r="F155">
        <v>109160</v>
      </c>
      <c r="G155" s="41" t="s">
        <v>10</v>
      </c>
      <c r="H155" s="41" t="s">
        <v>244</v>
      </c>
      <c r="I155">
        <v>3.3835616438356166</v>
      </c>
      <c r="J155">
        <v>3275</v>
      </c>
      <c r="K155">
        <v>5</v>
      </c>
    </row>
    <row r="156" spans="1:11" x14ac:dyDescent="0.25">
      <c r="A156" s="41" t="s">
        <v>34</v>
      </c>
      <c r="B156" s="41" t="s">
        <v>15</v>
      </c>
      <c r="C156" s="41" t="s">
        <v>9</v>
      </c>
      <c r="D156">
        <v>25</v>
      </c>
      <c r="E156" s="42">
        <v>44726</v>
      </c>
      <c r="F156">
        <v>109190</v>
      </c>
      <c r="G156" s="41" t="s">
        <v>13</v>
      </c>
      <c r="H156" s="41" t="s">
        <v>243</v>
      </c>
      <c r="I156">
        <v>2.2602739726027399</v>
      </c>
      <c r="J156">
        <v>3276</v>
      </c>
      <c r="K156">
        <v>4</v>
      </c>
    </row>
    <row r="157" spans="1:11" x14ac:dyDescent="0.25">
      <c r="A157" s="41" t="s">
        <v>128</v>
      </c>
      <c r="B157" s="41" t="s">
        <v>15</v>
      </c>
      <c r="C157" s="41" t="s">
        <v>9</v>
      </c>
      <c r="D157" t="s">
        <v>205</v>
      </c>
      <c r="E157" s="42">
        <v>44665</v>
      </c>
      <c r="F157">
        <v>109190</v>
      </c>
      <c r="G157" s="41" t="s">
        <v>13</v>
      </c>
      <c r="H157" s="41" t="s">
        <v>244</v>
      </c>
      <c r="I157">
        <v>2.4273972602739726</v>
      </c>
      <c r="J157">
        <v>3276</v>
      </c>
      <c r="K157">
        <v>4</v>
      </c>
    </row>
    <row r="158" spans="1:11" x14ac:dyDescent="0.25">
      <c r="A158" s="41" t="s">
        <v>87</v>
      </c>
      <c r="B158" s="41" t="s">
        <v>15</v>
      </c>
      <c r="C158" s="41" t="s">
        <v>12</v>
      </c>
      <c r="D158">
        <v>29</v>
      </c>
      <c r="E158" s="42">
        <v>44180</v>
      </c>
      <c r="F158">
        <v>112110</v>
      </c>
      <c r="G158" s="41" t="s">
        <v>24</v>
      </c>
      <c r="H158" s="41" t="s">
        <v>243</v>
      </c>
      <c r="I158">
        <v>3.7561643835616438</v>
      </c>
      <c r="J158">
        <v>3364</v>
      </c>
      <c r="K158">
        <v>2</v>
      </c>
    </row>
    <row r="159" spans="1:11" x14ac:dyDescent="0.25">
      <c r="A159" s="41" t="s">
        <v>180</v>
      </c>
      <c r="B159" s="41" t="s">
        <v>15</v>
      </c>
      <c r="C159" s="41" t="s">
        <v>12</v>
      </c>
      <c r="D159">
        <v>29</v>
      </c>
      <c r="E159" s="42">
        <v>44119</v>
      </c>
      <c r="F159">
        <v>112110</v>
      </c>
      <c r="G159" s="41" t="s">
        <v>24</v>
      </c>
      <c r="H159" s="41" t="s">
        <v>244</v>
      </c>
      <c r="I159">
        <v>3.9232876712328766</v>
      </c>
      <c r="J159">
        <v>3364</v>
      </c>
      <c r="K159">
        <v>2</v>
      </c>
    </row>
    <row r="160" spans="1:11" x14ac:dyDescent="0.25">
      <c r="A160" s="41" t="s">
        <v>81</v>
      </c>
      <c r="B160" s="41" t="s">
        <v>8</v>
      </c>
      <c r="C160" s="41" t="s">
        <v>9</v>
      </c>
      <c r="D160">
        <v>30</v>
      </c>
      <c r="E160" s="42">
        <v>44861</v>
      </c>
      <c r="F160">
        <v>112570</v>
      </c>
      <c r="G160" s="41" t="s">
        <v>16</v>
      </c>
      <c r="H160" s="41" t="s">
        <v>243</v>
      </c>
      <c r="I160">
        <v>1.8904109589041096</v>
      </c>
      <c r="J160">
        <v>2252</v>
      </c>
      <c r="K160">
        <v>3</v>
      </c>
    </row>
    <row r="161" spans="1:11" x14ac:dyDescent="0.25">
      <c r="A161" s="41" t="s">
        <v>173</v>
      </c>
      <c r="B161" s="41" t="s">
        <v>8</v>
      </c>
      <c r="C161" s="41" t="s">
        <v>9</v>
      </c>
      <c r="D161">
        <v>30</v>
      </c>
      <c r="E161" s="42">
        <v>44800</v>
      </c>
      <c r="F161">
        <v>112570</v>
      </c>
      <c r="G161" s="41" t="s">
        <v>16</v>
      </c>
      <c r="H161" s="41" t="s">
        <v>244</v>
      </c>
      <c r="I161">
        <v>2.0575342465753423</v>
      </c>
      <c r="J161">
        <v>3378</v>
      </c>
      <c r="K161">
        <v>3</v>
      </c>
    </row>
    <row r="162" spans="1:11" x14ac:dyDescent="0.25">
      <c r="A162" s="41" t="s">
        <v>64</v>
      </c>
      <c r="B162" s="41" t="s">
        <v>15</v>
      </c>
      <c r="C162" s="41" t="s">
        <v>12</v>
      </c>
      <c r="D162">
        <v>20</v>
      </c>
      <c r="E162" s="42">
        <v>44183</v>
      </c>
      <c r="F162">
        <v>112650</v>
      </c>
      <c r="G162" s="41" t="s">
        <v>16</v>
      </c>
      <c r="H162" s="41" t="s">
        <v>243</v>
      </c>
      <c r="I162">
        <v>3.7479452054794522</v>
      </c>
      <c r="J162">
        <v>3380</v>
      </c>
      <c r="K162">
        <v>3</v>
      </c>
    </row>
    <row r="163" spans="1:11" x14ac:dyDescent="0.25">
      <c r="A163" s="41" t="s">
        <v>156</v>
      </c>
      <c r="B163" s="41" t="s">
        <v>15</v>
      </c>
      <c r="C163" s="41" t="s">
        <v>12</v>
      </c>
      <c r="D163">
        <v>20</v>
      </c>
      <c r="E163" s="42">
        <v>44122</v>
      </c>
      <c r="F163">
        <v>112650</v>
      </c>
      <c r="G163" s="41" t="s">
        <v>16</v>
      </c>
      <c r="H163" s="41" t="s">
        <v>244</v>
      </c>
      <c r="I163">
        <v>3.9150684931506849</v>
      </c>
      <c r="J163">
        <v>3380</v>
      </c>
      <c r="K163">
        <v>3</v>
      </c>
    </row>
    <row r="164" spans="1:11" x14ac:dyDescent="0.25">
      <c r="A164" s="41" t="s">
        <v>178</v>
      </c>
      <c r="B164" s="41" t="s">
        <v>15</v>
      </c>
      <c r="C164" s="41" t="s">
        <v>9</v>
      </c>
      <c r="D164">
        <v>34</v>
      </c>
      <c r="E164" s="42">
        <v>44642</v>
      </c>
      <c r="F164">
        <v>112650</v>
      </c>
      <c r="G164" s="41" t="s">
        <v>16</v>
      </c>
      <c r="H164" s="41" t="s">
        <v>244</v>
      </c>
      <c r="I164">
        <v>2.4904109589041097</v>
      </c>
      <c r="J164">
        <v>3380</v>
      </c>
      <c r="K164">
        <v>3</v>
      </c>
    </row>
    <row r="165" spans="1:11" x14ac:dyDescent="0.25">
      <c r="A165" s="41" t="s">
        <v>58</v>
      </c>
      <c r="B165" s="41" t="s">
        <v>15</v>
      </c>
      <c r="C165" s="41" t="s">
        <v>19</v>
      </c>
      <c r="D165">
        <v>22</v>
      </c>
      <c r="E165" s="42">
        <v>44446</v>
      </c>
      <c r="F165">
        <v>112780</v>
      </c>
      <c r="G165" s="41" t="s">
        <v>13</v>
      </c>
      <c r="H165" s="41" t="s">
        <v>243</v>
      </c>
      <c r="I165">
        <v>3.0273972602739727</v>
      </c>
      <c r="J165">
        <v>3384</v>
      </c>
      <c r="K165">
        <v>4</v>
      </c>
    </row>
    <row r="166" spans="1:11" x14ac:dyDescent="0.25">
      <c r="A166" s="41" t="s">
        <v>150</v>
      </c>
      <c r="B166" s="41" t="s">
        <v>15</v>
      </c>
      <c r="C166" s="41" t="s">
        <v>19</v>
      </c>
      <c r="D166">
        <v>22</v>
      </c>
      <c r="E166" s="42">
        <v>44384</v>
      </c>
      <c r="F166">
        <v>112780</v>
      </c>
      <c r="G166" s="41" t="s">
        <v>13</v>
      </c>
      <c r="H166" s="41" t="s">
        <v>244</v>
      </c>
      <c r="I166">
        <v>3.1972602739726028</v>
      </c>
      <c r="J166">
        <v>3384</v>
      </c>
      <c r="K166">
        <v>4</v>
      </c>
    </row>
    <row r="167" spans="1:11" x14ac:dyDescent="0.25">
      <c r="A167" s="41" t="s">
        <v>98</v>
      </c>
      <c r="B167" s="41" t="s">
        <v>15</v>
      </c>
      <c r="C167" s="41" t="s">
        <v>9</v>
      </c>
      <c r="D167">
        <v>27</v>
      </c>
      <c r="E167" s="42">
        <v>44609</v>
      </c>
      <c r="F167">
        <v>113280</v>
      </c>
      <c r="G167" s="41" t="s">
        <v>42</v>
      </c>
      <c r="H167" s="41" t="s">
        <v>243</v>
      </c>
      <c r="I167">
        <v>2.580821917808219</v>
      </c>
      <c r="J167">
        <v>3399</v>
      </c>
      <c r="K167">
        <v>1</v>
      </c>
    </row>
    <row r="168" spans="1:11" x14ac:dyDescent="0.25">
      <c r="A168" s="41" t="s">
        <v>191</v>
      </c>
      <c r="B168" s="41" t="s">
        <v>15</v>
      </c>
      <c r="C168" s="41" t="s">
        <v>9</v>
      </c>
      <c r="D168">
        <v>27</v>
      </c>
      <c r="E168" s="42">
        <v>44547</v>
      </c>
      <c r="F168">
        <v>113280</v>
      </c>
      <c r="G168" s="41" t="s">
        <v>42</v>
      </c>
      <c r="H168" s="41" t="s">
        <v>244</v>
      </c>
      <c r="I168">
        <v>2.7506849315068491</v>
      </c>
      <c r="J168">
        <v>3399</v>
      </c>
      <c r="K168">
        <v>1</v>
      </c>
    </row>
    <row r="169" spans="1:11" x14ac:dyDescent="0.25">
      <c r="A169" s="41" t="s">
        <v>54</v>
      </c>
      <c r="B169" s="41" t="s">
        <v>8</v>
      </c>
      <c r="C169" s="41" t="s">
        <v>9</v>
      </c>
      <c r="D169">
        <v>30</v>
      </c>
      <c r="E169" s="42">
        <v>44850</v>
      </c>
      <c r="F169">
        <v>114180</v>
      </c>
      <c r="G169" s="41" t="s">
        <v>16</v>
      </c>
      <c r="H169" s="41" t="s">
        <v>243</v>
      </c>
      <c r="I169">
        <v>1.9205479452054794</v>
      </c>
      <c r="J169">
        <v>2284</v>
      </c>
      <c r="K169">
        <v>3</v>
      </c>
    </row>
    <row r="170" spans="1:11" x14ac:dyDescent="0.25">
      <c r="A170" s="41" t="s">
        <v>147</v>
      </c>
      <c r="B170" s="41" t="s">
        <v>8</v>
      </c>
      <c r="C170" s="41" t="s">
        <v>9</v>
      </c>
      <c r="D170">
        <v>30</v>
      </c>
      <c r="E170" s="42">
        <v>44789</v>
      </c>
      <c r="F170">
        <v>114180</v>
      </c>
      <c r="G170" s="41" t="s">
        <v>16</v>
      </c>
      <c r="H170" s="41" t="s">
        <v>244</v>
      </c>
      <c r="I170">
        <v>2.0876712328767124</v>
      </c>
      <c r="J170">
        <v>3426</v>
      </c>
      <c r="K170">
        <v>3</v>
      </c>
    </row>
    <row r="171" spans="1:11" x14ac:dyDescent="0.25">
      <c r="A171" s="41" t="s">
        <v>17</v>
      </c>
      <c r="B171" s="41" t="s">
        <v>8</v>
      </c>
      <c r="C171" s="41" t="s">
        <v>12</v>
      </c>
      <c r="D171">
        <v>43</v>
      </c>
      <c r="E171" s="42">
        <v>45045</v>
      </c>
      <c r="F171">
        <v>114870</v>
      </c>
      <c r="G171" s="41" t="s">
        <v>16</v>
      </c>
      <c r="H171" s="41" t="s">
        <v>243</v>
      </c>
      <c r="I171">
        <v>1.3863013698630138</v>
      </c>
      <c r="J171">
        <v>2298</v>
      </c>
      <c r="K171">
        <v>3</v>
      </c>
    </row>
    <row r="172" spans="1:11" x14ac:dyDescent="0.25">
      <c r="A172" s="41" t="s">
        <v>114</v>
      </c>
      <c r="B172" s="41" t="s">
        <v>8</v>
      </c>
      <c r="C172" s="41" t="s">
        <v>12</v>
      </c>
      <c r="D172">
        <v>44</v>
      </c>
      <c r="E172" s="42">
        <v>44985</v>
      </c>
      <c r="F172">
        <v>114870</v>
      </c>
      <c r="G172" s="41" t="s">
        <v>16</v>
      </c>
      <c r="H172" s="41" t="s">
        <v>244</v>
      </c>
      <c r="I172">
        <v>1.5506849315068494</v>
      </c>
      <c r="J172">
        <v>2298</v>
      </c>
      <c r="K172">
        <v>3</v>
      </c>
    </row>
    <row r="173" spans="1:11" x14ac:dyDescent="0.25">
      <c r="A173" s="41" t="s">
        <v>83</v>
      </c>
      <c r="B173" s="41" t="s">
        <v>8</v>
      </c>
      <c r="C173" s="41" t="s">
        <v>9</v>
      </c>
      <c r="D173">
        <v>36</v>
      </c>
      <c r="E173" s="42">
        <v>44085</v>
      </c>
      <c r="F173">
        <v>114890</v>
      </c>
      <c r="G173" s="41" t="s">
        <v>16</v>
      </c>
      <c r="H173" s="41" t="s">
        <v>243</v>
      </c>
      <c r="I173">
        <v>4.0164383561643833</v>
      </c>
      <c r="J173">
        <v>3447</v>
      </c>
      <c r="K173">
        <v>3</v>
      </c>
    </row>
    <row r="174" spans="1:11" x14ac:dyDescent="0.25">
      <c r="A174" s="41" t="s">
        <v>175</v>
      </c>
      <c r="B174" s="41" t="s">
        <v>8</v>
      </c>
      <c r="C174" s="41" t="s">
        <v>9</v>
      </c>
      <c r="D174">
        <v>36</v>
      </c>
      <c r="E174" s="42">
        <v>44023</v>
      </c>
      <c r="F174">
        <v>114890</v>
      </c>
      <c r="G174" s="41" t="s">
        <v>16</v>
      </c>
      <c r="H174" s="41" t="s">
        <v>244</v>
      </c>
      <c r="I174">
        <v>4.1863013698630134</v>
      </c>
      <c r="J174">
        <v>3447</v>
      </c>
      <c r="K174">
        <v>3</v>
      </c>
    </row>
    <row r="175" spans="1:11" x14ac:dyDescent="0.25">
      <c r="A175" s="41" t="s">
        <v>49</v>
      </c>
      <c r="B175" s="41" t="s">
        <v>208</v>
      </c>
      <c r="C175" s="41" t="s">
        <v>21</v>
      </c>
      <c r="D175">
        <v>37</v>
      </c>
      <c r="E175" s="42">
        <v>44146</v>
      </c>
      <c r="F175">
        <v>115440</v>
      </c>
      <c r="G175" s="41" t="s">
        <v>24</v>
      </c>
      <c r="H175" s="41" t="s">
        <v>243</v>
      </c>
      <c r="I175">
        <v>3.8493150684931505</v>
      </c>
      <c r="J175">
        <v>3464</v>
      </c>
      <c r="K175">
        <v>2</v>
      </c>
    </row>
    <row r="176" spans="1:11" x14ac:dyDescent="0.25">
      <c r="A176" s="41" t="s">
        <v>142</v>
      </c>
      <c r="B176" s="41" t="s">
        <v>208</v>
      </c>
      <c r="C176" s="41" t="s">
        <v>21</v>
      </c>
      <c r="D176">
        <v>37</v>
      </c>
      <c r="E176" s="42">
        <v>44085</v>
      </c>
      <c r="F176">
        <v>115440</v>
      </c>
      <c r="G176" s="41" t="s">
        <v>24</v>
      </c>
      <c r="H176" s="41" t="s">
        <v>244</v>
      </c>
      <c r="I176">
        <v>4.0164383561643833</v>
      </c>
      <c r="J176">
        <v>3464</v>
      </c>
      <c r="K176">
        <v>2</v>
      </c>
    </row>
    <row r="177" spans="1:11" x14ac:dyDescent="0.25">
      <c r="A177" s="41" t="s">
        <v>40</v>
      </c>
      <c r="B177" s="41" t="s">
        <v>15</v>
      </c>
      <c r="C177" s="41" t="s">
        <v>9</v>
      </c>
      <c r="D177">
        <v>33</v>
      </c>
      <c r="E177" s="42">
        <v>44164</v>
      </c>
      <c r="F177">
        <v>115920</v>
      </c>
      <c r="G177" s="41" t="s">
        <v>16</v>
      </c>
      <c r="H177" s="41" t="s">
        <v>243</v>
      </c>
      <c r="I177">
        <v>3.8</v>
      </c>
      <c r="J177">
        <v>3478</v>
      </c>
      <c r="K177">
        <v>3</v>
      </c>
    </row>
    <row r="178" spans="1:11" x14ac:dyDescent="0.25">
      <c r="A178" s="41" t="s">
        <v>134</v>
      </c>
      <c r="B178" s="41" t="s">
        <v>15</v>
      </c>
      <c r="C178" s="41" t="s">
        <v>9</v>
      </c>
      <c r="D178">
        <v>33</v>
      </c>
      <c r="E178" s="42">
        <v>44103</v>
      </c>
      <c r="F178">
        <v>115920</v>
      </c>
      <c r="G178" s="41" t="s">
        <v>16</v>
      </c>
      <c r="H178" s="41" t="s">
        <v>244</v>
      </c>
      <c r="I178">
        <v>3.967123287671233</v>
      </c>
      <c r="J178">
        <v>3478</v>
      </c>
      <c r="K178">
        <v>3</v>
      </c>
    </row>
    <row r="179" spans="1:11" x14ac:dyDescent="0.25">
      <c r="A179" s="41" t="s">
        <v>55</v>
      </c>
      <c r="B179" s="41" t="s">
        <v>8</v>
      </c>
      <c r="C179" s="41" t="s">
        <v>56</v>
      </c>
      <c r="D179">
        <v>37</v>
      </c>
      <c r="E179" s="42">
        <v>44451</v>
      </c>
      <c r="F179">
        <v>118100</v>
      </c>
      <c r="G179" s="41" t="s">
        <v>16</v>
      </c>
      <c r="H179" s="41" t="s">
        <v>243</v>
      </c>
      <c r="I179">
        <v>3.0136986301369864</v>
      </c>
      <c r="J179">
        <v>3543</v>
      </c>
      <c r="K179">
        <v>3</v>
      </c>
    </row>
    <row r="180" spans="1:11" x14ac:dyDescent="0.25">
      <c r="A180" s="41" t="s">
        <v>148</v>
      </c>
      <c r="B180" s="41" t="s">
        <v>8</v>
      </c>
      <c r="C180" s="41" t="s">
        <v>56</v>
      </c>
      <c r="D180">
        <v>37</v>
      </c>
      <c r="E180" s="42">
        <v>44389</v>
      </c>
      <c r="F180">
        <v>118100</v>
      </c>
      <c r="G180" s="41" t="s">
        <v>16</v>
      </c>
      <c r="H180" s="41" t="s">
        <v>244</v>
      </c>
      <c r="I180">
        <v>3.1835616438356165</v>
      </c>
      <c r="J180">
        <v>3543</v>
      </c>
      <c r="K180">
        <v>3</v>
      </c>
    </row>
    <row r="181" spans="1:11" x14ac:dyDescent="0.25">
      <c r="A181" s="41" t="s">
        <v>106</v>
      </c>
      <c r="B181" s="41" t="s">
        <v>15</v>
      </c>
      <c r="C181" s="41" t="s">
        <v>12</v>
      </c>
      <c r="D181">
        <v>36</v>
      </c>
      <c r="E181" s="42">
        <v>44019</v>
      </c>
      <c r="F181">
        <v>118840</v>
      </c>
      <c r="G181" s="41" t="s">
        <v>16</v>
      </c>
      <c r="H181" s="41" t="s">
        <v>243</v>
      </c>
      <c r="I181">
        <v>4.1972602739726028</v>
      </c>
      <c r="J181">
        <v>3566</v>
      </c>
      <c r="K181">
        <v>3</v>
      </c>
    </row>
    <row r="182" spans="1:11" x14ac:dyDescent="0.25">
      <c r="A182" s="41" t="s">
        <v>199</v>
      </c>
      <c r="B182" s="41" t="s">
        <v>15</v>
      </c>
      <c r="C182" s="41" t="s">
        <v>12</v>
      </c>
      <c r="D182">
        <v>36</v>
      </c>
      <c r="E182" s="42">
        <v>43958</v>
      </c>
      <c r="F182">
        <v>118840</v>
      </c>
      <c r="G182" s="41" t="s">
        <v>16</v>
      </c>
      <c r="H182" s="41" t="s">
        <v>244</v>
      </c>
      <c r="I182">
        <v>4.3643835616438356</v>
      </c>
      <c r="J182">
        <v>3566</v>
      </c>
      <c r="K182">
        <v>3</v>
      </c>
    </row>
    <row r="183" spans="1:11" x14ac:dyDescent="0.25">
      <c r="A183" s="41" t="s">
        <v>60</v>
      </c>
      <c r="B183" s="41" t="s">
        <v>8</v>
      </c>
      <c r="C183" s="41" t="s">
        <v>56</v>
      </c>
      <c r="D183">
        <v>27</v>
      </c>
      <c r="E183" s="42">
        <v>44122</v>
      </c>
      <c r="F183">
        <v>119110</v>
      </c>
      <c r="G183" s="41" t="s">
        <v>16</v>
      </c>
      <c r="H183" s="41" t="s">
        <v>243</v>
      </c>
      <c r="I183">
        <v>3.9150684931506849</v>
      </c>
      <c r="J183">
        <v>3574</v>
      </c>
      <c r="K183">
        <v>3</v>
      </c>
    </row>
    <row r="184" spans="1:11" x14ac:dyDescent="0.25">
      <c r="A184" s="41" t="s">
        <v>152</v>
      </c>
      <c r="B184" s="41" t="s">
        <v>8</v>
      </c>
      <c r="C184" s="41" t="s">
        <v>56</v>
      </c>
      <c r="D184">
        <v>27</v>
      </c>
      <c r="E184" s="42">
        <v>44061</v>
      </c>
      <c r="F184">
        <v>119110</v>
      </c>
      <c r="G184" s="41" t="s">
        <v>16</v>
      </c>
      <c r="H184" s="41" t="s">
        <v>244</v>
      </c>
      <c r="I184">
        <v>4.0821917808219181</v>
      </c>
      <c r="J184">
        <v>3574</v>
      </c>
      <c r="K184">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2DACE-BA3D-4C31-9180-0EEBAFBB28CF}">
  <sheetPr>
    <tabColor theme="7" tint="-0.249977111117893"/>
  </sheetPr>
  <dimension ref="A1:O184"/>
  <sheetViews>
    <sheetView tabSelected="1" workbookViewId="0">
      <selection activeCell="P17" sqref="P17"/>
    </sheetView>
  </sheetViews>
  <sheetFormatPr defaultRowHeight="15" x14ac:dyDescent="0.25"/>
  <cols>
    <col min="1" max="1" width="30" bestFit="1" customWidth="1"/>
    <col min="2" max="2" width="10" bestFit="1" customWidth="1"/>
    <col min="3" max="3" width="14" bestFit="1" customWidth="1"/>
    <col min="4" max="4" width="6.7109375" bestFit="1" customWidth="1"/>
    <col min="5" max="5" width="13.7109375" bestFit="1" customWidth="1"/>
    <col min="6" max="6" width="11.85546875" bestFit="1" customWidth="1"/>
    <col min="7" max="7" width="14.28515625" bestFit="1" customWidth="1"/>
    <col min="8" max="8" width="11.5703125" bestFit="1" customWidth="1"/>
    <col min="9" max="9" width="9.5703125" bestFit="1" customWidth="1"/>
    <col min="10" max="10" width="9.85546875" style="6" bestFit="1" customWidth="1"/>
    <col min="11" max="11" width="13.42578125" style="6" bestFit="1" customWidth="1"/>
    <col min="12" max="13" width="19" bestFit="1" customWidth="1"/>
    <col min="14" max="14" width="12.5703125" bestFit="1" customWidth="1"/>
    <col min="15" max="15" width="10.85546875" bestFit="1" customWidth="1"/>
    <col min="16" max="16" width="19" bestFit="1" customWidth="1"/>
    <col min="17" max="18" width="10.85546875" bestFit="1" customWidth="1"/>
  </cols>
  <sheetData>
    <row r="1" spans="1:15" x14ac:dyDescent="0.25">
      <c r="A1" t="s">
        <v>0</v>
      </c>
      <c r="B1" t="s">
        <v>1</v>
      </c>
      <c r="C1" t="s">
        <v>2</v>
      </c>
      <c r="D1" t="s">
        <v>3</v>
      </c>
      <c r="E1" t="s">
        <v>4</v>
      </c>
      <c r="F1" s="6" t="s">
        <v>5</v>
      </c>
      <c r="G1" t="s">
        <v>6</v>
      </c>
      <c r="H1" t="s">
        <v>207</v>
      </c>
      <c r="I1" t="s">
        <v>213</v>
      </c>
      <c r="J1" s="6" t="s">
        <v>234</v>
      </c>
      <c r="K1" t="s">
        <v>235</v>
      </c>
      <c r="L1" s="14" t="s">
        <v>218</v>
      </c>
    </row>
    <row r="2" spans="1:15" x14ac:dyDescent="0.25">
      <c r="A2" t="s">
        <v>86</v>
      </c>
      <c r="B2" t="s">
        <v>8</v>
      </c>
      <c r="C2" t="s">
        <v>12</v>
      </c>
      <c r="D2">
        <v>21</v>
      </c>
      <c r="E2" s="8">
        <v>44678</v>
      </c>
      <c r="F2" s="6">
        <v>33920</v>
      </c>
      <c r="G2" t="s">
        <v>16</v>
      </c>
      <c r="H2" t="s">
        <v>243</v>
      </c>
      <c r="I2" s="9">
        <f ca="1">(TODAY()-staff[[#This Row],[Date Joined]])/365</f>
        <v>2.3917808219178083</v>
      </c>
      <c r="J2" s="6">
        <f ca="1">ROUNDUP(IF(staff[[#This Row],[Tenure]]&gt;2,3%,2 %)*staff[[#This Row],[Salary]],0)</f>
        <v>1018</v>
      </c>
      <c r="K2">
        <f>_xlfn.XLOOKUP(staff[[#This Row],[Rating]],'Salary vs. Rating'!$B$11:$B$15,'Salary vs. Rating'!$C$11:$C$15)</f>
        <v>3</v>
      </c>
      <c r="M2" s="36" t="s">
        <v>218</v>
      </c>
      <c r="N2" s="36"/>
      <c r="O2" s="36"/>
    </row>
    <row r="3" spans="1:15" x14ac:dyDescent="0.25">
      <c r="A3" t="s">
        <v>179</v>
      </c>
      <c r="B3" t="s">
        <v>8</v>
      </c>
      <c r="C3" t="s">
        <v>12</v>
      </c>
      <c r="D3">
        <v>21</v>
      </c>
      <c r="E3" s="8">
        <v>44619</v>
      </c>
      <c r="F3" s="6">
        <v>33920</v>
      </c>
      <c r="G3" t="s">
        <v>16</v>
      </c>
      <c r="H3" t="s">
        <v>244</v>
      </c>
      <c r="I3" s="9">
        <f ca="1">(TODAY()-staff[[#This Row],[Date Joined]])/365</f>
        <v>2.5534246575342467</v>
      </c>
      <c r="J3" s="6">
        <f ca="1">ROUNDUP(IF(staff[[#This Row],[Tenure]]&gt;2,3%,2 %)*staff[[#This Row],[Salary]],0)</f>
        <v>1018</v>
      </c>
      <c r="K3">
        <f>_xlfn.XLOOKUP(staff[[#This Row],[Rating]],'Salary vs. Rating'!$B$11:$B$15,'Salary vs. Rating'!$C$11:$C$15)</f>
        <v>3</v>
      </c>
      <c r="M3" s="13" t="s">
        <v>209</v>
      </c>
      <c r="N3" s="15">
        <f>COUNTA(staff[Name])</f>
        <v>183</v>
      </c>
      <c r="O3" s="15"/>
    </row>
    <row r="4" spans="1:15" x14ac:dyDescent="0.25">
      <c r="A4" t="s">
        <v>44</v>
      </c>
      <c r="B4" t="s">
        <v>8</v>
      </c>
      <c r="C4" t="s">
        <v>12</v>
      </c>
      <c r="D4">
        <v>29</v>
      </c>
      <c r="E4" s="8">
        <v>44023</v>
      </c>
      <c r="F4" s="6">
        <v>34980</v>
      </c>
      <c r="G4" t="s">
        <v>16</v>
      </c>
      <c r="H4" t="s">
        <v>243</v>
      </c>
      <c r="I4" s="9">
        <f ca="1">(TODAY()-staff[[#This Row],[Date Joined]])/365</f>
        <v>4.1863013698630134</v>
      </c>
      <c r="J4" s="6">
        <f ca="1">ROUNDUP(IF(staff[[#This Row],[Tenure]]&gt;2,3%,2 %)*staff[[#This Row],[Salary]],0)</f>
        <v>1050</v>
      </c>
      <c r="K4">
        <f>_xlfn.XLOOKUP(staff[[#This Row],[Rating]],'Salary vs. Rating'!$B$11:$B$15,'Salary vs. Rating'!$C$11:$C$15)</f>
        <v>3</v>
      </c>
      <c r="M4" s="13" t="s">
        <v>210</v>
      </c>
      <c r="N4" s="16">
        <f>AVERAGE(staff[Salary])</f>
        <v>77173.715846994543</v>
      </c>
      <c r="O4" s="16">
        <f>MEDIAN(staff[Salary])</f>
        <v>75000</v>
      </c>
    </row>
    <row r="5" spans="1:15" x14ac:dyDescent="0.25">
      <c r="A5" t="s">
        <v>137</v>
      </c>
      <c r="B5" t="s">
        <v>8</v>
      </c>
      <c r="C5" t="s">
        <v>12</v>
      </c>
      <c r="D5">
        <v>29</v>
      </c>
      <c r="E5" s="8">
        <v>43962</v>
      </c>
      <c r="F5" s="6">
        <v>34980</v>
      </c>
      <c r="G5" t="s">
        <v>16</v>
      </c>
      <c r="H5" t="s">
        <v>244</v>
      </c>
      <c r="I5" s="9">
        <f ca="1">(TODAY()-staff[[#This Row],[Date Joined]])/365</f>
        <v>4.353424657534247</v>
      </c>
      <c r="J5" s="6">
        <f ca="1">ROUNDUP(IF(staff[[#This Row],[Tenure]]&gt;2,3%,2 %)*staff[[#This Row],[Salary]],0)</f>
        <v>1050</v>
      </c>
      <c r="K5">
        <f>_xlfn.XLOOKUP(staff[[#This Row],[Rating]],'Salary vs. Rating'!$B$11:$B$15,'Salary vs. Rating'!$C$11:$C$15)</f>
        <v>3</v>
      </c>
      <c r="M5" s="13" t="s">
        <v>211</v>
      </c>
      <c r="N5" s="17">
        <f>AVERAGE(staff[Age])</f>
        <v>30.456043956043956</v>
      </c>
      <c r="O5" s="15">
        <f>MEDIAN(staff[Age])</f>
        <v>30</v>
      </c>
    </row>
    <row r="6" spans="1:15" x14ac:dyDescent="0.25">
      <c r="A6" t="s">
        <v>99</v>
      </c>
      <c r="B6" t="s">
        <v>15</v>
      </c>
      <c r="C6" t="s">
        <v>19</v>
      </c>
      <c r="D6">
        <v>43</v>
      </c>
      <c r="E6" s="8">
        <v>44620</v>
      </c>
      <c r="F6" s="6">
        <v>36040</v>
      </c>
      <c r="G6" t="s">
        <v>16</v>
      </c>
      <c r="H6" t="s">
        <v>243</v>
      </c>
      <c r="I6" s="9">
        <f ca="1">(TODAY()-staff[[#This Row],[Date Joined]])/365</f>
        <v>2.5506849315068494</v>
      </c>
      <c r="J6" s="6">
        <f ca="1">ROUNDUP(IF(staff[[#This Row],[Tenure]]&gt;2,3%,2 %)*staff[[#This Row],[Salary]],0)</f>
        <v>1082</v>
      </c>
      <c r="K6">
        <f>_xlfn.XLOOKUP(staff[[#This Row],[Rating]],'Salary vs. Rating'!$B$11:$B$15,'Salary vs. Rating'!$C$11:$C$15)</f>
        <v>3</v>
      </c>
      <c r="M6" s="13" t="s">
        <v>212</v>
      </c>
      <c r="N6" s="17">
        <f ca="1">AVERAGE(staff[Tenure])</f>
        <v>3.0629238715472709</v>
      </c>
      <c r="O6" s="15"/>
    </row>
    <row r="7" spans="1:15" x14ac:dyDescent="0.25">
      <c r="A7" t="s">
        <v>192</v>
      </c>
      <c r="B7" t="s">
        <v>15</v>
      </c>
      <c r="C7" t="s">
        <v>19</v>
      </c>
      <c r="D7">
        <v>43</v>
      </c>
      <c r="E7" s="8">
        <v>44558</v>
      </c>
      <c r="F7" s="6">
        <v>36040</v>
      </c>
      <c r="G7" t="s">
        <v>16</v>
      </c>
      <c r="H7" t="s">
        <v>244</v>
      </c>
      <c r="I7" s="9">
        <f ca="1">(TODAY()-staff[[#This Row],[Date Joined]])/365</f>
        <v>2.7205479452054795</v>
      </c>
      <c r="J7" s="6">
        <f ca="1">ROUNDUP(IF(staff[[#This Row],[Tenure]]&gt;2,3%,2 %)*staff[[#This Row],[Salary]],0)</f>
        <v>1082</v>
      </c>
      <c r="K7">
        <f>_xlfn.XLOOKUP(staff[[#This Row],[Rating]],'Salary vs. Rating'!$B$11:$B$15,'Salary vs. Rating'!$C$11:$C$15)</f>
        <v>3</v>
      </c>
      <c r="M7" s="13" t="s">
        <v>215</v>
      </c>
      <c r="N7" s="15">
        <f>COUNTIF(staff[Gender],"Female")</f>
        <v>86</v>
      </c>
      <c r="O7" s="15"/>
    </row>
    <row r="8" spans="1:15" x14ac:dyDescent="0.25">
      <c r="A8" t="s">
        <v>47</v>
      </c>
      <c r="B8" t="s">
        <v>15</v>
      </c>
      <c r="C8" t="s">
        <v>9</v>
      </c>
      <c r="D8">
        <v>21</v>
      </c>
      <c r="E8" s="8">
        <v>44104</v>
      </c>
      <c r="F8" s="6">
        <v>37920</v>
      </c>
      <c r="G8" t="s">
        <v>16</v>
      </c>
      <c r="H8" t="s">
        <v>243</v>
      </c>
      <c r="I8" s="9">
        <f ca="1">(TODAY()-staff[[#This Row],[Date Joined]])/365</f>
        <v>3.9643835616438357</v>
      </c>
      <c r="J8" s="6">
        <f ca="1">ROUNDUP(IF(staff[[#This Row],[Tenure]]&gt;2,3%,2 %)*staff[[#This Row],[Salary]],0)</f>
        <v>1138</v>
      </c>
      <c r="K8">
        <f>_xlfn.XLOOKUP(staff[[#This Row],[Rating]],'Salary vs. Rating'!$B$11:$B$15,'Salary vs. Rating'!$C$11:$C$15)</f>
        <v>3</v>
      </c>
      <c r="M8" s="5" t="s">
        <v>219</v>
      </c>
      <c r="N8" s="18">
        <f>N7/N3</f>
        <v>0.46994535519125685</v>
      </c>
      <c r="O8" s="15"/>
    </row>
    <row r="9" spans="1:15" x14ac:dyDescent="0.25">
      <c r="A9" t="s">
        <v>140</v>
      </c>
      <c r="B9" t="s">
        <v>15</v>
      </c>
      <c r="C9" t="s">
        <v>9</v>
      </c>
      <c r="D9">
        <v>21</v>
      </c>
      <c r="E9" s="8">
        <v>44042</v>
      </c>
      <c r="F9" s="6">
        <v>37920</v>
      </c>
      <c r="G9" t="s">
        <v>16</v>
      </c>
      <c r="H9" t="s">
        <v>244</v>
      </c>
      <c r="I9" s="9">
        <f ca="1">(TODAY()-staff[[#This Row],[Date Joined]])/365</f>
        <v>4.1342465753424653</v>
      </c>
      <c r="J9" s="6">
        <f ca="1">ROUNDUP(IF(staff[[#This Row],[Tenure]]&gt;2,3%,2 %)*staff[[#This Row],[Salary]],0)</f>
        <v>1138</v>
      </c>
      <c r="K9">
        <f>_xlfn.XLOOKUP(staff[[#This Row],[Rating]],'Salary vs. Rating'!$B$11:$B$15,'Salary vs. Rating'!$C$11:$C$15)</f>
        <v>3</v>
      </c>
      <c r="M9" s="5" t="s">
        <v>216</v>
      </c>
      <c r="N9" s="18">
        <f>COUNTIF(staff[Salary],"&gt;90000")/COUNTA(staff[Salary])</f>
        <v>0.34426229508196721</v>
      </c>
      <c r="O9" s="15"/>
    </row>
    <row r="10" spans="1:15" x14ac:dyDescent="0.25">
      <c r="A10" t="s">
        <v>57</v>
      </c>
      <c r="B10" t="s">
        <v>15</v>
      </c>
      <c r="C10" t="s">
        <v>9</v>
      </c>
      <c r="D10">
        <v>35</v>
      </c>
      <c r="E10" s="8">
        <v>44727</v>
      </c>
      <c r="F10" s="6">
        <v>40400</v>
      </c>
      <c r="G10" t="s">
        <v>16</v>
      </c>
      <c r="H10" t="s">
        <v>243</v>
      </c>
      <c r="I10" s="9">
        <f ca="1">(TODAY()-staff[[#This Row],[Date Joined]])/365</f>
        <v>2.2575342465753425</v>
      </c>
      <c r="J10" s="6">
        <f ca="1">ROUNDUP(IF(staff[[#This Row],[Tenure]]&gt;2,3%,2 %)*staff[[#This Row],[Salary]],0)</f>
        <v>1212</v>
      </c>
      <c r="K10">
        <f>_xlfn.XLOOKUP(staff[[#This Row],[Rating]],'Salary vs. Rating'!$B$11:$B$15,'Salary vs. Rating'!$C$11:$C$15)</f>
        <v>3</v>
      </c>
      <c r="M10" s="5" t="s">
        <v>217</v>
      </c>
      <c r="N10" s="19">
        <f>COUNTIF(staff[Salary],"&lt;90000")/COUNTA(staff[Salary])</f>
        <v>0.65573770491803274</v>
      </c>
      <c r="O10" s="15"/>
    </row>
    <row r="11" spans="1:15" x14ac:dyDescent="0.25">
      <c r="A11" t="s">
        <v>149</v>
      </c>
      <c r="B11" t="s">
        <v>15</v>
      </c>
      <c r="C11" t="s">
        <v>9</v>
      </c>
      <c r="D11">
        <v>35</v>
      </c>
      <c r="E11" s="8">
        <v>44666</v>
      </c>
      <c r="F11" s="6">
        <v>40400</v>
      </c>
      <c r="G11" t="s">
        <v>16</v>
      </c>
      <c r="H11" t="s">
        <v>244</v>
      </c>
      <c r="I11" s="9">
        <f ca="1">(TODAY()-staff[[#This Row],[Date Joined]])/365</f>
        <v>2.4246575342465753</v>
      </c>
      <c r="J11" s="6">
        <f ca="1">ROUNDUP(IF(staff[[#This Row],[Tenure]]&gt;2,3%,2 %)*staff[[#This Row],[Salary]],0)</f>
        <v>1212</v>
      </c>
      <c r="K11">
        <f>_xlfn.XLOOKUP(staff[[#This Row],[Rating]],'Salary vs. Rating'!$B$11:$B$15,'Salary vs. Rating'!$C$11:$C$15)</f>
        <v>3</v>
      </c>
    </row>
    <row r="12" spans="1:15" x14ac:dyDescent="0.25">
      <c r="A12" t="s">
        <v>66</v>
      </c>
      <c r="B12" t="s">
        <v>8</v>
      </c>
      <c r="C12" t="s">
        <v>9</v>
      </c>
      <c r="D12">
        <v>32</v>
      </c>
      <c r="E12" s="8">
        <v>44611</v>
      </c>
      <c r="F12" s="6">
        <v>41570</v>
      </c>
      <c r="G12" t="s">
        <v>16</v>
      </c>
      <c r="H12" t="s">
        <v>243</v>
      </c>
      <c r="I12" s="9">
        <f ca="1">(TODAY()-staff[[#This Row],[Date Joined]])/365</f>
        <v>2.5753424657534247</v>
      </c>
      <c r="J12" s="6">
        <f ca="1">ROUNDUP(IF(staff[[#This Row],[Tenure]]&gt;2,3%,2 %)*staff[[#This Row],[Salary]],0)</f>
        <v>1248</v>
      </c>
      <c r="K12">
        <f>_xlfn.XLOOKUP(staff[[#This Row],[Rating]],'Salary vs. Rating'!$B$11:$B$15,'Salary vs. Rating'!$C$11:$C$15)</f>
        <v>3</v>
      </c>
      <c r="O12" s="5"/>
    </row>
    <row r="13" spans="1:15" x14ac:dyDescent="0.25">
      <c r="A13" t="s">
        <v>158</v>
      </c>
      <c r="B13" t="s">
        <v>8</v>
      </c>
      <c r="C13" t="s">
        <v>9</v>
      </c>
      <c r="D13">
        <v>32</v>
      </c>
      <c r="E13" s="8">
        <v>44549</v>
      </c>
      <c r="F13" s="6">
        <v>41570</v>
      </c>
      <c r="G13" t="s">
        <v>16</v>
      </c>
      <c r="H13" t="s">
        <v>244</v>
      </c>
      <c r="I13" s="9">
        <f ca="1">(TODAY()-staff[[#This Row],[Date Joined]])/365</f>
        <v>2.7452054794520548</v>
      </c>
      <c r="J13" s="6">
        <f ca="1">ROUNDUP(IF(staff[[#This Row],[Tenure]]&gt;2,3%,2 %)*staff[[#This Row],[Salary]],0)</f>
        <v>1248</v>
      </c>
      <c r="K13">
        <f>_xlfn.XLOOKUP(staff[[#This Row],[Rating]],'Salary vs. Rating'!$B$11:$B$15,'Salary vs. Rating'!$C$11:$C$15)</f>
        <v>3</v>
      </c>
      <c r="M13" s="37" t="s">
        <v>220</v>
      </c>
      <c r="N13" s="37"/>
      <c r="O13" s="37"/>
    </row>
    <row r="14" spans="1:15" x14ac:dyDescent="0.25">
      <c r="A14" t="s">
        <v>30</v>
      </c>
      <c r="B14" t="s">
        <v>8</v>
      </c>
      <c r="C14" t="s">
        <v>12</v>
      </c>
      <c r="D14">
        <v>31</v>
      </c>
      <c r="E14" s="8">
        <v>44145</v>
      </c>
      <c r="F14" s="6">
        <v>41980</v>
      </c>
      <c r="G14" t="s">
        <v>16</v>
      </c>
      <c r="H14" t="s">
        <v>243</v>
      </c>
      <c r="I14" s="9">
        <f ca="1">(TODAY()-staff[[#This Row],[Date Joined]])/365</f>
        <v>3.8520547945205479</v>
      </c>
      <c r="J14" s="6">
        <f ca="1">ROUNDUP(IF(staff[[#This Row],[Tenure]]&gt;2,3%,2 %)*staff[[#This Row],[Salary]],0)</f>
        <v>1260</v>
      </c>
      <c r="K14">
        <f>_xlfn.XLOOKUP(staff[[#This Row],[Rating]],'Salary vs. Rating'!$B$11:$B$15,'Salary vs. Rating'!$C$11:$C$15)</f>
        <v>3</v>
      </c>
    </row>
    <row r="15" spans="1:15" x14ac:dyDescent="0.25">
      <c r="A15" t="s">
        <v>124</v>
      </c>
      <c r="B15" t="s">
        <v>8</v>
      </c>
      <c r="C15" t="s">
        <v>12</v>
      </c>
      <c r="D15">
        <v>31</v>
      </c>
      <c r="E15" s="8">
        <v>44084</v>
      </c>
      <c r="F15" s="6">
        <v>41980</v>
      </c>
      <c r="G15" t="s">
        <v>16</v>
      </c>
      <c r="H15" t="s">
        <v>244</v>
      </c>
      <c r="I15" s="9">
        <f ca="1">(TODAY()-staff[[#This Row],[Date Joined]])/365</f>
        <v>4.0191780821917806</v>
      </c>
      <c r="J15" s="6">
        <f ca="1">ROUNDUP(IF(staff[[#This Row],[Tenure]]&gt;2,3%,2 %)*staff[[#This Row],[Salary]],0)</f>
        <v>1260</v>
      </c>
      <c r="K15">
        <f>_xlfn.XLOOKUP(staff[[#This Row],[Rating]],'Salary vs. Rating'!$B$11:$B$15,'Salary vs. Rating'!$C$11:$C$15)</f>
        <v>3</v>
      </c>
      <c r="L15" s="24" t="s">
        <v>221</v>
      </c>
      <c r="M15" s="20" t="s">
        <v>165</v>
      </c>
    </row>
    <row r="16" spans="1:15" x14ac:dyDescent="0.25">
      <c r="A16" t="s">
        <v>80</v>
      </c>
      <c r="B16" t="s">
        <v>15</v>
      </c>
      <c r="C16" t="s">
        <v>19</v>
      </c>
      <c r="D16">
        <v>28</v>
      </c>
      <c r="E16" s="8">
        <v>44820</v>
      </c>
      <c r="F16" s="6">
        <v>43510</v>
      </c>
      <c r="G16" t="s">
        <v>42</v>
      </c>
      <c r="H16" t="s">
        <v>243</v>
      </c>
      <c r="I16" s="9">
        <f ca="1">(TODAY()-staff[[#This Row],[Date Joined]])/365</f>
        <v>2.0027397260273974</v>
      </c>
      <c r="J16" s="6">
        <f ca="1">ROUNDUP(IF(staff[[#This Row],[Tenure]]&gt;2,3%,2 %)*staff[[#This Row],[Salary]],0)</f>
        <v>1306</v>
      </c>
      <c r="K16">
        <f>_xlfn.XLOOKUP(staff[[#This Row],[Rating]],'Salary vs. Rating'!$B$11:$B$15,'Salary vs. Rating'!$C$11:$C$15)</f>
        <v>1</v>
      </c>
      <c r="L16" s="10"/>
    </row>
    <row r="17" spans="1:15" x14ac:dyDescent="0.25">
      <c r="A17" t="s">
        <v>172</v>
      </c>
      <c r="B17" t="s">
        <v>15</v>
      </c>
      <c r="C17" t="s">
        <v>19</v>
      </c>
      <c r="D17">
        <v>28</v>
      </c>
      <c r="E17" s="8">
        <v>44758</v>
      </c>
      <c r="F17" s="6">
        <v>43510</v>
      </c>
      <c r="G17" t="s">
        <v>42</v>
      </c>
      <c r="H17" t="s">
        <v>244</v>
      </c>
      <c r="I17" s="9">
        <f ca="1">(TODAY()-staff[[#This Row],[Date Joined]])/365</f>
        <v>2.1726027397260275</v>
      </c>
      <c r="J17" s="6">
        <f ca="1">ROUNDUP(IF(staff[[#This Row],[Tenure]]&gt;2,3%,2 %)*staff[[#This Row],[Salary]],0)</f>
        <v>1306</v>
      </c>
      <c r="K17">
        <f>_xlfn.XLOOKUP(staff[[#This Row],[Rating]],'Salary vs. Rating'!$B$11:$B$15,'Salary vs. Rating'!$C$11:$C$15)</f>
        <v>1</v>
      </c>
      <c r="L17" s="24"/>
      <c r="M17" s="23" t="s">
        <v>1</v>
      </c>
      <c r="N17" s="22" t="str" cm="1">
        <f t="array" aca="1" ref="N17:N24" ca="1">TRANSPOSE(_xlfn.XLOOKUP(M15,staff[Name],staff[[Gender]:[Tenure]]))</f>
        <v>Female</v>
      </c>
    </row>
    <row r="18" spans="1:15" x14ac:dyDescent="0.25">
      <c r="A18" t="s">
        <v>84</v>
      </c>
      <c r="B18" t="s">
        <v>8</v>
      </c>
      <c r="C18" t="s">
        <v>12</v>
      </c>
      <c r="D18">
        <v>32</v>
      </c>
      <c r="E18" s="8">
        <v>44354</v>
      </c>
      <c r="F18" s="6">
        <v>43840</v>
      </c>
      <c r="G18" t="s">
        <v>13</v>
      </c>
      <c r="H18" t="s">
        <v>243</v>
      </c>
      <c r="I18" s="9">
        <f ca="1">(TODAY()-staff[[#This Row],[Date Joined]])/365</f>
        <v>3.2794520547945205</v>
      </c>
      <c r="J18" s="6">
        <f ca="1">ROUNDUP(IF(staff[[#This Row],[Tenure]]&gt;2,3%,2 %)*staff[[#This Row],[Salary]],0)</f>
        <v>1316</v>
      </c>
      <c r="K18">
        <f>_xlfn.XLOOKUP(staff[[#This Row],[Rating]],'Salary vs. Rating'!$B$11:$B$15,'Salary vs. Rating'!$C$11:$C$15)</f>
        <v>4</v>
      </c>
      <c r="M18" s="23" t="s">
        <v>2</v>
      </c>
      <c r="N18" s="22" t="str">
        <f ca="1"/>
        <v>Sales</v>
      </c>
    </row>
    <row r="19" spans="1:15" x14ac:dyDescent="0.25">
      <c r="A19" t="s">
        <v>176</v>
      </c>
      <c r="B19" t="s">
        <v>8</v>
      </c>
      <c r="C19" t="s">
        <v>12</v>
      </c>
      <c r="D19">
        <v>32</v>
      </c>
      <c r="E19" s="8">
        <v>44293</v>
      </c>
      <c r="F19" s="6">
        <v>43840</v>
      </c>
      <c r="G19" t="s">
        <v>13</v>
      </c>
      <c r="H19" t="s">
        <v>244</v>
      </c>
      <c r="I19" s="9">
        <f ca="1">(TODAY()-staff[[#This Row],[Date Joined]])/365</f>
        <v>3.4465753424657533</v>
      </c>
      <c r="J19" s="6">
        <f ca="1">ROUNDUP(IF(staff[[#This Row],[Tenure]]&gt;2,3%,2 %)*staff[[#This Row],[Salary]],0)</f>
        <v>1316</v>
      </c>
      <c r="K19">
        <f>_xlfn.XLOOKUP(staff[[#This Row],[Rating]],'Salary vs. Rating'!$B$11:$B$15,'Salary vs. Rating'!$C$11:$C$15)</f>
        <v>4</v>
      </c>
      <c r="M19" s="23" t="s">
        <v>3</v>
      </c>
      <c r="N19" s="22">
        <f ca="1"/>
        <v>34</v>
      </c>
    </row>
    <row r="20" spans="1:15" x14ac:dyDescent="0.25">
      <c r="A20" t="s">
        <v>108</v>
      </c>
      <c r="B20" t="s">
        <v>8</v>
      </c>
      <c r="C20" t="s">
        <v>56</v>
      </c>
      <c r="D20">
        <v>32</v>
      </c>
      <c r="E20" s="8">
        <v>44400</v>
      </c>
      <c r="F20" s="6">
        <v>45510</v>
      </c>
      <c r="G20" t="s">
        <v>16</v>
      </c>
      <c r="H20" t="s">
        <v>243</v>
      </c>
      <c r="I20" s="9">
        <f ca="1">(TODAY()-staff[[#This Row],[Date Joined]])/365</f>
        <v>3.1534246575342464</v>
      </c>
      <c r="J20" s="6">
        <f ca="1">ROUNDUP(IF(staff[[#This Row],[Tenure]]&gt;2,3%,2 %)*staff[[#This Row],[Salary]],0)</f>
        <v>1366</v>
      </c>
      <c r="K20">
        <f>_xlfn.XLOOKUP(staff[[#This Row],[Rating]],'Salary vs. Rating'!$B$11:$B$15,'Salary vs. Rating'!$C$11:$C$15)</f>
        <v>3</v>
      </c>
      <c r="M20" s="23" t="s">
        <v>4</v>
      </c>
      <c r="N20" s="22">
        <f ca="1"/>
        <v>44660</v>
      </c>
    </row>
    <row r="21" spans="1:15" x14ac:dyDescent="0.25">
      <c r="A21" t="s">
        <v>201</v>
      </c>
      <c r="B21" t="s">
        <v>8</v>
      </c>
      <c r="C21" t="s">
        <v>56</v>
      </c>
      <c r="D21">
        <v>32</v>
      </c>
      <c r="E21" s="8">
        <v>44339</v>
      </c>
      <c r="F21" s="6">
        <v>45510</v>
      </c>
      <c r="G21" t="s">
        <v>16</v>
      </c>
      <c r="H21" t="s">
        <v>244</v>
      </c>
      <c r="I21" s="9">
        <f ca="1">(TODAY()-staff[[#This Row],[Date Joined]])/365</f>
        <v>3.3205479452054796</v>
      </c>
      <c r="J21" s="6">
        <f ca="1">ROUNDUP(IF(staff[[#This Row],[Tenure]]&gt;2,3%,2 %)*staff[[#This Row],[Salary]],0)</f>
        <v>1366</v>
      </c>
      <c r="K21">
        <f>_xlfn.XLOOKUP(staff[[#This Row],[Rating]],'Salary vs. Rating'!$B$11:$B$15,'Salary vs. Rating'!$C$11:$C$15)</f>
        <v>3</v>
      </c>
      <c r="M21" s="23" t="s">
        <v>5</v>
      </c>
      <c r="N21" s="25">
        <f ca="1"/>
        <v>49630</v>
      </c>
      <c r="O21" s="6">
        <f>VLOOKUP(M15,staff[],6,FALSE)</f>
        <v>49630</v>
      </c>
    </row>
    <row r="22" spans="1:15" x14ac:dyDescent="0.25">
      <c r="A22" t="s">
        <v>59</v>
      </c>
      <c r="B22" t="s">
        <v>15</v>
      </c>
      <c r="C22" t="s">
        <v>9</v>
      </c>
      <c r="D22">
        <v>26</v>
      </c>
      <c r="E22" s="8">
        <v>44225</v>
      </c>
      <c r="F22" s="6">
        <v>47360</v>
      </c>
      <c r="G22" t="s">
        <v>16</v>
      </c>
      <c r="H22" t="s">
        <v>243</v>
      </c>
      <c r="I22" s="9">
        <f ca="1">(TODAY()-staff[[#This Row],[Date Joined]])/365</f>
        <v>3.6328767123287671</v>
      </c>
      <c r="J22" s="6">
        <f ca="1">ROUNDUP(IF(staff[[#This Row],[Tenure]]&gt;2,3%,2 %)*staff[[#This Row],[Salary]],0)</f>
        <v>1421</v>
      </c>
      <c r="K22">
        <f>_xlfn.XLOOKUP(staff[[#This Row],[Rating]],'Salary vs. Rating'!$B$11:$B$15,'Salary vs. Rating'!$C$11:$C$15)</f>
        <v>3</v>
      </c>
      <c r="M22" s="23" t="s">
        <v>6</v>
      </c>
      <c r="N22" s="22" t="str">
        <f ca="1"/>
        <v>Poor</v>
      </c>
    </row>
    <row r="23" spans="1:15" x14ac:dyDescent="0.25">
      <c r="A23" t="s">
        <v>151</v>
      </c>
      <c r="B23" t="s">
        <v>15</v>
      </c>
      <c r="C23" t="s">
        <v>9</v>
      </c>
      <c r="D23">
        <v>26</v>
      </c>
      <c r="E23" s="8">
        <v>44164</v>
      </c>
      <c r="F23" s="6">
        <v>47360</v>
      </c>
      <c r="G23" t="s">
        <v>16</v>
      </c>
      <c r="H23" t="s">
        <v>244</v>
      </c>
      <c r="I23" s="9">
        <f ca="1">(TODAY()-staff[[#This Row],[Date Joined]])/365</f>
        <v>3.8</v>
      </c>
      <c r="J23" s="6">
        <f ca="1">ROUNDUP(IF(staff[[#This Row],[Tenure]]&gt;2,3%,2 %)*staff[[#This Row],[Salary]],0)</f>
        <v>1421</v>
      </c>
      <c r="K23">
        <f>_xlfn.XLOOKUP(staff[[#This Row],[Rating]],'Salary vs. Rating'!$B$11:$B$15,'Salary vs. Rating'!$C$11:$C$15)</f>
        <v>3</v>
      </c>
      <c r="M23" s="23" t="s">
        <v>207</v>
      </c>
      <c r="N23" s="22" t="str">
        <f ca="1"/>
        <v>India</v>
      </c>
    </row>
    <row r="24" spans="1:15" x14ac:dyDescent="0.25">
      <c r="A24" t="s">
        <v>29</v>
      </c>
      <c r="B24" t="s">
        <v>15</v>
      </c>
      <c r="C24" t="s">
        <v>21</v>
      </c>
      <c r="D24">
        <v>28</v>
      </c>
      <c r="E24" s="8">
        <v>44041</v>
      </c>
      <c r="F24" s="6">
        <v>48170</v>
      </c>
      <c r="G24" t="s">
        <v>13</v>
      </c>
      <c r="H24" t="s">
        <v>243</v>
      </c>
      <c r="I24" s="9">
        <f ca="1">(TODAY()-staff[[#This Row],[Date Joined]])/365</f>
        <v>4.1369863013698627</v>
      </c>
      <c r="J24" s="6">
        <f ca="1">ROUNDUP(IF(staff[[#This Row],[Tenure]]&gt;2,3%,2 %)*staff[[#This Row],[Salary]],0)</f>
        <v>1446</v>
      </c>
      <c r="K24">
        <f>_xlfn.XLOOKUP(staff[[#This Row],[Rating]],'Salary vs. Rating'!$B$11:$B$15,'Salary vs. Rating'!$C$11:$C$15)</f>
        <v>4</v>
      </c>
      <c r="M24" s="23" t="s">
        <v>213</v>
      </c>
      <c r="N24" s="26">
        <f ca="1"/>
        <v>2.441095890410959</v>
      </c>
    </row>
    <row r="25" spans="1:15" x14ac:dyDescent="0.25">
      <c r="A25" t="s">
        <v>123</v>
      </c>
      <c r="B25" t="s">
        <v>15</v>
      </c>
      <c r="C25" t="s">
        <v>21</v>
      </c>
      <c r="D25">
        <v>28</v>
      </c>
      <c r="E25" s="8">
        <v>43980</v>
      </c>
      <c r="F25" s="6">
        <v>48170</v>
      </c>
      <c r="G25" t="s">
        <v>13</v>
      </c>
      <c r="H25" t="s">
        <v>244</v>
      </c>
      <c r="I25" s="9">
        <f ca="1">(TODAY()-staff[[#This Row],[Date Joined]])/365</f>
        <v>4.3041095890410963</v>
      </c>
      <c r="J25" s="6">
        <f ca="1">ROUNDUP(IF(staff[[#This Row],[Tenure]]&gt;2,3%,2 %)*staff[[#This Row],[Salary]],0)</f>
        <v>1446</v>
      </c>
      <c r="K25">
        <f>_xlfn.XLOOKUP(staff[[#This Row],[Rating]],'Salary vs. Rating'!$B$11:$B$15,'Salary vs. Rating'!$C$11:$C$15)</f>
        <v>4</v>
      </c>
    </row>
    <row r="26" spans="1:15" x14ac:dyDescent="0.25">
      <c r="A26" t="s">
        <v>51</v>
      </c>
      <c r="B26" t="s">
        <v>15</v>
      </c>
      <c r="C26" t="s">
        <v>9</v>
      </c>
      <c r="D26">
        <v>33</v>
      </c>
      <c r="E26" s="8">
        <v>44701</v>
      </c>
      <c r="F26" s="6">
        <v>48530</v>
      </c>
      <c r="G26" t="s">
        <v>13</v>
      </c>
      <c r="H26" t="s">
        <v>243</v>
      </c>
      <c r="I26" s="9">
        <f ca="1">(TODAY()-staff[[#This Row],[Date Joined]])/365</f>
        <v>2.3287671232876712</v>
      </c>
      <c r="J26" s="6">
        <f ca="1">ROUNDUP(IF(staff[[#This Row],[Tenure]]&gt;2,3%,2 %)*staff[[#This Row],[Salary]],0)</f>
        <v>1456</v>
      </c>
      <c r="K26">
        <f>_xlfn.XLOOKUP(staff[[#This Row],[Rating]],'Salary vs. Rating'!$B$11:$B$15,'Salary vs. Rating'!$C$11:$C$15)</f>
        <v>4</v>
      </c>
      <c r="L26" s="24"/>
    </row>
    <row r="27" spans="1:15" x14ac:dyDescent="0.25">
      <c r="A27" t="s">
        <v>144</v>
      </c>
      <c r="B27" t="s">
        <v>15</v>
      </c>
      <c r="C27" t="s">
        <v>9</v>
      </c>
      <c r="D27">
        <v>33</v>
      </c>
      <c r="E27" s="8">
        <v>44640</v>
      </c>
      <c r="F27" s="6">
        <v>48530</v>
      </c>
      <c r="G27" t="s">
        <v>13</v>
      </c>
      <c r="H27" t="s">
        <v>244</v>
      </c>
      <c r="I27" s="9">
        <f ca="1">(TODAY()-staff[[#This Row],[Date Joined]])/365</f>
        <v>2.495890410958904</v>
      </c>
      <c r="J27" s="6">
        <f ca="1">ROUNDUP(IF(staff[[#This Row],[Tenure]]&gt;2,3%,2 %)*staff[[#This Row],[Salary]],0)</f>
        <v>1456</v>
      </c>
      <c r="K27">
        <f>_xlfn.XLOOKUP(staff[[#This Row],[Rating]],'Salary vs. Rating'!$B$11:$B$15,'Salary vs. Rating'!$C$11:$C$15)</f>
        <v>4</v>
      </c>
    </row>
    <row r="28" spans="1:15" x14ac:dyDescent="0.25">
      <c r="A28" t="s">
        <v>14</v>
      </c>
      <c r="B28" t="s">
        <v>15</v>
      </c>
      <c r="C28" t="s">
        <v>12</v>
      </c>
      <c r="D28">
        <v>31</v>
      </c>
      <c r="E28" s="8">
        <v>44511</v>
      </c>
      <c r="F28" s="6">
        <v>48950</v>
      </c>
      <c r="G28" t="s">
        <v>16</v>
      </c>
      <c r="H28" t="s">
        <v>243</v>
      </c>
      <c r="I28" s="9">
        <f ca="1">(TODAY()-staff[[#This Row],[Date Joined]])/365</f>
        <v>2.8493150684931505</v>
      </c>
      <c r="J28" s="6">
        <f ca="1">ROUNDUP(IF(staff[[#This Row],[Tenure]]&gt;2,3%,2 %)*staff[[#This Row],[Salary]],0)</f>
        <v>1469</v>
      </c>
      <c r="K28">
        <f>_xlfn.XLOOKUP(staff[[#This Row],[Rating]],'Salary vs. Rating'!$B$11:$B$15,'Salary vs. Rating'!$C$11:$C$15)</f>
        <v>3</v>
      </c>
    </row>
    <row r="29" spans="1:15" x14ac:dyDescent="0.25">
      <c r="A29" t="s">
        <v>113</v>
      </c>
      <c r="B29" t="s">
        <v>15</v>
      </c>
      <c r="C29" t="s">
        <v>12</v>
      </c>
      <c r="D29">
        <v>31</v>
      </c>
      <c r="E29" s="8">
        <v>44450</v>
      </c>
      <c r="F29" s="6">
        <v>48950</v>
      </c>
      <c r="G29" t="s">
        <v>16</v>
      </c>
      <c r="H29" t="s">
        <v>244</v>
      </c>
      <c r="I29" s="9">
        <f ca="1">(TODAY()-staff[[#This Row],[Date Joined]])/365</f>
        <v>3.0164383561643837</v>
      </c>
      <c r="J29" s="6">
        <f ca="1">ROUNDUP(IF(staff[[#This Row],[Tenure]]&gt;2,3%,2 %)*staff[[#This Row],[Salary]],0)</f>
        <v>1469</v>
      </c>
      <c r="K29">
        <f>_xlfn.XLOOKUP(staff[[#This Row],[Rating]],'Salary vs. Rating'!$B$11:$B$15,'Salary vs. Rating'!$C$11:$C$15)</f>
        <v>3</v>
      </c>
    </row>
    <row r="30" spans="1:15" x14ac:dyDescent="0.25">
      <c r="A30" t="s">
        <v>53</v>
      </c>
      <c r="B30" t="s">
        <v>15</v>
      </c>
      <c r="C30" t="s">
        <v>21</v>
      </c>
      <c r="D30">
        <v>27</v>
      </c>
      <c r="E30" s="8">
        <v>44567</v>
      </c>
      <c r="F30" s="6">
        <v>48980</v>
      </c>
      <c r="G30" t="s">
        <v>16</v>
      </c>
      <c r="H30" t="s">
        <v>243</v>
      </c>
      <c r="I30" s="9">
        <f ca="1">(TODAY()-staff[[#This Row],[Date Joined]])/365</f>
        <v>2.6958904109589041</v>
      </c>
      <c r="J30" s="6">
        <f ca="1">ROUNDUP(IF(staff[[#This Row],[Tenure]]&gt;2,3%,2 %)*staff[[#This Row],[Salary]],0)</f>
        <v>1470</v>
      </c>
      <c r="K30">
        <f>_xlfn.XLOOKUP(staff[[#This Row],[Rating]],'Salary vs. Rating'!$B$11:$B$15,'Salary vs. Rating'!$C$11:$C$15)</f>
        <v>3</v>
      </c>
    </row>
    <row r="31" spans="1:15" x14ac:dyDescent="0.25">
      <c r="A31" t="s">
        <v>146</v>
      </c>
      <c r="B31" t="s">
        <v>15</v>
      </c>
      <c r="C31" t="s">
        <v>21</v>
      </c>
      <c r="D31">
        <v>27</v>
      </c>
      <c r="E31" s="8">
        <v>44506</v>
      </c>
      <c r="F31" s="6">
        <v>48980</v>
      </c>
      <c r="G31" t="s">
        <v>16</v>
      </c>
      <c r="H31" t="s">
        <v>244</v>
      </c>
      <c r="I31" s="9">
        <f ca="1">(TODAY()-staff[[#This Row],[Date Joined]])/365</f>
        <v>2.8630136986301369</v>
      </c>
      <c r="J31" s="6">
        <f ca="1">ROUNDUP(IF(staff[[#This Row],[Tenure]]&gt;2,3%,2 %)*staff[[#This Row],[Salary]],0)</f>
        <v>1470</v>
      </c>
      <c r="K31">
        <f>_xlfn.XLOOKUP(staff[[#This Row],[Rating]],'Salary vs. Rating'!$B$11:$B$15,'Salary vs. Rating'!$C$11:$C$15)</f>
        <v>3</v>
      </c>
    </row>
    <row r="32" spans="1:15" x14ac:dyDescent="0.25">
      <c r="A32" t="s">
        <v>73</v>
      </c>
      <c r="B32" t="s">
        <v>8</v>
      </c>
      <c r="C32" t="s">
        <v>19</v>
      </c>
      <c r="D32">
        <v>34</v>
      </c>
      <c r="E32" s="8">
        <v>44721</v>
      </c>
      <c r="F32" s="6">
        <v>49630</v>
      </c>
      <c r="G32" t="s">
        <v>24</v>
      </c>
      <c r="H32" t="s">
        <v>243</v>
      </c>
      <c r="I32" s="9">
        <f ca="1">(TODAY()-staff[[#This Row],[Date Joined]])/365</f>
        <v>2.2739726027397262</v>
      </c>
      <c r="J32" s="6">
        <f ca="1">ROUNDUP(IF(staff[[#This Row],[Tenure]]&gt;2,3%,2 %)*staff[[#This Row],[Salary]],0)</f>
        <v>1489</v>
      </c>
      <c r="K32">
        <f>_xlfn.XLOOKUP(staff[[#This Row],[Rating]],'Salary vs. Rating'!$B$11:$B$15,'Salary vs. Rating'!$C$11:$C$15)</f>
        <v>2</v>
      </c>
    </row>
    <row r="33" spans="1:11" x14ac:dyDescent="0.25">
      <c r="A33" t="s">
        <v>165</v>
      </c>
      <c r="B33" t="s">
        <v>8</v>
      </c>
      <c r="C33" t="s">
        <v>19</v>
      </c>
      <c r="D33">
        <v>34</v>
      </c>
      <c r="E33" s="8">
        <v>44660</v>
      </c>
      <c r="F33" s="6">
        <v>49630</v>
      </c>
      <c r="G33" t="s">
        <v>24</v>
      </c>
      <c r="H33" t="s">
        <v>244</v>
      </c>
      <c r="I33" s="9">
        <f ca="1">(TODAY()-staff[[#This Row],[Date Joined]])/365</f>
        <v>2.441095890410959</v>
      </c>
      <c r="J33" s="6">
        <f ca="1">ROUNDUP(IF(staff[[#This Row],[Tenure]]&gt;2,3%,2 %)*staff[[#This Row],[Salary]],0)</f>
        <v>1489</v>
      </c>
      <c r="K33">
        <f>_xlfn.XLOOKUP(staff[[#This Row],[Rating]],'Salary vs. Rating'!$B$11:$B$15,'Salary vs. Rating'!$C$11:$C$15)</f>
        <v>2</v>
      </c>
    </row>
    <row r="34" spans="1:11" x14ac:dyDescent="0.25">
      <c r="A34" t="s">
        <v>63</v>
      </c>
      <c r="B34" t="s">
        <v>15</v>
      </c>
      <c r="C34" t="s">
        <v>21</v>
      </c>
      <c r="D34">
        <v>24</v>
      </c>
      <c r="E34" s="8">
        <v>44436</v>
      </c>
      <c r="F34" s="6">
        <v>52610</v>
      </c>
      <c r="G34" t="s">
        <v>24</v>
      </c>
      <c r="H34" t="s">
        <v>243</v>
      </c>
      <c r="I34" s="9">
        <f ca="1">(TODAY()-staff[[#This Row],[Date Joined]])/365</f>
        <v>3.0547945205479454</v>
      </c>
      <c r="J34" s="6">
        <f ca="1">ROUNDUP(IF(staff[[#This Row],[Tenure]]&gt;2,3%,2 %)*staff[[#This Row],[Salary]],0)</f>
        <v>1579</v>
      </c>
      <c r="K34">
        <f>_xlfn.XLOOKUP(staff[[#This Row],[Rating]],'Salary vs. Rating'!$B$11:$B$15,'Salary vs. Rating'!$C$11:$C$15)</f>
        <v>2</v>
      </c>
    </row>
    <row r="35" spans="1:11" x14ac:dyDescent="0.25">
      <c r="A35" t="s">
        <v>155</v>
      </c>
      <c r="B35" t="s">
        <v>15</v>
      </c>
      <c r="C35" t="s">
        <v>21</v>
      </c>
      <c r="D35">
        <v>24</v>
      </c>
      <c r="E35" s="8">
        <v>44375</v>
      </c>
      <c r="F35" s="6">
        <v>52610</v>
      </c>
      <c r="G35" t="s">
        <v>24</v>
      </c>
      <c r="H35" t="s">
        <v>244</v>
      </c>
      <c r="I35" s="9">
        <f ca="1">(TODAY()-staff[[#This Row],[Date Joined]])/365</f>
        <v>3.2219178082191782</v>
      </c>
      <c r="J35" s="6">
        <f ca="1">ROUNDUP(IF(staff[[#This Row],[Tenure]]&gt;2,3%,2 %)*staff[[#This Row],[Salary]],0)</f>
        <v>1579</v>
      </c>
      <c r="K35">
        <f>_xlfn.XLOOKUP(staff[[#This Row],[Rating]],'Salary vs. Rating'!$B$11:$B$15,'Salary vs. Rating'!$C$11:$C$15)</f>
        <v>2</v>
      </c>
    </row>
    <row r="36" spans="1:11" x14ac:dyDescent="0.25">
      <c r="A36" t="s">
        <v>75</v>
      </c>
      <c r="B36" t="s">
        <v>8</v>
      </c>
      <c r="C36" t="s">
        <v>19</v>
      </c>
      <c r="D36">
        <v>28</v>
      </c>
      <c r="E36" s="8">
        <v>44357</v>
      </c>
      <c r="F36" s="6">
        <v>53240</v>
      </c>
      <c r="G36" t="s">
        <v>16</v>
      </c>
      <c r="H36" t="s">
        <v>243</v>
      </c>
      <c r="I36" s="9">
        <f ca="1">(TODAY()-staff[[#This Row],[Date Joined]])/365</f>
        <v>3.2712328767123289</v>
      </c>
      <c r="J36" s="6">
        <f ca="1">ROUNDUP(IF(staff[[#This Row],[Tenure]]&gt;2,3%,2 %)*staff[[#This Row],[Salary]],0)</f>
        <v>1598</v>
      </c>
      <c r="K36">
        <f>_xlfn.XLOOKUP(staff[[#This Row],[Rating]],'Salary vs. Rating'!$B$11:$B$15,'Salary vs. Rating'!$C$11:$C$15)</f>
        <v>3</v>
      </c>
    </row>
    <row r="37" spans="1:11" x14ac:dyDescent="0.25">
      <c r="A37" t="s">
        <v>167</v>
      </c>
      <c r="B37" t="s">
        <v>8</v>
      </c>
      <c r="C37" t="s">
        <v>19</v>
      </c>
      <c r="D37">
        <v>28</v>
      </c>
      <c r="E37" s="8">
        <v>44296</v>
      </c>
      <c r="F37" s="6">
        <v>53240</v>
      </c>
      <c r="G37" t="s">
        <v>16</v>
      </c>
      <c r="H37" t="s">
        <v>244</v>
      </c>
      <c r="I37" s="9">
        <f ca="1">(TODAY()-staff[[#This Row],[Date Joined]])/365</f>
        <v>3.4383561643835616</v>
      </c>
      <c r="J37" s="6">
        <f ca="1">ROUNDUP(IF(staff[[#This Row],[Tenure]]&gt;2,3%,2 %)*staff[[#This Row],[Salary]],0)</f>
        <v>1598</v>
      </c>
      <c r="K37">
        <f>_xlfn.XLOOKUP(staff[[#This Row],[Rating]],'Salary vs. Rating'!$B$11:$B$15,'Salary vs. Rating'!$C$11:$C$15)</f>
        <v>3</v>
      </c>
    </row>
    <row r="38" spans="1:11" x14ac:dyDescent="0.25">
      <c r="A38" t="s">
        <v>65</v>
      </c>
      <c r="B38" t="s">
        <v>15</v>
      </c>
      <c r="C38" t="s">
        <v>19</v>
      </c>
      <c r="D38">
        <v>32</v>
      </c>
      <c r="E38" s="8">
        <v>44465</v>
      </c>
      <c r="F38" s="6">
        <v>53540</v>
      </c>
      <c r="G38" t="s">
        <v>16</v>
      </c>
      <c r="H38" t="s">
        <v>243</v>
      </c>
      <c r="I38" s="9">
        <f ca="1">(TODAY()-staff[[#This Row],[Date Joined]])/365</f>
        <v>2.9753424657534246</v>
      </c>
      <c r="J38" s="6">
        <f ca="1">ROUNDUP(IF(staff[[#This Row],[Tenure]]&gt;2,3%,2 %)*staff[[#This Row],[Salary]],0)</f>
        <v>1607</v>
      </c>
      <c r="K38">
        <f>_xlfn.XLOOKUP(staff[[#This Row],[Rating]],'Salary vs. Rating'!$B$11:$B$15,'Salary vs. Rating'!$C$11:$C$15)</f>
        <v>3</v>
      </c>
    </row>
    <row r="39" spans="1:11" x14ac:dyDescent="0.25">
      <c r="A39" t="s">
        <v>46</v>
      </c>
      <c r="B39" t="s">
        <v>15</v>
      </c>
      <c r="C39" t="s">
        <v>9</v>
      </c>
      <c r="D39">
        <v>26</v>
      </c>
      <c r="E39" s="8">
        <v>44411</v>
      </c>
      <c r="F39" s="6">
        <v>53540</v>
      </c>
      <c r="G39" t="s">
        <v>16</v>
      </c>
      <c r="H39" t="s">
        <v>243</v>
      </c>
      <c r="I39" s="9">
        <f ca="1">(TODAY()-staff[[#This Row],[Date Joined]])/365</f>
        <v>3.1232876712328768</v>
      </c>
      <c r="J39" s="6">
        <f ca="1">ROUNDUP(IF(staff[[#This Row],[Tenure]]&gt;2,3%,2 %)*staff[[#This Row],[Salary]],0)</f>
        <v>1607</v>
      </c>
      <c r="K39">
        <f>_xlfn.XLOOKUP(staff[[#This Row],[Rating]],'Salary vs. Rating'!$B$11:$B$15,'Salary vs. Rating'!$C$11:$C$15)</f>
        <v>3</v>
      </c>
    </row>
    <row r="40" spans="1:11" x14ac:dyDescent="0.25">
      <c r="A40" t="s">
        <v>157</v>
      </c>
      <c r="B40" t="s">
        <v>15</v>
      </c>
      <c r="C40" t="s">
        <v>19</v>
      </c>
      <c r="D40">
        <v>32</v>
      </c>
      <c r="E40" s="8">
        <v>44403</v>
      </c>
      <c r="F40" s="6">
        <v>53540</v>
      </c>
      <c r="G40" t="s">
        <v>16</v>
      </c>
      <c r="H40" t="s">
        <v>244</v>
      </c>
      <c r="I40" s="9">
        <f ca="1">(TODAY()-staff[[#This Row],[Date Joined]])/365</f>
        <v>3.1452054794520548</v>
      </c>
      <c r="J40" s="6">
        <f ca="1">ROUNDUP(IF(staff[[#This Row],[Tenure]]&gt;2,3%,2 %)*staff[[#This Row],[Salary]],0)</f>
        <v>1607</v>
      </c>
      <c r="K40">
        <f>_xlfn.XLOOKUP(staff[[#This Row],[Rating]],'Salary vs. Rating'!$B$11:$B$15,'Salary vs. Rating'!$C$11:$C$15)</f>
        <v>3</v>
      </c>
    </row>
    <row r="41" spans="1:11" x14ac:dyDescent="0.25">
      <c r="A41" t="s">
        <v>139</v>
      </c>
      <c r="B41" t="s">
        <v>15</v>
      </c>
      <c r="C41" t="s">
        <v>9</v>
      </c>
      <c r="D41">
        <v>26</v>
      </c>
      <c r="E41" s="8">
        <v>44350</v>
      </c>
      <c r="F41" s="6">
        <v>53540</v>
      </c>
      <c r="G41" t="s">
        <v>16</v>
      </c>
      <c r="H41" t="s">
        <v>244</v>
      </c>
      <c r="I41" s="9">
        <f ca="1">(TODAY()-staff[[#This Row],[Date Joined]])/365</f>
        <v>3.2904109589041095</v>
      </c>
      <c r="J41" s="6">
        <f ca="1">ROUNDUP(IF(staff[[#This Row],[Tenure]]&gt;2,3%,2 %)*staff[[#This Row],[Salary]],0)</f>
        <v>1607</v>
      </c>
      <c r="K41">
        <f>_xlfn.XLOOKUP(staff[[#This Row],[Rating]],'Salary vs. Rating'!$B$11:$B$15,'Salary vs. Rating'!$C$11:$C$15)</f>
        <v>3</v>
      </c>
    </row>
    <row r="42" spans="1:11" x14ac:dyDescent="0.25">
      <c r="A42" t="s">
        <v>82</v>
      </c>
      <c r="B42" t="s">
        <v>15</v>
      </c>
      <c r="C42" t="s">
        <v>12</v>
      </c>
      <c r="D42">
        <v>33</v>
      </c>
      <c r="E42" s="8">
        <v>44509</v>
      </c>
      <c r="F42" s="6">
        <v>53870</v>
      </c>
      <c r="G42" t="s">
        <v>16</v>
      </c>
      <c r="H42" t="s">
        <v>243</v>
      </c>
      <c r="I42" s="9">
        <f ca="1">(TODAY()-staff[[#This Row],[Date Joined]])/365</f>
        <v>2.8547945205479452</v>
      </c>
      <c r="J42" s="6">
        <f ca="1">ROUNDUP(IF(staff[[#This Row],[Tenure]]&gt;2,3%,2 %)*staff[[#This Row],[Salary]],0)</f>
        <v>1617</v>
      </c>
      <c r="K42">
        <f>_xlfn.XLOOKUP(staff[[#This Row],[Rating]],'Salary vs. Rating'!$B$11:$B$15,'Salary vs. Rating'!$C$11:$C$15)</f>
        <v>3</v>
      </c>
    </row>
    <row r="43" spans="1:11" x14ac:dyDescent="0.25">
      <c r="A43" t="s">
        <v>174</v>
      </c>
      <c r="B43" t="s">
        <v>15</v>
      </c>
      <c r="C43" t="s">
        <v>12</v>
      </c>
      <c r="D43">
        <v>33</v>
      </c>
      <c r="E43" s="8">
        <v>44448</v>
      </c>
      <c r="F43" s="6">
        <v>53870</v>
      </c>
      <c r="G43" t="s">
        <v>16</v>
      </c>
      <c r="H43" t="s">
        <v>244</v>
      </c>
      <c r="I43" s="9">
        <f ca="1">(TODAY()-staff[[#This Row],[Date Joined]])/365</f>
        <v>3.021917808219178</v>
      </c>
      <c r="J43" s="6">
        <f ca="1">ROUNDUP(IF(staff[[#This Row],[Tenure]]&gt;2,3%,2 %)*staff[[#This Row],[Salary]],0)</f>
        <v>1617</v>
      </c>
      <c r="K43">
        <f>_xlfn.XLOOKUP(staff[[#This Row],[Rating]],'Salary vs. Rating'!$B$11:$B$15,'Salary vs. Rating'!$C$11:$C$15)</f>
        <v>3</v>
      </c>
    </row>
    <row r="44" spans="1:11" x14ac:dyDescent="0.25">
      <c r="A44" t="s">
        <v>89</v>
      </c>
      <c r="B44" t="s">
        <v>15</v>
      </c>
      <c r="C44" t="s">
        <v>19</v>
      </c>
      <c r="D44">
        <v>27</v>
      </c>
      <c r="E44" s="8">
        <v>44134</v>
      </c>
      <c r="F44" s="6">
        <v>54970</v>
      </c>
      <c r="G44" t="s">
        <v>16</v>
      </c>
      <c r="H44" t="s">
        <v>243</v>
      </c>
      <c r="I44" s="9">
        <f ca="1">(TODAY()-staff[[#This Row],[Date Joined]])/365</f>
        <v>3.882191780821918</v>
      </c>
      <c r="J44" s="6">
        <f ca="1">ROUNDUP(IF(staff[[#This Row],[Tenure]]&gt;2,3%,2 %)*staff[[#This Row],[Salary]],0)</f>
        <v>1650</v>
      </c>
      <c r="K44">
        <f>_xlfn.XLOOKUP(staff[[#This Row],[Rating]],'Salary vs. Rating'!$B$11:$B$15,'Salary vs. Rating'!$C$11:$C$15)</f>
        <v>3</v>
      </c>
    </row>
    <row r="45" spans="1:11" x14ac:dyDescent="0.25">
      <c r="A45" t="s">
        <v>182</v>
      </c>
      <c r="B45" t="s">
        <v>15</v>
      </c>
      <c r="C45" t="s">
        <v>19</v>
      </c>
      <c r="D45">
        <v>27</v>
      </c>
      <c r="E45" s="8">
        <v>44073</v>
      </c>
      <c r="F45" s="6">
        <v>54970</v>
      </c>
      <c r="G45" t="s">
        <v>16</v>
      </c>
      <c r="H45" t="s">
        <v>244</v>
      </c>
      <c r="I45" s="9">
        <f ca="1">(TODAY()-staff[[#This Row],[Date Joined]])/365</f>
        <v>4.0493150684931507</v>
      </c>
      <c r="J45" s="6">
        <f ca="1">ROUNDUP(IF(staff[[#This Row],[Tenure]]&gt;2,3%,2 %)*staff[[#This Row],[Salary]],0)</f>
        <v>1650</v>
      </c>
      <c r="K45">
        <f>_xlfn.XLOOKUP(staff[[#This Row],[Rating]],'Salary vs. Rating'!$B$11:$B$15,'Salary vs. Rating'!$C$11:$C$15)</f>
        <v>3</v>
      </c>
    </row>
    <row r="46" spans="1:11" x14ac:dyDescent="0.25">
      <c r="A46" t="s">
        <v>109</v>
      </c>
      <c r="B46" t="s">
        <v>8</v>
      </c>
      <c r="C46" t="s">
        <v>19</v>
      </c>
      <c r="D46">
        <v>38</v>
      </c>
      <c r="E46" s="8">
        <v>44329</v>
      </c>
      <c r="F46" s="6">
        <v>56870</v>
      </c>
      <c r="G46" t="s">
        <v>13</v>
      </c>
      <c r="H46" t="s">
        <v>243</v>
      </c>
      <c r="I46" s="9">
        <f ca="1">(TODAY()-staff[[#This Row],[Date Joined]])/365</f>
        <v>3.3479452054794518</v>
      </c>
      <c r="J46" s="6">
        <f ca="1">ROUNDUP(IF(staff[[#This Row],[Tenure]]&gt;2,3%,2 %)*staff[[#This Row],[Salary]],0)</f>
        <v>1707</v>
      </c>
      <c r="K46">
        <f>_xlfn.XLOOKUP(staff[[#This Row],[Rating]],'Salary vs. Rating'!$B$11:$B$15,'Salary vs. Rating'!$C$11:$C$15)</f>
        <v>4</v>
      </c>
    </row>
    <row r="47" spans="1:11" x14ac:dyDescent="0.25">
      <c r="A47" t="s">
        <v>202</v>
      </c>
      <c r="B47" t="s">
        <v>8</v>
      </c>
      <c r="C47" t="s">
        <v>19</v>
      </c>
      <c r="D47">
        <v>38</v>
      </c>
      <c r="E47" s="8">
        <v>44268</v>
      </c>
      <c r="F47" s="6">
        <v>56870</v>
      </c>
      <c r="G47" t="s">
        <v>13</v>
      </c>
      <c r="H47" t="s">
        <v>244</v>
      </c>
      <c r="I47" s="9">
        <f ca="1">(TODAY()-staff[[#This Row],[Date Joined]])/365</f>
        <v>3.515068493150685</v>
      </c>
      <c r="J47" s="6">
        <f ca="1">ROUNDUP(IF(staff[[#This Row],[Tenure]]&gt;2,3%,2 %)*staff[[#This Row],[Salary]],0)</f>
        <v>1707</v>
      </c>
      <c r="K47">
        <f>_xlfn.XLOOKUP(staff[[#This Row],[Rating]],'Salary vs. Rating'!$B$11:$B$15,'Salary vs. Rating'!$C$11:$C$15)</f>
        <v>4</v>
      </c>
    </row>
    <row r="48" spans="1:11" x14ac:dyDescent="0.25">
      <c r="A48" t="s">
        <v>31</v>
      </c>
      <c r="B48" t="s">
        <v>15</v>
      </c>
      <c r="C48" t="s">
        <v>9</v>
      </c>
      <c r="D48">
        <v>21</v>
      </c>
      <c r="E48" s="8">
        <v>44762</v>
      </c>
      <c r="F48" s="6">
        <v>57090</v>
      </c>
      <c r="G48" t="s">
        <v>16</v>
      </c>
      <c r="H48" t="s">
        <v>243</v>
      </c>
      <c r="I48" s="9">
        <f ca="1">(TODAY()-staff[[#This Row],[Date Joined]])/365</f>
        <v>2.1616438356164385</v>
      </c>
      <c r="J48" s="6">
        <f ca="1">ROUNDUP(IF(staff[[#This Row],[Tenure]]&gt;2,3%,2 %)*staff[[#This Row],[Salary]],0)</f>
        <v>1713</v>
      </c>
      <c r="K48">
        <f>_xlfn.XLOOKUP(staff[[#This Row],[Rating]],'Salary vs. Rating'!$B$11:$B$15,'Salary vs. Rating'!$C$11:$C$15)</f>
        <v>3</v>
      </c>
    </row>
    <row r="49" spans="1:11" x14ac:dyDescent="0.25">
      <c r="A49" t="s">
        <v>125</v>
      </c>
      <c r="B49" t="s">
        <v>15</v>
      </c>
      <c r="C49" t="s">
        <v>9</v>
      </c>
      <c r="D49">
        <v>21</v>
      </c>
      <c r="E49" s="8">
        <v>44701</v>
      </c>
      <c r="F49" s="6">
        <v>57090</v>
      </c>
      <c r="G49" t="s">
        <v>16</v>
      </c>
      <c r="H49" t="s">
        <v>244</v>
      </c>
      <c r="I49" s="9">
        <f ca="1">(TODAY()-staff[[#This Row],[Date Joined]])/365</f>
        <v>2.3287671232876712</v>
      </c>
      <c r="J49" s="6">
        <f ca="1">ROUNDUP(IF(staff[[#This Row],[Tenure]]&gt;2,3%,2 %)*staff[[#This Row],[Salary]],0)</f>
        <v>1713</v>
      </c>
      <c r="K49">
        <f>_xlfn.XLOOKUP(staff[[#This Row],[Rating]],'Salary vs. Rating'!$B$11:$B$15,'Salary vs. Rating'!$C$11:$C$15)</f>
        <v>3</v>
      </c>
    </row>
    <row r="50" spans="1:11" x14ac:dyDescent="0.25">
      <c r="A50" t="s">
        <v>26</v>
      </c>
      <c r="B50" t="s">
        <v>8</v>
      </c>
      <c r="C50" t="s">
        <v>12</v>
      </c>
      <c r="D50">
        <v>31</v>
      </c>
      <c r="E50" s="8">
        <v>44663</v>
      </c>
      <c r="F50" s="6">
        <v>58100</v>
      </c>
      <c r="G50" t="s">
        <v>16</v>
      </c>
      <c r="H50" t="s">
        <v>243</v>
      </c>
      <c r="I50" s="9">
        <f ca="1">(TODAY()-staff[[#This Row],[Date Joined]])/365</f>
        <v>2.4328767123287673</v>
      </c>
      <c r="J50" s="6">
        <f ca="1">ROUNDUP(IF(staff[[#This Row],[Tenure]]&gt;2,3%,2 %)*staff[[#This Row],[Salary]],0)</f>
        <v>1743</v>
      </c>
      <c r="K50">
        <f>_xlfn.XLOOKUP(staff[[#This Row],[Rating]],'Salary vs. Rating'!$B$11:$B$15,'Salary vs. Rating'!$C$11:$C$15)</f>
        <v>3</v>
      </c>
    </row>
    <row r="51" spans="1:11" x14ac:dyDescent="0.25">
      <c r="A51" t="s">
        <v>120</v>
      </c>
      <c r="B51" t="s">
        <v>8</v>
      </c>
      <c r="C51" t="s">
        <v>12</v>
      </c>
      <c r="D51">
        <v>31</v>
      </c>
      <c r="E51" s="8">
        <v>44604</v>
      </c>
      <c r="F51" s="6">
        <v>58100</v>
      </c>
      <c r="G51" t="s">
        <v>16</v>
      </c>
      <c r="H51" t="s">
        <v>244</v>
      </c>
      <c r="I51" s="9">
        <f ca="1">(TODAY()-staff[[#This Row],[Date Joined]])/365</f>
        <v>2.5945205479452054</v>
      </c>
      <c r="J51" s="6">
        <f ca="1">ROUNDUP(IF(staff[[#This Row],[Tenure]]&gt;2,3%,2 %)*staff[[#This Row],[Salary]],0)</f>
        <v>1743</v>
      </c>
      <c r="K51">
        <f>_xlfn.XLOOKUP(staff[[#This Row],[Rating]],'Salary vs. Rating'!$B$11:$B$15,'Salary vs. Rating'!$C$11:$C$15)</f>
        <v>3</v>
      </c>
    </row>
    <row r="52" spans="1:11" x14ac:dyDescent="0.25">
      <c r="A52" t="s">
        <v>36</v>
      </c>
      <c r="B52" t="s">
        <v>8</v>
      </c>
      <c r="C52" t="s">
        <v>21</v>
      </c>
      <c r="D52">
        <v>34</v>
      </c>
      <c r="E52" s="8">
        <v>44653</v>
      </c>
      <c r="F52" s="6">
        <v>58940</v>
      </c>
      <c r="G52" t="s">
        <v>16</v>
      </c>
      <c r="H52" t="s">
        <v>243</v>
      </c>
      <c r="I52" s="9">
        <f ca="1">(TODAY()-staff[[#This Row],[Date Joined]])/365</f>
        <v>2.4602739726027396</v>
      </c>
      <c r="J52" s="6">
        <f ca="1">ROUNDUP(IF(staff[[#This Row],[Tenure]]&gt;2,3%,2 %)*staff[[#This Row],[Salary]],0)</f>
        <v>1769</v>
      </c>
      <c r="K52">
        <f>_xlfn.XLOOKUP(staff[[#This Row],[Rating]],'Salary vs. Rating'!$B$11:$B$15,'Salary vs. Rating'!$C$11:$C$15)</f>
        <v>3</v>
      </c>
    </row>
    <row r="53" spans="1:11" x14ac:dyDescent="0.25">
      <c r="A53" t="s">
        <v>130</v>
      </c>
      <c r="B53" t="s">
        <v>8</v>
      </c>
      <c r="C53" t="s">
        <v>21</v>
      </c>
      <c r="D53">
        <v>34</v>
      </c>
      <c r="E53" s="8">
        <v>44594</v>
      </c>
      <c r="F53" s="6">
        <v>58940</v>
      </c>
      <c r="G53" t="s">
        <v>16</v>
      </c>
      <c r="H53" t="s">
        <v>244</v>
      </c>
      <c r="I53" s="9">
        <f ca="1">(TODAY()-staff[[#This Row],[Date Joined]])/365</f>
        <v>2.6219178082191781</v>
      </c>
      <c r="J53" s="6">
        <f ca="1">ROUNDUP(IF(staff[[#This Row],[Tenure]]&gt;2,3%,2 %)*staff[[#This Row],[Salary]],0)</f>
        <v>1769</v>
      </c>
      <c r="K53">
        <f>_xlfn.XLOOKUP(staff[[#This Row],[Rating]],'Salary vs. Rating'!$B$11:$B$15,'Salary vs. Rating'!$C$11:$C$15)</f>
        <v>3</v>
      </c>
    </row>
    <row r="54" spans="1:11" x14ac:dyDescent="0.25">
      <c r="A54" t="s">
        <v>100</v>
      </c>
      <c r="B54" t="s">
        <v>15</v>
      </c>
      <c r="C54" t="s">
        <v>9</v>
      </c>
      <c r="D54">
        <v>19</v>
      </c>
      <c r="E54" s="8">
        <v>44277</v>
      </c>
      <c r="F54" s="6">
        <v>58960</v>
      </c>
      <c r="G54" t="s">
        <v>16</v>
      </c>
      <c r="H54" t="s">
        <v>243</v>
      </c>
      <c r="I54" s="9">
        <f ca="1">(TODAY()-staff[[#This Row],[Date Joined]])/365</f>
        <v>3.4904109589041097</v>
      </c>
      <c r="J54" s="6">
        <f ca="1">ROUNDUP(IF(staff[[#This Row],[Tenure]]&gt;2,3%,2 %)*staff[[#This Row],[Salary]],0)</f>
        <v>1769</v>
      </c>
      <c r="K54">
        <f>_xlfn.XLOOKUP(staff[[#This Row],[Rating]],'Salary vs. Rating'!$B$11:$B$15,'Salary vs. Rating'!$C$11:$C$15)</f>
        <v>3</v>
      </c>
    </row>
    <row r="55" spans="1:11" x14ac:dyDescent="0.25">
      <c r="A55" t="s">
        <v>193</v>
      </c>
      <c r="B55" t="s">
        <v>15</v>
      </c>
      <c r="C55" t="s">
        <v>9</v>
      </c>
      <c r="D55">
        <v>19</v>
      </c>
      <c r="E55" s="8">
        <v>44218</v>
      </c>
      <c r="F55" s="6">
        <v>58960</v>
      </c>
      <c r="G55" t="s">
        <v>16</v>
      </c>
      <c r="H55" t="s">
        <v>244</v>
      </c>
      <c r="I55" s="9">
        <f ca="1">(TODAY()-staff[[#This Row],[Date Joined]])/365</f>
        <v>3.6520547945205482</v>
      </c>
      <c r="J55" s="6">
        <f ca="1">ROUNDUP(IF(staff[[#This Row],[Tenure]]&gt;2,3%,2 %)*staff[[#This Row],[Salary]],0)</f>
        <v>1769</v>
      </c>
      <c r="K55">
        <f>_xlfn.XLOOKUP(staff[[#This Row],[Rating]],'Salary vs. Rating'!$B$11:$B$15,'Salary vs. Rating'!$C$11:$C$15)</f>
        <v>3</v>
      </c>
    </row>
    <row r="56" spans="1:11" x14ac:dyDescent="0.25">
      <c r="A56" t="s">
        <v>79</v>
      </c>
      <c r="B56" t="s">
        <v>15</v>
      </c>
      <c r="C56" t="s">
        <v>21</v>
      </c>
      <c r="D56">
        <v>33</v>
      </c>
      <c r="E56" s="8">
        <v>44243</v>
      </c>
      <c r="F56" s="6">
        <v>59430</v>
      </c>
      <c r="G56" t="s">
        <v>16</v>
      </c>
      <c r="H56" t="s">
        <v>243</v>
      </c>
      <c r="I56" s="9">
        <f ca="1">(TODAY()-staff[[#This Row],[Date Joined]])/365</f>
        <v>3.5835616438356164</v>
      </c>
      <c r="J56" s="6">
        <f ca="1">ROUNDUP(IF(staff[[#This Row],[Tenure]]&gt;2,3%,2 %)*staff[[#This Row],[Salary]],0)</f>
        <v>1783</v>
      </c>
      <c r="K56">
        <f>_xlfn.XLOOKUP(staff[[#This Row],[Rating]],'Salary vs. Rating'!$B$11:$B$15,'Salary vs. Rating'!$C$11:$C$15)</f>
        <v>3</v>
      </c>
    </row>
    <row r="57" spans="1:11" x14ac:dyDescent="0.25">
      <c r="A57" t="s">
        <v>171</v>
      </c>
      <c r="B57" t="s">
        <v>15</v>
      </c>
      <c r="C57" t="s">
        <v>21</v>
      </c>
      <c r="D57">
        <v>33</v>
      </c>
      <c r="E57" s="8">
        <v>44181</v>
      </c>
      <c r="F57" s="6">
        <v>59430</v>
      </c>
      <c r="G57" t="s">
        <v>16</v>
      </c>
      <c r="H57" t="s">
        <v>244</v>
      </c>
      <c r="I57" s="9">
        <f ca="1">(TODAY()-staff[[#This Row],[Date Joined]])/365</f>
        <v>3.7534246575342465</v>
      </c>
      <c r="J57" s="6">
        <f ca="1">ROUNDUP(IF(staff[[#This Row],[Tenure]]&gt;2,3%,2 %)*staff[[#This Row],[Salary]],0)</f>
        <v>1783</v>
      </c>
      <c r="K57">
        <f>_xlfn.XLOOKUP(staff[[#This Row],[Rating]],'Salary vs. Rating'!$B$11:$B$15,'Salary vs. Rating'!$C$11:$C$15)</f>
        <v>3</v>
      </c>
    </row>
    <row r="58" spans="1:11" x14ac:dyDescent="0.25">
      <c r="A58" t="s">
        <v>38</v>
      </c>
      <c r="B58" t="s">
        <v>8</v>
      </c>
      <c r="C58" t="s">
        <v>21</v>
      </c>
      <c r="D58">
        <v>34</v>
      </c>
      <c r="E58" s="8">
        <v>44612</v>
      </c>
      <c r="F58" s="6">
        <v>60130</v>
      </c>
      <c r="G58" t="s">
        <v>16</v>
      </c>
      <c r="H58" t="s">
        <v>243</v>
      </c>
      <c r="I58" s="9">
        <f ca="1">(TODAY()-staff[[#This Row],[Date Joined]])/365</f>
        <v>2.5726027397260274</v>
      </c>
      <c r="J58" s="6">
        <f ca="1">ROUNDUP(IF(staff[[#This Row],[Tenure]]&gt;2,3%,2 %)*staff[[#This Row],[Salary]],0)</f>
        <v>1804</v>
      </c>
      <c r="K58">
        <f>_xlfn.XLOOKUP(staff[[#This Row],[Rating]],'Salary vs. Rating'!$B$11:$B$15,'Salary vs. Rating'!$C$11:$C$15)</f>
        <v>3</v>
      </c>
    </row>
    <row r="59" spans="1:11" x14ac:dyDescent="0.25">
      <c r="A59" t="s">
        <v>132</v>
      </c>
      <c r="B59" t="s">
        <v>8</v>
      </c>
      <c r="C59" t="s">
        <v>21</v>
      </c>
      <c r="D59">
        <v>34</v>
      </c>
      <c r="E59" s="8">
        <v>44550</v>
      </c>
      <c r="F59" s="6">
        <v>60130</v>
      </c>
      <c r="G59" t="s">
        <v>16</v>
      </c>
      <c r="H59" t="s">
        <v>244</v>
      </c>
      <c r="I59" s="9">
        <f ca="1">(TODAY()-staff[[#This Row],[Date Joined]])/365</f>
        <v>2.7424657534246575</v>
      </c>
      <c r="J59" s="6">
        <f ca="1">ROUNDUP(IF(staff[[#This Row],[Tenure]]&gt;2,3%,2 %)*staff[[#This Row],[Salary]],0)</f>
        <v>1804</v>
      </c>
      <c r="K59">
        <f>_xlfn.XLOOKUP(staff[[#This Row],[Rating]],'Salary vs. Rating'!$B$11:$B$15,'Salary vs. Rating'!$C$11:$C$15)</f>
        <v>3</v>
      </c>
    </row>
    <row r="60" spans="1:11" x14ac:dyDescent="0.25">
      <c r="A60" t="s">
        <v>37</v>
      </c>
      <c r="B60" t="s">
        <v>15</v>
      </c>
      <c r="C60" t="s">
        <v>9</v>
      </c>
      <c r="D60">
        <v>30</v>
      </c>
      <c r="E60" s="8">
        <v>44666</v>
      </c>
      <c r="F60" s="6">
        <v>60570</v>
      </c>
      <c r="G60" t="s">
        <v>16</v>
      </c>
      <c r="H60" t="s">
        <v>243</v>
      </c>
      <c r="I60" s="9">
        <f ca="1">(TODAY()-staff[[#This Row],[Date Joined]])/365</f>
        <v>2.4246575342465753</v>
      </c>
      <c r="J60" s="6">
        <f ca="1">ROUNDUP(IF(staff[[#This Row],[Tenure]]&gt;2,3%,2 %)*staff[[#This Row],[Salary]],0)</f>
        <v>1818</v>
      </c>
      <c r="K60">
        <f>_xlfn.XLOOKUP(staff[[#This Row],[Rating]],'Salary vs. Rating'!$B$11:$B$15,'Salary vs. Rating'!$C$11:$C$15)</f>
        <v>3</v>
      </c>
    </row>
    <row r="61" spans="1:11" x14ac:dyDescent="0.25">
      <c r="A61" t="s">
        <v>131</v>
      </c>
      <c r="B61" t="s">
        <v>15</v>
      </c>
      <c r="C61" t="s">
        <v>9</v>
      </c>
      <c r="D61">
        <v>30</v>
      </c>
      <c r="E61" s="8">
        <v>44607</v>
      </c>
      <c r="F61" s="6">
        <v>60570</v>
      </c>
      <c r="G61" t="s">
        <v>16</v>
      </c>
      <c r="H61" t="s">
        <v>244</v>
      </c>
      <c r="I61" s="9">
        <f ca="1">(TODAY()-staff[[#This Row],[Date Joined]])/365</f>
        <v>2.5863013698630137</v>
      </c>
      <c r="J61" s="6">
        <f ca="1">ROUNDUP(IF(staff[[#This Row],[Tenure]]&gt;2,3%,2 %)*staff[[#This Row],[Salary]],0)</f>
        <v>1818</v>
      </c>
      <c r="K61">
        <f>_xlfn.XLOOKUP(staff[[#This Row],[Rating]],'Salary vs. Rating'!$B$11:$B$15,'Salary vs. Rating'!$C$11:$C$15)</f>
        <v>3</v>
      </c>
    </row>
    <row r="62" spans="1:11" x14ac:dyDescent="0.25">
      <c r="A62" t="s">
        <v>61</v>
      </c>
      <c r="B62" t="s">
        <v>8</v>
      </c>
      <c r="C62" t="s">
        <v>12</v>
      </c>
      <c r="D62">
        <v>24</v>
      </c>
      <c r="E62" s="8">
        <v>44148</v>
      </c>
      <c r="F62" s="6">
        <v>62780</v>
      </c>
      <c r="G62" t="s">
        <v>16</v>
      </c>
      <c r="H62" t="s">
        <v>243</v>
      </c>
      <c r="I62" s="9">
        <f ca="1">(TODAY()-staff[[#This Row],[Date Joined]])/365</f>
        <v>3.8438356164383563</v>
      </c>
      <c r="J62" s="6">
        <f ca="1">ROUNDUP(IF(staff[[#This Row],[Tenure]]&gt;2,3%,2 %)*staff[[#This Row],[Salary]],0)</f>
        <v>1884</v>
      </c>
      <c r="K62">
        <f>_xlfn.XLOOKUP(staff[[#This Row],[Rating]],'Salary vs. Rating'!$B$11:$B$15,'Salary vs. Rating'!$C$11:$C$15)</f>
        <v>3</v>
      </c>
    </row>
    <row r="63" spans="1:11" x14ac:dyDescent="0.25">
      <c r="A63" t="s">
        <v>153</v>
      </c>
      <c r="B63" t="s">
        <v>8</v>
      </c>
      <c r="C63" t="s">
        <v>12</v>
      </c>
      <c r="D63">
        <v>24</v>
      </c>
      <c r="E63" s="8">
        <v>44087</v>
      </c>
      <c r="F63" s="6">
        <v>62780</v>
      </c>
      <c r="G63" t="s">
        <v>16</v>
      </c>
      <c r="H63" t="s">
        <v>244</v>
      </c>
      <c r="I63" s="9">
        <f ca="1">(TODAY()-staff[[#This Row],[Date Joined]])/365</f>
        <v>4.0109589041095894</v>
      </c>
      <c r="J63" s="6">
        <f ca="1">ROUNDUP(IF(staff[[#This Row],[Tenure]]&gt;2,3%,2 %)*staff[[#This Row],[Salary]],0)</f>
        <v>1884</v>
      </c>
      <c r="K63">
        <f>_xlfn.XLOOKUP(staff[[#This Row],[Rating]],'Salary vs. Rating'!$B$11:$B$15,'Salary vs. Rating'!$C$11:$C$15)</f>
        <v>3</v>
      </c>
    </row>
    <row r="64" spans="1:11" x14ac:dyDescent="0.25">
      <c r="A64" t="s">
        <v>20</v>
      </c>
      <c r="B64" t="s">
        <v>208</v>
      </c>
      <c r="C64" t="s">
        <v>21</v>
      </c>
      <c r="D64">
        <v>30</v>
      </c>
      <c r="E64" s="8">
        <v>44597</v>
      </c>
      <c r="F64" s="6">
        <v>64000</v>
      </c>
      <c r="G64" t="s">
        <v>16</v>
      </c>
      <c r="H64" t="s">
        <v>243</v>
      </c>
      <c r="I64" s="9">
        <f ca="1">(TODAY()-staff[[#This Row],[Date Joined]])/365</f>
        <v>2.6136986301369864</v>
      </c>
      <c r="J64" s="6">
        <f ca="1">ROUNDUP(IF(staff[[#This Row],[Tenure]]&gt;2,3%,2 %)*staff[[#This Row],[Salary]],0)</f>
        <v>1920</v>
      </c>
      <c r="K64">
        <f>_xlfn.XLOOKUP(staff[[#This Row],[Rating]],'Salary vs. Rating'!$B$11:$B$15,'Salary vs. Rating'!$C$11:$C$15)</f>
        <v>3</v>
      </c>
    </row>
    <row r="65" spans="1:11" x14ac:dyDescent="0.25">
      <c r="A65" t="s">
        <v>116</v>
      </c>
      <c r="B65" t="s">
        <v>208</v>
      </c>
      <c r="C65" t="s">
        <v>21</v>
      </c>
      <c r="D65">
        <v>30</v>
      </c>
      <c r="E65" s="8">
        <v>44535</v>
      </c>
      <c r="F65" s="6">
        <v>64000</v>
      </c>
      <c r="G65" t="s">
        <v>16</v>
      </c>
      <c r="H65" t="s">
        <v>244</v>
      </c>
      <c r="I65" s="9">
        <f ca="1">(TODAY()-staff[[#This Row],[Date Joined]])/365</f>
        <v>2.7835616438356166</v>
      </c>
      <c r="J65" s="6">
        <f ca="1">ROUNDUP(IF(staff[[#This Row],[Tenure]]&gt;2,3%,2 %)*staff[[#This Row],[Salary]],0)</f>
        <v>1920</v>
      </c>
      <c r="K65">
        <f>_xlfn.XLOOKUP(staff[[#This Row],[Rating]],'Salary vs. Rating'!$B$11:$B$15,'Salary vs. Rating'!$C$11:$C$15)</f>
        <v>3</v>
      </c>
    </row>
    <row r="66" spans="1:11" x14ac:dyDescent="0.25">
      <c r="A66" t="s">
        <v>93</v>
      </c>
      <c r="B66" t="s">
        <v>8</v>
      </c>
      <c r="C66" t="s">
        <v>21</v>
      </c>
      <c r="D66">
        <v>33</v>
      </c>
      <c r="E66" s="8">
        <v>44067</v>
      </c>
      <c r="F66" s="6">
        <v>65360</v>
      </c>
      <c r="G66" t="s">
        <v>16</v>
      </c>
      <c r="H66" t="s">
        <v>243</v>
      </c>
      <c r="I66" s="9">
        <f ca="1">(TODAY()-staff[[#This Row],[Date Joined]])/365</f>
        <v>4.065753424657534</v>
      </c>
      <c r="J66" s="6">
        <f ca="1">ROUNDUP(IF(staff[[#This Row],[Tenure]]&gt;2,3%,2 %)*staff[[#This Row],[Salary]],0)</f>
        <v>1961</v>
      </c>
      <c r="K66">
        <f>_xlfn.XLOOKUP(staff[[#This Row],[Rating]],'Salary vs. Rating'!$B$11:$B$15,'Salary vs. Rating'!$C$11:$C$15)</f>
        <v>3</v>
      </c>
    </row>
    <row r="67" spans="1:11" x14ac:dyDescent="0.25">
      <c r="A67" t="s">
        <v>186</v>
      </c>
      <c r="B67" t="s">
        <v>8</v>
      </c>
      <c r="C67" t="s">
        <v>21</v>
      </c>
      <c r="D67">
        <v>33</v>
      </c>
      <c r="E67" s="8">
        <v>44006</v>
      </c>
      <c r="F67" s="6">
        <v>65360</v>
      </c>
      <c r="G67" t="s">
        <v>16</v>
      </c>
      <c r="H67" t="s">
        <v>244</v>
      </c>
      <c r="I67" s="9">
        <f ca="1">(TODAY()-staff[[#This Row],[Date Joined]])/365</f>
        <v>4.2328767123287667</v>
      </c>
      <c r="J67" s="6">
        <f ca="1">ROUNDUP(IF(staff[[#This Row],[Tenure]]&gt;2,3%,2 %)*staff[[#This Row],[Salary]],0)</f>
        <v>1961</v>
      </c>
      <c r="K67">
        <f>_xlfn.XLOOKUP(staff[[#This Row],[Rating]],'Salary vs. Rating'!$B$11:$B$15,'Salary vs. Rating'!$C$11:$C$15)</f>
        <v>3</v>
      </c>
    </row>
    <row r="68" spans="1:11" x14ac:dyDescent="0.25">
      <c r="A68" t="s">
        <v>76</v>
      </c>
      <c r="B68" t="s">
        <v>15</v>
      </c>
      <c r="C68" t="s">
        <v>19</v>
      </c>
      <c r="D68">
        <v>25</v>
      </c>
      <c r="E68" s="8">
        <v>44383</v>
      </c>
      <c r="F68" s="6">
        <v>65700</v>
      </c>
      <c r="G68" t="s">
        <v>16</v>
      </c>
      <c r="H68" t="s">
        <v>243</v>
      </c>
      <c r="I68" s="9">
        <f ca="1">(TODAY()-staff[[#This Row],[Date Joined]])/365</f>
        <v>3.2</v>
      </c>
      <c r="J68" s="6">
        <f ca="1">ROUNDUP(IF(staff[[#This Row],[Tenure]]&gt;2,3%,2 %)*staff[[#This Row],[Salary]],0)</f>
        <v>1971</v>
      </c>
      <c r="K68">
        <f>_xlfn.XLOOKUP(staff[[#This Row],[Rating]],'Salary vs. Rating'!$B$11:$B$15,'Salary vs. Rating'!$C$11:$C$15)</f>
        <v>3</v>
      </c>
    </row>
    <row r="69" spans="1:11" x14ac:dyDescent="0.25">
      <c r="A69" t="s">
        <v>168</v>
      </c>
      <c r="B69" t="s">
        <v>15</v>
      </c>
      <c r="C69" t="s">
        <v>19</v>
      </c>
      <c r="D69">
        <v>25</v>
      </c>
      <c r="E69" s="8">
        <v>44322</v>
      </c>
      <c r="F69" s="6">
        <v>65700</v>
      </c>
      <c r="G69" t="s">
        <v>16</v>
      </c>
      <c r="H69" t="s">
        <v>244</v>
      </c>
      <c r="I69" s="9">
        <f ca="1">(TODAY()-staff[[#This Row],[Date Joined]])/365</f>
        <v>3.3671232876712329</v>
      </c>
      <c r="J69" s="6">
        <f ca="1">ROUNDUP(IF(staff[[#This Row],[Tenure]]&gt;2,3%,2 %)*staff[[#This Row],[Salary]],0)</f>
        <v>1971</v>
      </c>
      <c r="K69">
        <f>_xlfn.XLOOKUP(staff[[#This Row],[Rating]],'Salary vs. Rating'!$B$11:$B$15,'Salary vs. Rating'!$C$11:$C$15)</f>
        <v>3</v>
      </c>
    </row>
    <row r="70" spans="1:11" x14ac:dyDescent="0.25">
      <c r="A70" t="s">
        <v>32</v>
      </c>
      <c r="B70" t="s">
        <v>8</v>
      </c>
      <c r="C70" t="s">
        <v>21</v>
      </c>
      <c r="D70">
        <v>21</v>
      </c>
      <c r="E70" s="8">
        <v>44317</v>
      </c>
      <c r="F70" s="6">
        <v>65920</v>
      </c>
      <c r="G70" t="s">
        <v>16</v>
      </c>
      <c r="H70" t="s">
        <v>243</v>
      </c>
      <c r="I70" s="9">
        <f ca="1">(TODAY()-staff[[#This Row],[Date Joined]])/365</f>
        <v>3.3808219178082193</v>
      </c>
      <c r="J70" s="6">
        <f ca="1">ROUNDUP(IF(staff[[#This Row],[Tenure]]&gt;2,3%,2 %)*staff[[#This Row],[Salary]],0)</f>
        <v>1978</v>
      </c>
      <c r="K70">
        <f>_xlfn.XLOOKUP(staff[[#This Row],[Rating]],'Salary vs. Rating'!$B$11:$B$15,'Salary vs. Rating'!$C$11:$C$15)</f>
        <v>3</v>
      </c>
    </row>
    <row r="71" spans="1:11" x14ac:dyDescent="0.25">
      <c r="A71" t="s">
        <v>126</v>
      </c>
      <c r="B71" t="s">
        <v>8</v>
      </c>
      <c r="C71" t="s">
        <v>21</v>
      </c>
      <c r="D71">
        <v>21</v>
      </c>
      <c r="E71" s="8">
        <v>44256</v>
      </c>
      <c r="F71" s="6">
        <v>65920</v>
      </c>
      <c r="G71" t="s">
        <v>16</v>
      </c>
      <c r="H71" t="s">
        <v>244</v>
      </c>
      <c r="I71" s="9">
        <f ca="1">(TODAY()-staff[[#This Row],[Date Joined]])/365</f>
        <v>3.547945205479452</v>
      </c>
      <c r="J71" s="6">
        <f ca="1">ROUNDUP(IF(staff[[#This Row],[Tenure]]&gt;2,3%,2 %)*staff[[#This Row],[Salary]],0)</f>
        <v>1978</v>
      </c>
      <c r="K71">
        <f>_xlfn.XLOOKUP(staff[[#This Row],[Rating]],'Salary vs. Rating'!$B$11:$B$15,'Salary vs. Rating'!$C$11:$C$15)</f>
        <v>3</v>
      </c>
    </row>
    <row r="72" spans="1:11" x14ac:dyDescent="0.25">
      <c r="A72" t="s">
        <v>27</v>
      </c>
      <c r="B72" t="s">
        <v>8</v>
      </c>
      <c r="C72" t="s">
        <v>21</v>
      </c>
      <c r="D72">
        <v>30</v>
      </c>
      <c r="E72" s="8">
        <v>44389</v>
      </c>
      <c r="F72" s="6">
        <v>67910</v>
      </c>
      <c r="G72" t="s">
        <v>24</v>
      </c>
      <c r="H72" t="s">
        <v>243</v>
      </c>
      <c r="I72" s="9">
        <f ca="1">(TODAY()-staff[[#This Row],[Date Joined]])/365</f>
        <v>3.1835616438356165</v>
      </c>
      <c r="J72" s="6">
        <f ca="1">ROUNDUP(IF(staff[[#This Row],[Tenure]]&gt;2,3%,2 %)*staff[[#This Row],[Salary]],0)</f>
        <v>2038</v>
      </c>
      <c r="K72">
        <f>_xlfn.XLOOKUP(staff[[#This Row],[Rating]],'Salary vs. Rating'!$B$11:$B$15,'Salary vs. Rating'!$C$11:$C$15)</f>
        <v>2</v>
      </c>
    </row>
    <row r="73" spans="1:11" x14ac:dyDescent="0.25">
      <c r="A73" t="s">
        <v>121</v>
      </c>
      <c r="B73" t="s">
        <v>8</v>
      </c>
      <c r="C73" t="s">
        <v>21</v>
      </c>
      <c r="D73">
        <v>30</v>
      </c>
      <c r="E73" s="8">
        <v>44328</v>
      </c>
      <c r="F73" s="6">
        <v>67910</v>
      </c>
      <c r="G73" t="s">
        <v>24</v>
      </c>
      <c r="H73" t="s">
        <v>244</v>
      </c>
      <c r="I73" s="9">
        <f ca="1">(TODAY()-staff[[#This Row],[Date Joined]])/365</f>
        <v>3.3506849315068492</v>
      </c>
      <c r="J73" s="6">
        <f ca="1">ROUNDUP(IF(staff[[#This Row],[Tenure]]&gt;2,3%,2 %)*staff[[#This Row],[Salary]],0)</f>
        <v>2038</v>
      </c>
      <c r="K73">
        <f>_xlfn.XLOOKUP(staff[[#This Row],[Rating]],'Salary vs. Rating'!$B$11:$B$15,'Salary vs. Rating'!$C$11:$C$15)</f>
        <v>2</v>
      </c>
    </row>
    <row r="74" spans="1:11" x14ac:dyDescent="0.25">
      <c r="A74" t="s">
        <v>45</v>
      </c>
      <c r="B74" t="s">
        <v>15</v>
      </c>
      <c r="C74" t="s">
        <v>9</v>
      </c>
      <c r="D74">
        <v>30</v>
      </c>
      <c r="E74" s="8">
        <v>44701</v>
      </c>
      <c r="F74" s="6">
        <v>67950</v>
      </c>
      <c r="G74" t="s">
        <v>16</v>
      </c>
      <c r="H74" t="s">
        <v>243</v>
      </c>
      <c r="I74" s="9">
        <f ca="1">(TODAY()-staff[[#This Row],[Date Joined]])/365</f>
        <v>2.3287671232876712</v>
      </c>
      <c r="J74" s="6">
        <f ca="1">ROUNDUP(IF(staff[[#This Row],[Tenure]]&gt;2,3%,2 %)*staff[[#This Row],[Salary]],0)</f>
        <v>2039</v>
      </c>
      <c r="K74">
        <f>_xlfn.XLOOKUP(staff[[#This Row],[Rating]],'Salary vs. Rating'!$B$11:$B$15,'Salary vs. Rating'!$C$11:$C$15)</f>
        <v>3</v>
      </c>
    </row>
    <row r="75" spans="1:11" x14ac:dyDescent="0.25">
      <c r="A75" t="s">
        <v>138</v>
      </c>
      <c r="B75" t="s">
        <v>15</v>
      </c>
      <c r="C75" t="s">
        <v>9</v>
      </c>
      <c r="D75">
        <v>30</v>
      </c>
      <c r="E75" s="8">
        <v>44640</v>
      </c>
      <c r="F75" s="6">
        <v>67950</v>
      </c>
      <c r="G75" t="s">
        <v>16</v>
      </c>
      <c r="H75" t="s">
        <v>244</v>
      </c>
      <c r="I75" s="9">
        <f ca="1">(TODAY()-staff[[#This Row],[Date Joined]])/365</f>
        <v>2.495890410958904</v>
      </c>
      <c r="J75" s="6">
        <f ca="1">ROUNDUP(IF(staff[[#This Row],[Tenure]]&gt;2,3%,2 %)*staff[[#This Row],[Salary]],0)</f>
        <v>2039</v>
      </c>
      <c r="K75">
        <f>_xlfn.XLOOKUP(staff[[#This Row],[Rating]],'Salary vs. Rating'!$B$11:$B$15,'Salary vs. Rating'!$C$11:$C$15)</f>
        <v>3</v>
      </c>
    </row>
    <row r="76" spans="1:11" x14ac:dyDescent="0.25">
      <c r="A76" t="s">
        <v>91</v>
      </c>
      <c r="B76" t="s">
        <v>8</v>
      </c>
      <c r="C76" t="s">
        <v>19</v>
      </c>
      <c r="D76">
        <v>20</v>
      </c>
      <c r="E76" s="8">
        <v>44537</v>
      </c>
      <c r="F76" s="6">
        <v>68900</v>
      </c>
      <c r="G76" t="s">
        <v>24</v>
      </c>
      <c r="H76" t="s">
        <v>243</v>
      </c>
      <c r="I76" s="9">
        <f ca="1">(TODAY()-staff[[#This Row],[Date Joined]])/365</f>
        <v>2.7780821917808218</v>
      </c>
      <c r="J76" s="6">
        <f ca="1">ROUNDUP(IF(staff[[#This Row],[Tenure]]&gt;2,3%,2 %)*staff[[#This Row],[Salary]],0)</f>
        <v>2067</v>
      </c>
      <c r="K76">
        <f>_xlfn.XLOOKUP(staff[[#This Row],[Rating]],'Salary vs. Rating'!$B$11:$B$15,'Salary vs. Rating'!$C$11:$C$15)</f>
        <v>2</v>
      </c>
    </row>
    <row r="77" spans="1:11" x14ac:dyDescent="0.25">
      <c r="A77" t="s">
        <v>184</v>
      </c>
      <c r="B77" t="s">
        <v>8</v>
      </c>
      <c r="C77" t="s">
        <v>19</v>
      </c>
      <c r="D77">
        <v>20</v>
      </c>
      <c r="E77" s="8">
        <v>44476</v>
      </c>
      <c r="F77" s="6">
        <v>68900</v>
      </c>
      <c r="G77" t="s">
        <v>24</v>
      </c>
      <c r="H77" t="s">
        <v>244</v>
      </c>
      <c r="I77" s="9">
        <f ca="1">(TODAY()-staff[[#This Row],[Date Joined]])/365</f>
        <v>2.9452054794520546</v>
      </c>
      <c r="J77" s="6">
        <f ca="1">ROUNDUP(IF(staff[[#This Row],[Tenure]]&gt;2,3%,2 %)*staff[[#This Row],[Salary]],0)</f>
        <v>2067</v>
      </c>
      <c r="K77">
        <f>_xlfn.XLOOKUP(staff[[#This Row],[Rating]],'Salary vs. Rating'!$B$11:$B$15,'Salary vs. Rating'!$C$11:$C$15)</f>
        <v>2</v>
      </c>
    </row>
    <row r="78" spans="1:11" x14ac:dyDescent="0.25">
      <c r="A78" t="s">
        <v>97</v>
      </c>
      <c r="B78" t="s">
        <v>15</v>
      </c>
      <c r="C78" t="s">
        <v>12</v>
      </c>
      <c r="D78">
        <v>37</v>
      </c>
      <c r="E78" s="8">
        <v>44701</v>
      </c>
      <c r="F78" s="6">
        <v>69070</v>
      </c>
      <c r="G78" t="s">
        <v>16</v>
      </c>
      <c r="H78" t="s">
        <v>243</v>
      </c>
      <c r="I78" s="9">
        <f ca="1">(TODAY()-staff[[#This Row],[Date Joined]])/365</f>
        <v>2.3287671232876712</v>
      </c>
      <c r="J78" s="6">
        <f ca="1">ROUNDUP(IF(staff[[#This Row],[Tenure]]&gt;2,3%,2 %)*staff[[#This Row],[Salary]],0)</f>
        <v>2073</v>
      </c>
      <c r="K78">
        <f>_xlfn.XLOOKUP(staff[[#This Row],[Rating]],'Salary vs. Rating'!$B$11:$B$15,'Salary vs. Rating'!$C$11:$C$15)</f>
        <v>3</v>
      </c>
    </row>
    <row r="79" spans="1:11" x14ac:dyDescent="0.25">
      <c r="A79" t="s">
        <v>190</v>
      </c>
      <c r="B79" t="s">
        <v>15</v>
      </c>
      <c r="C79" t="s">
        <v>12</v>
      </c>
      <c r="D79">
        <v>37</v>
      </c>
      <c r="E79" s="8">
        <v>44640</v>
      </c>
      <c r="F79" s="6">
        <v>69070</v>
      </c>
      <c r="G79" t="s">
        <v>16</v>
      </c>
      <c r="H79" t="s">
        <v>244</v>
      </c>
      <c r="I79" s="9">
        <f ca="1">(TODAY()-staff[[#This Row],[Date Joined]])/365</f>
        <v>2.495890410958904</v>
      </c>
      <c r="J79" s="6">
        <f ca="1">ROUNDUP(IF(staff[[#This Row],[Tenure]]&gt;2,3%,2 %)*staff[[#This Row],[Salary]],0)</f>
        <v>2073</v>
      </c>
      <c r="K79">
        <f>_xlfn.XLOOKUP(staff[[#This Row],[Rating]],'Salary vs. Rating'!$B$11:$B$15,'Salary vs. Rating'!$C$11:$C$15)</f>
        <v>3</v>
      </c>
    </row>
    <row r="80" spans="1:11" x14ac:dyDescent="0.25">
      <c r="A80" t="s">
        <v>25</v>
      </c>
      <c r="B80" t="s">
        <v>15</v>
      </c>
      <c r="C80" t="s">
        <v>12</v>
      </c>
      <c r="D80">
        <v>30</v>
      </c>
      <c r="E80" s="8">
        <v>44273</v>
      </c>
      <c r="F80" s="6">
        <v>69120</v>
      </c>
      <c r="G80" t="s">
        <v>16</v>
      </c>
      <c r="H80" t="s">
        <v>243</v>
      </c>
      <c r="I80" s="9">
        <f ca="1">(TODAY()-staff[[#This Row],[Date Joined]])/365</f>
        <v>3.5013698630136987</v>
      </c>
      <c r="J80" s="6">
        <f ca="1">ROUNDUP(IF(staff[[#This Row],[Tenure]]&gt;2,3%,2 %)*staff[[#This Row],[Salary]],0)</f>
        <v>2074</v>
      </c>
      <c r="K80">
        <f>_xlfn.XLOOKUP(staff[[#This Row],[Rating]],'Salary vs. Rating'!$B$11:$B$15,'Salary vs. Rating'!$C$11:$C$15)</f>
        <v>3</v>
      </c>
    </row>
    <row r="81" spans="1:11" x14ac:dyDescent="0.25">
      <c r="A81" t="s">
        <v>119</v>
      </c>
      <c r="B81" t="s">
        <v>15</v>
      </c>
      <c r="C81" t="s">
        <v>12</v>
      </c>
      <c r="D81">
        <v>30</v>
      </c>
      <c r="E81" s="8">
        <v>44214</v>
      </c>
      <c r="F81" s="6">
        <v>69120</v>
      </c>
      <c r="G81" t="s">
        <v>16</v>
      </c>
      <c r="H81" t="s">
        <v>244</v>
      </c>
      <c r="I81" s="9">
        <f ca="1">(TODAY()-staff[[#This Row],[Date Joined]])/365</f>
        <v>3.6630136986301371</v>
      </c>
      <c r="J81" s="6">
        <f ca="1">ROUNDUP(IF(staff[[#This Row],[Tenure]]&gt;2,3%,2 %)*staff[[#This Row],[Salary]],0)</f>
        <v>2074</v>
      </c>
      <c r="K81">
        <f>_xlfn.XLOOKUP(staff[[#This Row],[Rating]],'Salary vs. Rating'!$B$11:$B$15,'Salary vs. Rating'!$C$11:$C$15)</f>
        <v>3</v>
      </c>
    </row>
    <row r="82" spans="1:11" x14ac:dyDescent="0.25">
      <c r="A82" t="s">
        <v>67</v>
      </c>
      <c r="B82" t="s">
        <v>15</v>
      </c>
      <c r="C82" t="s">
        <v>12</v>
      </c>
      <c r="D82">
        <v>30</v>
      </c>
      <c r="E82" s="8">
        <v>44850</v>
      </c>
      <c r="F82" s="6">
        <v>69710</v>
      </c>
      <c r="G82" t="s">
        <v>16</v>
      </c>
      <c r="H82" t="s">
        <v>243</v>
      </c>
      <c r="I82" s="9">
        <f ca="1">(TODAY()-staff[[#This Row],[Date Joined]])/365</f>
        <v>1.9205479452054794</v>
      </c>
      <c r="J82" s="6">
        <f ca="1">ROUNDUP(IF(staff[[#This Row],[Tenure]]&gt;2,3%,2 %)*staff[[#This Row],[Salary]],0)</f>
        <v>1395</v>
      </c>
      <c r="K82">
        <f>_xlfn.XLOOKUP(staff[[#This Row],[Rating]],'Salary vs. Rating'!$B$11:$B$15,'Salary vs. Rating'!$C$11:$C$15)</f>
        <v>3</v>
      </c>
    </row>
    <row r="83" spans="1:11" x14ac:dyDescent="0.25">
      <c r="A83" t="s">
        <v>159</v>
      </c>
      <c r="B83" t="s">
        <v>15</v>
      </c>
      <c r="C83" t="s">
        <v>12</v>
      </c>
      <c r="D83">
        <v>30</v>
      </c>
      <c r="E83" s="8">
        <v>44789</v>
      </c>
      <c r="F83" s="6">
        <v>69710</v>
      </c>
      <c r="G83" t="s">
        <v>16</v>
      </c>
      <c r="H83" t="s">
        <v>244</v>
      </c>
      <c r="I83" s="9">
        <f ca="1">(TODAY()-staff[[#This Row],[Date Joined]])/365</f>
        <v>2.0876712328767124</v>
      </c>
      <c r="J83" s="6">
        <f ca="1">ROUNDUP(IF(staff[[#This Row],[Tenure]]&gt;2,3%,2 %)*staff[[#This Row],[Salary]],0)</f>
        <v>2092</v>
      </c>
      <c r="K83">
        <f>_xlfn.XLOOKUP(staff[[#This Row],[Rating]],'Salary vs. Rating'!$B$11:$B$15,'Salary vs. Rating'!$C$11:$C$15)</f>
        <v>3</v>
      </c>
    </row>
    <row r="84" spans="1:11" x14ac:dyDescent="0.25">
      <c r="A84" t="s">
        <v>90</v>
      </c>
      <c r="B84" t="s">
        <v>15</v>
      </c>
      <c r="C84" t="s">
        <v>21</v>
      </c>
      <c r="D84">
        <v>42</v>
      </c>
      <c r="E84" s="8">
        <v>44731</v>
      </c>
      <c r="F84" s="6">
        <v>70270</v>
      </c>
      <c r="G84" t="s">
        <v>24</v>
      </c>
      <c r="H84" t="s">
        <v>243</v>
      </c>
      <c r="I84" s="9">
        <f ca="1">(TODAY()-staff[[#This Row],[Date Joined]])/365</f>
        <v>2.2465753424657535</v>
      </c>
      <c r="J84" s="6">
        <f ca="1">ROUNDUP(IF(staff[[#This Row],[Tenure]]&gt;2,3%,2 %)*staff[[#This Row],[Salary]],0)</f>
        <v>2109</v>
      </c>
      <c r="K84">
        <f>_xlfn.XLOOKUP(staff[[#This Row],[Rating]],'Salary vs. Rating'!$B$11:$B$15,'Salary vs. Rating'!$C$11:$C$15)</f>
        <v>2</v>
      </c>
    </row>
    <row r="85" spans="1:11" x14ac:dyDescent="0.25">
      <c r="A85" t="s">
        <v>183</v>
      </c>
      <c r="B85" t="s">
        <v>15</v>
      </c>
      <c r="C85" t="s">
        <v>21</v>
      </c>
      <c r="D85">
        <v>42</v>
      </c>
      <c r="E85" s="8">
        <v>44670</v>
      </c>
      <c r="F85" s="6">
        <v>70270</v>
      </c>
      <c r="G85" t="s">
        <v>24</v>
      </c>
      <c r="H85" t="s">
        <v>244</v>
      </c>
      <c r="I85" s="9">
        <f ca="1">(TODAY()-staff[[#This Row],[Date Joined]])/365</f>
        <v>2.4136986301369863</v>
      </c>
      <c r="J85" s="6">
        <f ca="1">ROUNDUP(IF(staff[[#This Row],[Tenure]]&gt;2,3%,2 %)*staff[[#This Row],[Salary]],0)</f>
        <v>2109</v>
      </c>
      <c r="K85">
        <f>_xlfn.XLOOKUP(staff[[#This Row],[Rating]],'Salary vs. Rating'!$B$11:$B$15,'Salary vs. Rating'!$C$11:$C$15)</f>
        <v>2</v>
      </c>
    </row>
    <row r="86" spans="1:11" x14ac:dyDescent="0.25">
      <c r="A86" t="s">
        <v>70</v>
      </c>
      <c r="B86" t="s">
        <v>15</v>
      </c>
      <c r="C86" t="s">
        <v>9</v>
      </c>
      <c r="D86">
        <v>46</v>
      </c>
      <c r="E86" s="8">
        <v>44758</v>
      </c>
      <c r="F86" s="6">
        <v>70610</v>
      </c>
      <c r="G86" t="s">
        <v>16</v>
      </c>
      <c r="H86" t="s">
        <v>243</v>
      </c>
      <c r="I86" s="9">
        <f ca="1">(TODAY()-staff[[#This Row],[Date Joined]])/365</f>
        <v>2.1726027397260275</v>
      </c>
      <c r="J86" s="6">
        <f ca="1">ROUNDUP(IF(staff[[#This Row],[Tenure]]&gt;2,3%,2 %)*staff[[#This Row],[Salary]],0)</f>
        <v>2119</v>
      </c>
      <c r="K86">
        <f>_xlfn.XLOOKUP(staff[[#This Row],[Rating]],'Salary vs. Rating'!$B$11:$B$15,'Salary vs. Rating'!$C$11:$C$15)</f>
        <v>3</v>
      </c>
    </row>
    <row r="87" spans="1:11" x14ac:dyDescent="0.25">
      <c r="A87" t="s">
        <v>162</v>
      </c>
      <c r="B87" t="s">
        <v>15</v>
      </c>
      <c r="C87" t="s">
        <v>9</v>
      </c>
      <c r="D87">
        <v>46</v>
      </c>
      <c r="E87" s="8">
        <v>44697</v>
      </c>
      <c r="F87" s="6">
        <v>70610</v>
      </c>
      <c r="G87" t="s">
        <v>16</v>
      </c>
      <c r="H87" t="s">
        <v>244</v>
      </c>
      <c r="I87" s="9">
        <f ca="1">(TODAY()-staff[[#This Row],[Date Joined]])/365</f>
        <v>2.3397260273972602</v>
      </c>
      <c r="J87" s="6">
        <f ca="1">ROUNDUP(IF(staff[[#This Row],[Tenure]]&gt;2,3%,2 %)*staff[[#This Row],[Salary]],0)</f>
        <v>2119</v>
      </c>
      <c r="K87">
        <f>_xlfn.XLOOKUP(staff[[#This Row],[Rating]],'Salary vs. Rating'!$B$11:$B$15,'Salary vs. Rating'!$C$11:$C$15)</f>
        <v>3</v>
      </c>
    </row>
    <row r="88" spans="1:11" x14ac:dyDescent="0.25">
      <c r="A88" t="s">
        <v>94</v>
      </c>
      <c r="B88" t="s">
        <v>15</v>
      </c>
      <c r="C88" t="s">
        <v>21</v>
      </c>
      <c r="D88">
        <v>36</v>
      </c>
      <c r="E88" s="8">
        <v>44333</v>
      </c>
      <c r="F88" s="6">
        <v>71380</v>
      </c>
      <c r="G88" t="s">
        <v>16</v>
      </c>
      <c r="H88" t="s">
        <v>243</v>
      </c>
      <c r="I88" s="9">
        <f ca="1">(TODAY()-staff[[#This Row],[Date Joined]])/365</f>
        <v>3.3369863013698629</v>
      </c>
      <c r="J88" s="6">
        <f ca="1">ROUNDUP(IF(staff[[#This Row],[Tenure]]&gt;2,3%,2 %)*staff[[#This Row],[Salary]],0)</f>
        <v>2142</v>
      </c>
      <c r="K88">
        <f>_xlfn.XLOOKUP(staff[[#This Row],[Rating]],'Salary vs. Rating'!$B$11:$B$15,'Salary vs. Rating'!$C$11:$C$15)</f>
        <v>3</v>
      </c>
    </row>
    <row r="89" spans="1:11" x14ac:dyDescent="0.25">
      <c r="A89" t="s">
        <v>187</v>
      </c>
      <c r="B89" t="s">
        <v>15</v>
      </c>
      <c r="C89" t="s">
        <v>21</v>
      </c>
      <c r="D89">
        <v>36</v>
      </c>
      <c r="E89" s="8">
        <v>44272</v>
      </c>
      <c r="F89" s="6">
        <v>71380</v>
      </c>
      <c r="G89" t="s">
        <v>16</v>
      </c>
      <c r="H89" t="s">
        <v>244</v>
      </c>
      <c r="I89" s="9">
        <f ca="1">(TODAY()-staff[[#This Row],[Date Joined]])/365</f>
        <v>3.504109589041096</v>
      </c>
      <c r="J89" s="6">
        <f ca="1">ROUNDUP(IF(staff[[#This Row],[Tenure]]&gt;2,3%,2 %)*staff[[#This Row],[Salary]],0)</f>
        <v>2142</v>
      </c>
      <c r="K89">
        <f>_xlfn.XLOOKUP(staff[[#This Row],[Rating]],'Salary vs. Rating'!$B$11:$B$15,'Salary vs. Rating'!$C$11:$C$15)</f>
        <v>3</v>
      </c>
    </row>
    <row r="90" spans="1:11" x14ac:dyDescent="0.25">
      <c r="A90" t="s">
        <v>18</v>
      </c>
      <c r="B90" t="s">
        <v>15</v>
      </c>
      <c r="C90" t="s">
        <v>19</v>
      </c>
      <c r="D90">
        <v>33</v>
      </c>
      <c r="E90" s="8">
        <v>44385</v>
      </c>
      <c r="F90" s="6">
        <v>74550</v>
      </c>
      <c r="G90" t="s">
        <v>16</v>
      </c>
      <c r="H90" t="s">
        <v>243</v>
      </c>
      <c r="I90" s="9">
        <f ca="1">(TODAY()-staff[[#This Row],[Date Joined]])/365</f>
        <v>3.1945205479452055</v>
      </c>
      <c r="J90" s="6">
        <f ca="1">ROUNDUP(IF(staff[[#This Row],[Tenure]]&gt;2,3%,2 %)*staff[[#This Row],[Salary]],0)</f>
        <v>2237</v>
      </c>
      <c r="K90">
        <f>_xlfn.XLOOKUP(staff[[#This Row],[Rating]],'Salary vs. Rating'!$B$11:$B$15,'Salary vs. Rating'!$C$11:$C$15)</f>
        <v>3</v>
      </c>
    </row>
    <row r="91" spans="1:11" x14ac:dyDescent="0.25">
      <c r="A91" t="s">
        <v>115</v>
      </c>
      <c r="B91" t="s">
        <v>15</v>
      </c>
      <c r="C91" t="s">
        <v>19</v>
      </c>
      <c r="D91">
        <v>33</v>
      </c>
      <c r="E91" s="8">
        <v>44324</v>
      </c>
      <c r="F91" s="6">
        <v>74550</v>
      </c>
      <c r="G91" t="s">
        <v>16</v>
      </c>
      <c r="H91" t="s">
        <v>244</v>
      </c>
      <c r="I91" s="9">
        <f ca="1">(TODAY()-staff[[#This Row],[Date Joined]])/365</f>
        <v>3.3616438356164382</v>
      </c>
      <c r="J91" s="6">
        <f ca="1">ROUNDUP(IF(staff[[#This Row],[Tenure]]&gt;2,3%,2 %)*staff[[#This Row],[Salary]],0)</f>
        <v>2237</v>
      </c>
      <c r="K91">
        <f>_xlfn.XLOOKUP(staff[[#This Row],[Rating]],'Salary vs. Rating'!$B$11:$B$15,'Salary vs. Rating'!$C$11:$C$15)</f>
        <v>3</v>
      </c>
    </row>
    <row r="92" spans="1:11" x14ac:dyDescent="0.25">
      <c r="A92" t="s">
        <v>7</v>
      </c>
      <c r="B92" t="s">
        <v>8</v>
      </c>
      <c r="C92" t="s">
        <v>9</v>
      </c>
      <c r="D92">
        <v>42</v>
      </c>
      <c r="E92" s="8">
        <v>44779</v>
      </c>
      <c r="F92" s="6">
        <v>75000</v>
      </c>
      <c r="G92" t="s">
        <v>10</v>
      </c>
      <c r="H92" t="s">
        <v>243</v>
      </c>
      <c r="I92" s="9">
        <f ca="1">(TODAY()-staff[[#This Row],[Date Joined]])/365</f>
        <v>2.1150684931506851</v>
      </c>
      <c r="J92" s="6">
        <f ca="1">ROUNDUP(IF(staff[[#This Row],[Tenure]]&gt;2,3%,2 %)*staff[[#This Row],[Salary]],0)</f>
        <v>2250</v>
      </c>
      <c r="K92">
        <f>_xlfn.XLOOKUP(staff[[#This Row],[Rating]],'Salary vs. Rating'!$B$11:$B$15,'Salary vs. Rating'!$C$11:$C$15)</f>
        <v>5</v>
      </c>
    </row>
    <row r="93" spans="1:11" x14ac:dyDescent="0.25">
      <c r="A93" t="s">
        <v>111</v>
      </c>
      <c r="B93" t="s">
        <v>8</v>
      </c>
      <c r="C93" t="s">
        <v>9</v>
      </c>
      <c r="D93">
        <v>42</v>
      </c>
      <c r="E93" s="8">
        <v>44718</v>
      </c>
      <c r="F93" s="6">
        <v>75000</v>
      </c>
      <c r="G93" t="s">
        <v>10</v>
      </c>
      <c r="H93" t="s">
        <v>244</v>
      </c>
      <c r="I93" s="9">
        <f ca="1">(TODAY()-staff[[#This Row],[Date Joined]])/365</f>
        <v>2.2821917808219179</v>
      </c>
      <c r="J93" s="6">
        <f ca="1">ROUNDUP(IF(staff[[#This Row],[Tenure]]&gt;2,3%,2 %)*staff[[#This Row],[Salary]],0)</f>
        <v>2250</v>
      </c>
      <c r="K93">
        <f>_xlfn.XLOOKUP(staff[[#This Row],[Rating]],'Salary vs. Rating'!$B$11:$B$15,'Salary vs. Rating'!$C$11:$C$15)</f>
        <v>5</v>
      </c>
    </row>
    <row r="94" spans="1:11" x14ac:dyDescent="0.25">
      <c r="A94" t="s">
        <v>95</v>
      </c>
      <c r="B94" t="s">
        <v>8</v>
      </c>
      <c r="C94" t="s">
        <v>12</v>
      </c>
      <c r="D94">
        <v>33</v>
      </c>
      <c r="E94" s="8">
        <v>44312</v>
      </c>
      <c r="F94" s="6">
        <v>75280</v>
      </c>
      <c r="G94" t="s">
        <v>16</v>
      </c>
      <c r="H94" t="s">
        <v>243</v>
      </c>
      <c r="I94" s="9">
        <f ca="1">(TODAY()-staff[[#This Row],[Date Joined]])/365</f>
        <v>3.3945205479452056</v>
      </c>
      <c r="J94" s="6">
        <f ca="1">ROUNDUP(IF(staff[[#This Row],[Tenure]]&gt;2,3%,2 %)*staff[[#This Row],[Salary]],0)</f>
        <v>2259</v>
      </c>
      <c r="K94">
        <f>_xlfn.XLOOKUP(staff[[#This Row],[Rating]],'Salary vs. Rating'!$B$11:$B$15,'Salary vs. Rating'!$C$11:$C$15)</f>
        <v>3</v>
      </c>
    </row>
    <row r="95" spans="1:11" x14ac:dyDescent="0.25">
      <c r="A95" t="s">
        <v>188</v>
      </c>
      <c r="B95" t="s">
        <v>8</v>
      </c>
      <c r="C95" t="s">
        <v>12</v>
      </c>
      <c r="D95">
        <v>33</v>
      </c>
      <c r="E95" s="8">
        <v>44253</v>
      </c>
      <c r="F95" s="6">
        <v>75280</v>
      </c>
      <c r="G95" t="s">
        <v>16</v>
      </c>
      <c r="H95" t="s">
        <v>244</v>
      </c>
      <c r="I95" s="9">
        <f ca="1">(TODAY()-staff[[#This Row],[Date Joined]])/365</f>
        <v>3.5561643835616437</v>
      </c>
      <c r="J95" s="6">
        <f ca="1">ROUNDUP(IF(staff[[#This Row],[Tenure]]&gt;2,3%,2 %)*staff[[#This Row],[Salary]],0)</f>
        <v>2259</v>
      </c>
      <c r="K95">
        <f>_xlfn.XLOOKUP(staff[[#This Row],[Rating]],'Salary vs. Rating'!$B$11:$B$15,'Salary vs. Rating'!$C$11:$C$15)</f>
        <v>3</v>
      </c>
    </row>
    <row r="96" spans="1:11" x14ac:dyDescent="0.25">
      <c r="A96" t="s">
        <v>41</v>
      </c>
      <c r="B96" t="s">
        <v>8</v>
      </c>
      <c r="C96" t="s">
        <v>12</v>
      </c>
      <c r="D96">
        <v>33</v>
      </c>
      <c r="E96" s="8">
        <v>44374</v>
      </c>
      <c r="F96" s="6">
        <v>75480</v>
      </c>
      <c r="G96" t="s">
        <v>42</v>
      </c>
      <c r="H96" t="s">
        <v>243</v>
      </c>
      <c r="I96" s="9">
        <f ca="1">(TODAY()-staff[[#This Row],[Date Joined]])/365</f>
        <v>3.2246575342465755</v>
      </c>
      <c r="J96" s="6">
        <f ca="1">ROUNDUP(IF(staff[[#This Row],[Tenure]]&gt;2,3%,2 %)*staff[[#This Row],[Salary]],0)</f>
        <v>2265</v>
      </c>
      <c r="K96">
        <f>_xlfn.XLOOKUP(staff[[#This Row],[Rating]],'Salary vs. Rating'!$B$11:$B$15,'Salary vs. Rating'!$C$11:$C$15)</f>
        <v>1</v>
      </c>
    </row>
    <row r="97" spans="1:11" x14ac:dyDescent="0.25">
      <c r="A97" t="s">
        <v>135</v>
      </c>
      <c r="B97" t="s">
        <v>8</v>
      </c>
      <c r="C97" t="s">
        <v>12</v>
      </c>
      <c r="D97">
        <v>33</v>
      </c>
      <c r="E97" s="8">
        <v>44313</v>
      </c>
      <c r="F97" s="6">
        <v>75480</v>
      </c>
      <c r="G97" t="s">
        <v>42</v>
      </c>
      <c r="H97" t="s">
        <v>244</v>
      </c>
      <c r="I97" s="9">
        <f ca="1">(TODAY()-staff[[#This Row],[Date Joined]])/365</f>
        <v>3.3917808219178083</v>
      </c>
      <c r="J97" s="6">
        <f ca="1">ROUNDUP(IF(staff[[#This Row],[Tenure]]&gt;2,3%,2 %)*staff[[#This Row],[Salary]],0)</f>
        <v>2265</v>
      </c>
      <c r="K97">
        <f>_xlfn.XLOOKUP(staff[[#This Row],[Rating]],'Salary vs. Rating'!$B$11:$B$15,'Salary vs. Rating'!$C$11:$C$15)</f>
        <v>1</v>
      </c>
    </row>
    <row r="98" spans="1:11" x14ac:dyDescent="0.25">
      <c r="A98" t="s">
        <v>78</v>
      </c>
      <c r="B98" t="s">
        <v>15</v>
      </c>
      <c r="C98" t="s">
        <v>56</v>
      </c>
      <c r="D98">
        <v>21</v>
      </c>
      <c r="E98" s="8">
        <v>44242</v>
      </c>
      <c r="F98" s="6">
        <v>75880</v>
      </c>
      <c r="G98" t="s">
        <v>16</v>
      </c>
      <c r="H98" t="s">
        <v>243</v>
      </c>
      <c r="I98" s="9">
        <f ca="1">(TODAY()-staff[[#This Row],[Date Joined]])/365</f>
        <v>3.5863013698630137</v>
      </c>
      <c r="J98" s="6">
        <f ca="1">ROUNDUP(IF(staff[[#This Row],[Tenure]]&gt;2,3%,2 %)*staff[[#This Row],[Salary]],0)</f>
        <v>2277</v>
      </c>
      <c r="K98">
        <f>_xlfn.XLOOKUP(staff[[#This Row],[Rating]],'Salary vs. Rating'!$B$11:$B$15,'Salary vs. Rating'!$C$11:$C$15)</f>
        <v>3</v>
      </c>
    </row>
    <row r="99" spans="1:11" x14ac:dyDescent="0.25">
      <c r="A99" t="s">
        <v>170</v>
      </c>
      <c r="B99" t="s">
        <v>15</v>
      </c>
      <c r="C99" t="s">
        <v>56</v>
      </c>
      <c r="D99">
        <v>21</v>
      </c>
      <c r="E99" s="8">
        <v>44180</v>
      </c>
      <c r="F99" s="6">
        <v>75880</v>
      </c>
      <c r="G99" t="s">
        <v>16</v>
      </c>
      <c r="H99" t="s">
        <v>244</v>
      </c>
      <c r="I99" s="9">
        <f ca="1">(TODAY()-staff[[#This Row],[Date Joined]])/365</f>
        <v>3.7561643835616438</v>
      </c>
      <c r="J99" s="6">
        <f ca="1">ROUNDUP(IF(staff[[#This Row],[Tenure]]&gt;2,3%,2 %)*staff[[#This Row],[Salary]],0)</f>
        <v>2277</v>
      </c>
      <c r="K99">
        <f>_xlfn.XLOOKUP(staff[[#This Row],[Rating]],'Salary vs. Rating'!$B$11:$B$15,'Salary vs. Rating'!$C$11:$C$15)</f>
        <v>3</v>
      </c>
    </row>
    <row r="100" spans="1:11" x14ac:dyDescent="0.25">
      <c r="A100" t="s">
        <v>35</v>
      </c>
      <c r="B100" t="s">
        <v>8</v>
      </c>
      <c r="C100" t="s">
        <v>21</v>
      </c>
      <c r="D100">
        <v>28</v>
      </c>
      <c r="E100" s="8">
        <v>44185</v>
      </c>
      <c r="F100" s="6">
        <v>75970</v>
      </c>
      <c r="G100" t="s">
        <v>16</v>
      </c>
      <c r="H100" t="s">
        <v>243</v>
      </c>
      <c r="I100" s="9">
        <f ca="1">(TODAY()-staff[[#This Row],[Date Joined]])/365</f>
        <v>3.7424657534246575</v>
      </c>
      <c r="J100" s="6">
        <f ca="1">ROUNDUP(IF(staff[[#This Row],[Tenure]]&gt;2,3%,2 %)*staff[[#This Row],[Salary]],0)</f>
        <v>2280</v>
      </c>
      <c r="K100">
        <f>_xlfn.XLOOKUP(staff[[#This Row],[Rating]],'Salary vs. Rating'!$B$11:$B$15,'Salary vs. Rating'!$C$11:$C$15)</f>
        <v>3</v>
      </c>
    </row>
    <row r="101" spans="1:11" x14ac:dyDescent="0.25">
      <c r="A101" t="s">
        <v>129</v>
      </c>
      <c r="B101" t="s">
        <v>8</v>
      </c>
      <c r="C101" t="s">
        <v>21</v>
      </c>
      <c r="D101">
        <v>28</v>
      </c>
      <c r="E101" s="8">
        <v>44124</v>
      </c>
      <c r="F101" s="6">
        <v>75970</v>
      </c>
      <c r="G101" t="s">
        <v>16</v>
      </c>
      <c r="H101" t="s">
        <v>244</v>
      </c>
      <c r="I101" s="9">
        <f ca="1">(TODAY()-staff[[#This Row],[Date Joined]])/365</f>
        <v>3.9095890410958902</v>
      </c>
      <c r="J101" s="6">
        <f ca="1">ROUNDUP(IF(staff[[#This Row],[Tenure]]&gt;2,3%,2 %)*staff[[#This Row],[Salary]],0)</f>
        <v>2280</v>
      </c>
      <c r="K101">
        <f>_xlfn.XLOOKUP(staff[[#This Row],[Rating]],'Salary vs. Rating'!$B$11:$B$15,'Salary vs. Rating'!$C$11:$C$15)</f>
        <v>3</v>
      </c>
    </row>
    <row r="102" spans="1:11" x14ac:dyDescent="0.25">
      <c r="A102" t="s">
        <v>62</v>
      </c>
      <c r="B102" t="s">
        <v>8</v>
      </c>
      <c r="C102" t="s">
        <v>9</v>
      </c>
      <c r="D102">
        <v>22</v>
      </c>
      <c r="E102" s="8">
        <v>44450</v>
      </c>
      <c r="F102" s="6">
        <v>76900</v>
      </c>
      <c r="G102" t="s">
        <v>13</v>
      </c>
      <c r="H102" t="s">
        <v>243</v>
      </c>
      <c r="I102" s="9">
        <f ca="1">(TODAY()-staff[[#This Row],[Date Joined]])/365</f>
        <v>3.0164383561643837</v>
      </c>
      <c r="J102" s="6">
        <f ca="1">ROUNDUP(IF(staff[[#This Row],[Tenure]]&gt;2,3%,2 %)*staff[[#This Row],[Salary]],0)</f>
        <v>2307</v>
      </c>
      <c r="K102">
        <f>_xlfn.XLOOKUP(staff[[#This Row],[Rating]],'Salary vs. Rating'!$B$11:$B$15,'Salary vs. Rating'!$C$11:$C$15)</f>
        <v>4</v>
      </c>
    </row>
    <row r="103" spans="1:11" x14ac:dyDescent="0.25">
      <c r="A103" t="s">
        <v>154</v>
      </c>
      <c r="B103" t="s">
        <v>8</v>
      </c>
      <c r="C103" t="s">
        <v>9</v>
      </c>
      <c r="D103">
        <v>22</v>
      </c>
      <c r="E103" s="8">
        <v>44388</v>
      </c>
      <c r="F103" s="6">
        <v>76900</v>
      </c>
      <c r="G103" t="s">
        <v>13</v>
      </c>
      <c r="H103" t="s">
        <v>244</v>
      </c>
      <c r="I103" s="9">
        <f ca="1">(TODAY()-staff[[#This Row],[Date Joined]])/365</f>
        <v>3.1863013698630138</v>
      </c>
      <c r="J103" s="6">
        <f ca="1">ROUNDUP(IF(staff[[#This Row],[Tenure]]&gt;2,3%,2 %)*staff[[#This Row],[Salary]],0)</f>
        <v>2307</v>
      </c>
      <c r="K103">
        <f>_xlfn.XLOOKUP(staff[[#This Row],[Rating]],'Salary vs. Rating'!$B$11:$B$15,'Salary vs. Rating'!$C$11:$C$15)</f>
        <v>4</v>
      </c>
    </row>
    <row r="104" spans="1:11" x14ac:dyDescent="0.25">
      <c r="A104" t="s">
        <v>72</v>
      </c>
      <c r="B104" t="s">
        <v>8</v>
      </c>
      <c r="C104" t="s">
        <v>9</v>
      </c>
      <c r="D104">
        <v>36</v>
      </c>
      <c r="E104" s="8">
        <v>44529</v>
      </c>
      <c r="F104" s="6">
        <v>78390</v>
      </c>
      <c r="G104" t="s">
        <v>16</v>
      </c>
      <c r="H104" t="s">
        <v>243</v>
      </c>
      <c r="I104" s="9">
        <f ca="1">(TODAY()-staff[[#This Row],[Date Joined]])/365</f>
        <v>2.8</v>
      </c>
      <c r="J104" s="6">
        <f ca="1">ROUNDUP(IF(staff[[#This Row],[Tenure]]&gt;2,3%,2 %)*staff[[#This Row],[Salary]],0)</f>
        <v>2352</v>
      </c>
      <c r="K104">
        <f>_xlfn.XLOOKUP(staff[[#This Row],[Rating]],'Salary vs. Rating'!$B$11:$B$15,'Salary vs. Rating'!$C$11:$C$15)</f>
        <v>3</v>
      </c>
    </row>
    <row r="105" spans="1:11" x14ac:dyDescent="0.25">
      <c r="A105" t="s">
        <v>164</v>
      </c>
      <c r="B105" t="s">
        <v>8</v>
      </c>
      <c r="C105" t="s">
        <v>9</v>
      </c>
      <c r="D105">
        <v>36</v>
      </c>
      <c r="E105" s="8">
        <v>44468</v>
      </c>
      <c r="F105" s="6">
        <v>78390</v>
      </c>
      <c r="G105" t="s">
        <v>16</v>
      </c>
      <c r="H105" t="s">
        <v>244</v>
      </c>
      <c r="I105" s="9">
        <f ca="1">(TODAY()-staff[[#This Row],[Date Joined]])/365</f>
        <v>2.967123287671233</v>
      </c>
      <c r="J105" s="6">
        <f ca="1">ROUNDUP(IF(staff[[#This Row],[Tenure]]&gt;2,3%,2 %)*staff[[#This Row],[Salary]],0)</f>
        <v>2352</v>
      </c>
      <c r="K105">
        <f>_xlfn.XLOOKUP(staff[[#This Row],[Rating]],'Salary vs. Rating'!$B$11:$B$15,'Salary vs. Rating'!$C$11:$C$15)</f>
        <v>3</v>
      </c>
    </row>
    <row r="106" spans="1:11" x14ac:dyDescent="0.25">
      <c r="A106" t="s">
        <v>48</v>
      </c>
      <c r="B106" t="s">
        <v>8</v>
      </c>
      <c r="C106" t="s">
        <v>19</v>
      </c>
      <c r="D106">
        <v>36</v>
      </c>
      <c r="E106" s="8">
        <v>44494</v>
      </c>
      <c r="F106" s="6">
        <v>78540</v>
      </c>
      <c r="G106" t="s">
        <v>16</v>
      </c>
      <c r="H106" t="s">
        <v>243</v>
      </c>
      <c r="I106" s="9">
        <f ca="1">(TODAY()-staff[[#This Row],[Date Joined]])/365</f>
        <v>2.8958904109589043</v>
      </c>
      <c r="J106" s="6">
        <f ca="1">ROUNDUP(IF(staff[[#This Row],[Tenure]]&gt;2,3%,2 %)*staff[[#This Row],[Salary]],0)</f>
        <v>2357</v>
      </c>
      <c r="K106">
        <f>_xlfn.XLOOKUP(staff[[#This Row],[Rating]],'Salary vs. Rating'!$B$11:$B$15,'Salary vs. Rating'!$C$11:$C$15)</f>
        <v>3</v>
      </c>
    </row>
    <row r="107" spans="1:11" x14ac:dyDescent="0.25">
      <c r="A107" t="s">
        <v>141</v>
      </c>
      <c r="B107" t="s">
        <v>8</v>
      </c>
      <c r="C107" t="s">
        <v>19</v>
      </c>
      <c r="D107">
        <v>36</v>
      </c>
      <c r="E107" s="8">
        <v>44433</v>
      </c>
      <c r="F107" s="6">
        <v>78540</v>
      </c>
      <c r="G107" t="s">
        <v>16</v>
      </c>
      <c r="H107" t="s">
        <v>244</v>
      </c>
      <c r="I107" s="9">
        <f ca="1">(TODAY()-staff[[#This Row],[Date Joined]])/365</f>
        <v>3.0630136986301371</v>
      </c>
      <c r="J107" s="6">
        <f ca="1">ROUNDUP(IF(staff[[#This Row],[Tenure]]&gt;2,3%,2 %)*staff[[#This Row],[Salary]],0)</f>
        <v>2357</v>
      </c>
      <c r="K107">
        <f>_xlfn.XLOOKUP(staff[[#This Row],[Rating]],'Salary vs. Rating'!$B$11:$B$15,'Salary vs. Rating'!$C$11:$C$15)</f>
        <v>3</v>
      </c>
    </row>
    <row r="108" spans="1:11" x14ac:dyDescent="0.25">
      <c r="A108" t="s">
        <v>104</v>
      </c>
      <c r="B108" t="s">
        <v>15</v>
      </c>
      <c r="C108" t="s">
        <v>9</v>
      </c>
      <c r="D108">
        <v>20</v>
      </c>
      <c r="E108" s="8">
        <v>44744</v>
      </c>
      <c r="F108" s="6">
        <v>79570</v>
      </c>
      <c r="G108" t="s">
        <v>16</v>
      </c>
      <c r="H108" t="s">
        <v>243</v>
      </c>
      <c r="I108" s="9">
        <f ca="1">(TODAY()-staff[[#This Row],[Date Joined]])/365</f>
        <v>2.2109589041095892</v>
      </c>
      <c r="J108" s="6">
        <f ca="1">ROUNDUP(IF(staff[[#This Row],[Tenure]]&gt;2,3%,2 %)*staff[[#This Row],[Salary]],0)</f>
        <v>2388</v>
      </c>
      <c r="K108">
        <f>_xlfn.XLOOKUP(staff[[#This Row],[Rating]],'Salary vs. Rating'!$B$11:$B$15,'Salary vs. Rating'!$C$11:$C$15)</f>
        <v>3</v>
      </c>
    </row>
    <row r="109" spans="1:11" x14ac:dyDescent="0.25">
      <c r="A109" t="s">
        <v>197</v>
      </c>
      <c r="B109" t="s">
        <v>15</v>
      </c>
      <c r="C109" t="s">
        <v>9</v>
      </c>
      <c r="D109">
        <v>20</v>
      </c>
      <c r="E109" s="8">
        <v>44683</v>
      </c>
      <c r="F109" s="6">
        <v>79570</v>
      </c>
      <c r="G109" t="s">
        <v>16</v>
      </c>
      <c r="H109" t="s">
        <v>244</v>
      </c>
      <c r="I109" s="9">
        <f ca="1">(TODAY()-staff[[#This Row],[Date Joined]])/365</f>
        <v>2.3780821917808219</v>
      </c>
      <c r="J109" s="6">
        <f ca="1">ROUNDUP(IF(staff[[#This Row],[Tenure]]&gt;2,3%,2 %)*staff[[#This Row],[Salary]],0)</f>
        <v>2388</v>
      </c>
      <c r="K109">
        <f>_xlfn.XLOOKUP(staff[[#This Row],[Rating]],'Salary vs. Rating'!$B$11:$B$15,'Salary vs. Rating'!$C$11:$C$15)</f>
        <v>3</v>
      </c>
    </row>
    <row r="110" spans="1:11" x14ac:dyDescent="0.25">
      <c r="A110" t="s">
        <v>39</v>
      </c>
      <c r="B110" t="s">
        <v>8</v>
      </c>
      <c r="C110" t="s">
        <v>12</v>
      </c>
      <c r="D110">
        <v>25</v>
      </c>
      <c r="E110" s="8">
        <v>44694</v>
      </c>
      <c r="F110" s="6">
        <v>80700</v>
      </c>
      <c r="G110" t="s">
        <v>13</v>
      </c>
      <c r="H110" t="s">
        <v>243</v>
      </c>
      <c r="I110" s="9">
        <f ca="1">(TODAY()-staff[[#This Row],[Date Joined]])/365</f>
        <v>2.3479452054794518</v>
      </c>
      <c r="J110" s="6">
        <f ca="1">ROUNDUP(IF(staff[[#This Row],[Tenure]]&gt;2,3%,2 %)*staff[[#This Row],[Salary]],0)</f>
        <v>2421</v>
      </c>
      <c r="K110">
        <f>_xlfn.XLOOKUP(staff[[#This Row],[Rating]],'Salary vs. Rating'!$B$11:$B$15,'Salary vs. Rating'!$C$11:$C$15)</f>
        <v>4</v>
      </c>
    </row>
    <row r="111" spans="1:11" x14ac:dyDescent="0.25">
      <c r="A111" t="s">
        <v>133</v>
      </c>
      <c r="B111" t="s">
        <v>8</v>
      </c>
      <c r="C111" t="s">
        <v>12</v>
      </c>
      <c r="D111">
        <v>25</v>
      </c>
      <c r="E111" s="8">
        <v>44633</v>
      </c>
      <c r="F111" s="6">
        <v>80700</v>
      </c>
      <c r="G111" t="s">
        <v>13</v>
      </c>
      <c r="H111" t="s">
        <v>244</v>
      </c>
      <c r="I111" s="9">
        <f ca="1">(TODAY()-staff[[#This Row],[Date Joined]])/365</f>
        <v>2.515068493150685</v>
      </c>
      <c r="J111" s="6">
        <f ca="1">ROUNDUP(IF(staff[[#This Row],[Tenure]]&gt;2,3%,2 %)*staff[[#This Row],[Salary]],0)</f>
        <v>2421</v>
      </c>
      <c r="K111">
        <f>_xlfn.XLOOKUP(staff[[#This Row],[Rating]],'Salary vs. Rating'!$B$11:$B$15,'Salary vs. Rating'!$C$11:$C$15)</f>
        <v>4</v>
      </c>
    </row>
    <row r="112" spans="1:11" x14ac:dyDescent="0.25">
      <c r="A112" t="s">
        <v>92</v>
      </c>
      <c r="B112" t="s">
        <v>8</v>
      </c>
      <c r="C112" t="s">
        <v>12</v>
      </c>
      <c r="D112">
        <v>27</v>
      </c>
      <c r="E112" s="8">
        <v>44686</v>
      </c>
      <c r="F112" s="6">
        <v>83750</v>
      </c>
      <c r="G112" t="s">
        <v>16</v>
      </c>
      <c r="H112" t="s">
        <v>243</v>
      </c>
      <c r="I112" s="9">
        <f ca="1">(TODAY()-staff[[#This Row],[Date Joined]])/365</f>
        <v>2.3698630136986303</v>
      </c>
      <c r="J112" s="6">
        <f ca="1">ROUNDUP(IF(staff[[#This Row],[Tenure]]&gt;2,3%,2 %)*staff[[#This Row],[Salary]],0)</f>
        <v>2513</v>
      </c>
      <c r="K112">
        <f>_xlfn.XLOOKUP(staff[[#This Row],[Rating]],'Salary vs. Rating'!$B$11:$B$15,'Salary vs. Rating'!$C$11:$C$15)</f>
        <v>3</v>
      </c>
    </row>
    <row r="113" spans="1:11" x14ac:dyDescent="0.25">
      <c r="A113" t="s">
        <v>185</v>
      </c>
      <c r="B113" t="s">
        <v>8</v>
      </c>
      <c r="C113" t="s">
        <v>12</v>
      </c>
      <c r="D113">
        <v>27</v>
      </c>
      <c r="E113" s="8">
        <v>44625</v>
      </c>
      <c r="F113" s="6">
        <v>83750</v>
      </c>
      <c r="G113" t="s">
        <v>16</v>
      </c>
      <c r="H113" t="s">
        <v>244</v>
      </c>
      <c r="I113" s="9">
        <f ca="1">(TODAY()-staff[[#This Row],[Date Joined]])/365</f>
        <v>2.536986301369863</v>
      </c>
      <c r="J113" s="6">
        <f ca="1">ROUNDUP(IF(staff[[#This Row],[Tenure]]&gt;2,3%,2 %)*staff[[#This Row],[Salary]],0)</f>
        <v>2513</v>
      </c>
      <c r="K113">
        <f>_xlfn.XLOOKUP(staff[[#This Row],[Rating]],'Salary vs. Rating'!$B$11:$B$15,'Salary vs. Rating'!$C$11:$C$15)</f>
        <v>3</v>
      </c>
    </row>
    <row r="114" spans="1:11" x14ac:dyDescent="0.25">
      <c r="A114" t="s">
        <v>28</v>
      </c>
      <c r="B114" t="s">
        <v>8</v>
      </c>
      <c r="C114" t="s">
        <v>21</v>
      </c>
      <c r="D114">
        <v>34</v>
      </c>
      <c r="E114" s="8">
        <v>44459</v>
      </c>
      <c r="F114" s="6">
        <v>85000</v>
      </c>
      <c r="G114" t="s">
        <v>16</v>
      </c>
      <c r="H114" t="s">
        <v>243</v>
      </c>
      <c r="I114" s="9">
        <f ca="1">(TODAY()-staff[[#This Row],[Date Joined]])/365</f>
        <v>2.9917808219178084</v>
      </c>
      <c r="J114" s="6">
        <f ca="1">ROUNDUP(IF(staff[[#This Row],[Tenure]]&gt;2,3%,2 %)*staff[[#This Row],[Salary]],0)</f>
        <v>2550</v>
      </c>
      <c r="K114">
        <f>_xlfn.XLOOKUP(staff[[#This Row],[Rating]],'Salary vs. Rating'!$B$11:$B$15,'Salary vs. Rating'!$C$11:$C$15)</f>
        <v>3</v>
      </c>
    </row>
    <row r="115" spans="1:11" x14ac:dyDescent="0.25">
      <c r="A115" t="s">
        <v>122</v>
      </c>
      <c r="B115" t="s">
        <v>8</v>
      </c>
      <c r="C115" t="s">
        <v>21</v>
      </c>
      <c r="D115">
        <v>34</v>
      </c>
      <c r="E115" s="8">
        <v>44397</v>
      </c>
      <c r="F115" s="6">
        <v>85000</v>
      </c>
      <c r="G115" t="s">
        <v>16</v>
      </c>
      <c r="H115" t="s">
        <v>244</v>
      </c>
      <c r="I115" s="9">
        <f ca="1">(TODAY()-staff[[#This Row],[Date Joined]])/365</f>
        <v>3.1616438356164385</v>
      </c>
      <c r="J115" s="6">
        <f ca="1">ROUNDUP(IF(staff[[#This Row],[Tenure]]&gt;2,3%,2 %)*staff[[#This Row],[Salary]],0)</f>
        <v>2550</v>
      </c>
      <c r="K115">
        <f>_xlfn.XLOOKUP(staff[[#This Row],[Rating]],'Salary vs. Rating'!$B$11:$B$15,'Salary vs. Rating'!$C$11:$C$15)</f>
        <v>3</v>
      </c>
    </row>
    <row r="116" spans="1:11" x14ac:dyDescent="0.25">
      <c r="A116" t="s">
        <v>88</v>
      </c>
      <c r="B116" t="s">
        <v>8</v>
      </c>
      <c r="C116" t="s">
        <v>21</v>
      </c>
      <c r="D116">
        <v>33</v>
      </c>
      <c r="E116" s="8">
        <v>44809</v>
      </c>
      <c r="F116" s="6">
        <v>86570</v>
      </c>
      <c r="G116" t="s">
        <v>16</v>
      </c>
      <c r="H116" t="s">
        <v>243</v>
      </c>
      <c r="I116" s="9">
        <f ca="1">(TODAY()-staff[[#This Row],[Date Joined]])/365</f>
        <v>2.032876712328767</v>
      </c>
      <c r="J116" s="6">
        <f ca="1">ROUNDUP(IF(staff[[#This Row],[Tenure]]&gt;2,3%,2 %)*staff[[#This Row],[Salary]],0)</f>
        <v>2598</v>
      </c>
      <c r="K116">
        <f>_xlfn.XLOOKUP(staff[[#This Row],[Rating]],'Salary vs. Rating'!$B$11:$B$15,'Salary vs. Rating'!$C$11:$C$15)</f>
        <v>3</v>
      </c>
    </row>
    <row r="117" spans="1:11" x14ac:dyDescent="0.25">
      <c r="A117" t="s">
        <v>181</v>
      </c>
      <c r="B117" t="s">
        <v>8</v>
      </c>
      <c r="C117" t="s">
        <v>21</v>
      </c>
      <c r="D117">
        <v>33</v>
      </c>
      <c r="E117" s="8">
        <v>44747</v>
      </c>
      <c r="F117" s="6">
        <v>86570</v>
      </c>
      <c r="G117" t="s">
        <v>16</v>
      </c>
      <c r="H117" t="s">
        <v>244</v>
      </c>
      <c r="I117" s="9">
        <f ca="1">(TODAY()-staff[[#This Row],[Date Joined]])/365</f>
        <v>2.2027397260273971</v>
      </c>
      <c r="J117" s="6">
        <f ca="1">ROUNDUP(IF(staff[[#This Row],[Tenure]]&gt;2,3%,2 %)*staff[[#This Row],[Salary]],0)</f>
        <v>2598</v>
      </c>
      <c r="K117">
        <f>_xlfn.XLOOKUP(staff[[#This Row],[Rating]],'Salary vs. Rating'!$B$11:$B$15,'Salary vs. Rating'!$C$11:$C$15)</f>
        <v>3</v>
      </c>
    </row>
    <row r="118" spans="1:11" x14ac:dyDescent="0.25">
      <c r="A118" t="s">
        <v>74</v>
      </c>
      <c r="B118" t="s">
        <v>8</v>
      </c>
      <c r="C118" t="s">
        <v>12</v>
      </c>
      <c r="D118">
        <v>40</v>
      </c>
      <c r="E118" s="8">
        <v>44337</v>
      </c>
      <c r="F118" s="6">
        <v>87620</v>
      </c>
      <c r="G118" t="s">
        <v>16</v>
      </c>
      <c r="H118" t="s">
        <v>243</v>
      </c>
      <c r="I118" s="9">
        <f ca="1">(TODAY()-staff[[#This Row],[Date Joined]])/365</f>
        <v>3.3260273972602739</v>
      </c>
      <c r="J118" s="6">
        <f ca="1">ROUNDUP(IF(staff[[#This Row],[Tenure]]&gt;2,3%,2 %)*staff[[#This Row],[Salary]],0)</f>
        <v>2629</v>
      </c>
      <c r="K118">
        <f>_xlfn.XLOOKUP(staff[[#This Row],[Rating]],'Salary vs. Rating'!$B$11:$B$15,'Salary vs. Rating'!$C$11:$C$15)</f>
        <v>3</v>
      </c>
    </row>
    <row r="119" spans="1:11" x14ac:dyDescent="0.25">
      <c r="A119" t="s">
        <v>166</v>
      </c>
      <c r="B119" t="s">
        <v>8</v>
      </c>
      <c r="C119" t="s">
        <v>12</v>
      </c>
      <c r="D119">
        <v>40</v>
      </c>
      <c r="E119" s="8">
        <v>44276</v>
      </c>
      <c r="F119" s="6">
        <v>87620</v>
      </c>
      <c r="G119" t="s">
        <v>16</v>
      </c>
      <c r="H119" t="s">
        <v>244</v>
      </c>
      <c r="I119" s="9">
        <f ca="1">(TODAY()-staff[[#This Row],[Date Joined]])/365</f>
        <v>3.493150684931507</v>
      </c>
      <c r="J119" s="6">
        <f ca="1">ROUNDUP(IF(staff[[#This Row],[Tenure]]&gt;2,3%,2 %)*staff[[#This Row],[Salary]],0)</f>
        <v>2629</v>
      </c>
      <c r="K119">
        <f>_xlfn.XLOOKUP(staff[[#This Row],[Rating]],'Salary vs. Rating'!$B$11:$B$15,'Salary vs. Rating'!$C$11:$C$15)</f>
        <v>3</v>
      </c>
    </row>
    <row r="120" spans="1:11" x14ac:dyDescent="0.25">
      <c r="A120" t="s">
        <v>23</v>
      </c>
      <c r="B120" t="s">
        <v>15</v>
      </c>
      <c r="C120" t="s">
        <v>12</v>
      </c>
      <c r="D120">
        <v>37</v>
      </c>
      <c r="E120" s="8">
        <v>44338</v>
      </c>
      <c r="F120" s="6">
        <v>88050</v>
      </c>
      <c r="G120" t="s">
        <v>24</v>
      </c>
      <c r="H120" t="s">
        <v>243</v>
      </c>
      <c r="I120" s="9">
        <f ca="1">(TODAY()-staff[[#This Row],[Date Joined]])/365</f>
        <v>3.3232876712328765</v>
      </c>
      <c r="J120" s="6">
        <f ca="1">ROUNDUP(IF(staff[[#This Row],[Tenure]]&gt;2,3%,2 %)*staff[[#This Row],[Salary]],0)</f>
        <v>2642</v>
      </c>
      <c r="K120">
        <f>_xlfn.XLOOKUP(staff[[#This Row],[Rating]],'Salary vs. Rating'!$B$11:$B$15,'Salary vs. Rating'!$C$11:$C$15)</f>
        <v>2</v>
      </c>
    </row>
    <row r="121" spans="1:11" x14ac:dyDescent="0.25">
      <c r="A121" t="s">
        <v>118</v>
      </c>
      <c r="B121" t="s">
        <v>15</v>
      </c>
      <c r="C121" t="s">
        <v>12</v>
      </c>
      <c r="D121">
        <v>37</v>
      </c>
      <c r="E121" s="8">
        <v>44277</v>
      </c>
      <c r="F121" s="6">
        <v>88050</v>
      </c>
      <c r="G121" t="s">
        <v>24</v>
      </c>
      <c r="H121" t="s">
        <v>244</v>
      </c>
      <c r="I121" s="9">
        <f ca="1">(TODAY()-staff[[#This Row],[Date Joined]])/365</f>
        <v>3.4904109589041097</v>
      </c>
      <c r="J121" s="6">
        <f ca="1">ROUNDUP(IF(staff[[#This Row],[Tenure]]&gt;2,3%,2 %)*staff[[#This Row],[Salary]],0)</f>
        <v>2642</v>
      </c>
      <c r="K121">
        <f>_xlfn.XLOOKUP(staff[[#This Row],[Rating]],'Salary vs. Rating'!$B$11:$B$15,'Salary vs. Rating'!$C$11:$C$15)</f>
        <v>2</v>
      </c>
    </row>
    <row r="122" spans="1:11" x14ac:dyDescent="0.25">
      <c r="A122" t="s">
        <v>11</v>
      </c>
      <c r="B122" t="s">
        <v>208</v>
      </c>
      <c r="C122" t="s">
        <v>12</v>
      </c>
      <c r="D122">
        <v>26</v>
      </c>
      <c r="E122" s="8">
        <v>44271</v>
      </c>
      <c r="F122" s="6">
        <v>90700</v>
      </c>
      <c r="G122" t="s">
        <v>13</v>
      </c>
      <c r="H122" t="s">
        <v>243</v>
      </c>
      <c r="I122" s="9">
        <f ca="1">(TODAY()-staff[[#This Row],[Date Joined]])/365</f>
        <v>3.506849315068493</v>
      </c>
      <c r="J122" s="6">
        <f ca="1">ROUNDUP(IF(staff[[#This Row],[Tenure]]&gt;2,3%,2 %)*staff[[#This Row],[Salary]],0)</f>
        <v>2721</v>
      </c>
      <c r="K122">
        <f>_xlfn.XLOOKUP(staff[[#This Row],[Rating]],'Salary vs. Rating'!$B$11:$B$15,'Salary vs. Rating'!$C$11:$C$15)</f>
        <v>4</v>
      </c>
    </row>
    <row r="123" spans="1:11" x14ac:dyDescent="0.25">
      <c r="A123" t="s">
        <v>112</v>
      </c>
      <c r="B123" t="s">
        <v>208</v>
      </c>
      <c r="C123" t="s">
        <v>12</v>
      </c>
      <c r="D123">
        <v>27</v>
      </c>
      <c r="E123" s="8">
        <v>44212</v>
      </c>
      <c r="F123" s="6">
        <v>90700</v>
      </c>
      <c r="G123" t="s">
        <v>13</v>
      </c>
      <c r="H123" t="s">
        <v>244</v>
      </c>
      <c r="I123" s="9">
        <f ca="1">(TODAY()-staff[[#This Row],[Date Joined]])/365</f>
        <v>3.6684931506849314</v>
      </c>
      <c r="J123" s="6">
        <f ca="1">ROUNDUP(IF(staff[[#This Row],[Tenure]]&gt;2,3%,2 %)*staff[[#This Row],[Salary]],0)</f>
        <v>2721</v>
      </c>
      <c r="K123">
        <f>_xlfn.XLOOKUP(staff[[#This Row],[Rating]],'Salary vs. Rating'!$B$11:$B$15,'Salary vs. Rating'!$C$11:$C$15)</f>
        <v>4</v>
      </c>
    </row>
    <row r="124" spans="1:11" x14ac:dyDescent="0.25">
      <c r="A124" t="s">
        <v>52</v>
      </c>
      <c r="B124" t="s">
        <v>208</v>
      </c>
      <c r="C124" t="s">
        <v>12</v>
      </c>
      <c r="D124">
        <v>32</v>
      </c>
      <c r="E124" s="8">
        <v>44774</v>
      </c>
      <c r="F124" s="6">
        <v>91310</v>
      </c>
      <c r="G124" t="s">
        <v>16</v>
      </c>
      <c r="H124" t="s">
        <v>243</v>
      </c>
      <c r="I124" s="9">
        <f ca="1">(TODAY()-staff[[#This Row],[Date Joined]])/365</f>
        <v>2.128767123287671</v>
      </c>
      <c r="J124" s="6">
        <f ca="1">ROUNDUP(IF(staff[[#This Row],[Tenure]]&gt;2,3%,2 %)*staff[[#This Row],[Salary]],0)</f>
        <v>2740</v>
      </c>
      <c r="K124">
        <f>_xlfn.XLOOKUP(staff[[#This Row],[Rating]],'Salary vs. Rating'!$B$11:$B$15,'Salary vs. Rating'!$C$11:$C$15)</f>
        <v>3</v>
      </c>
    </row>
    <row r="125" spans="1:11" x14ac:dyDescent="0.25">
      <c r="A125" t="s">
        <v>145</v>
      </c>
      <c r="B125" t="s">
        <v>208</v>
      </c>
      <c r="C125" t="s">
        <v>12</v>
      </c>
      <c r="D125">
        <v>32</v>
      </c>
      <c r="E125" s="8">
        <v>44713</v>
      </c>
      <c r="F125" s="6">
        <v>91310</v>
      </c>
      <c r="G125" t="s">
        <v>16</v>
      </c>
      <c r="H125" t="s">
        <v>244</v>
      </c>
      <c r="I125" s="9">
        <f ca="1">(TODAY()-staff[[#This Row],[Date Joined]])/365</f>
        <v>2.2958904109589042</v>
      </c>
      <c r="J125" s="6">
        <f ca="1">ROUNDUP(IF(staff[[#This Row],[Tenure]]&gt;2,3%,2 %)*staff[[#This Row],[Salary]],0)</f>
        <v>2740</v>
      </c>
      <c r="K125">
        <f>_xlfn.XLOOKUP(staff[[#This Row],[Rating]],'Salary vs. Rating'!$B$11:$B$15,'Salary vs. Rating'!$C$11:$C$15)</f>
        <v>3</v>
      </c>
    </row>
    <row r="126" spans="1:11" x14ac:dyDescent="0.25">
      <c r="A126" t="s">
        <v>68</v>
      </c>
      <c r="B126" t="s">
        <v>15</v>
      </c>
      <c r="C126" t="s">
        <v>21</v>
      </c>
      <c r="D126">
        <v>27</v>
      </c>
      <c r="E126" s="8">
        <v>44236</v>
      </c>
      <c r="F126" s="6">
        <v>91650</v>
      </c>
      <c r="G126" t="s">
        <v>13</v>
      </c>
      <c r="H126" t="s">
        <v>243</v>
      </c>
      <c r="I126" s="9">
        <f ca="1">(TODAY()-staff[[#This Row],[Date Joined]])/365</f>
        <v>3.6027397260273974</v>
      </c>
      <c r="J126" s="6">
        <f ca="1">ROUNDUP(IF(staff[[#This Row],[Tenure]]&gt;2,3%,2 %)*staff[[#This Row],[Salary]],0)</f>
        <v>2750</v>
      </c>
      <c r="K126">
        <f>_xlfn.XLOOKUP(staff[[#This Row],[Rating]],'Salary vs. Rating'!$B$11:$B$15,'Salary vs. Rating'!$C$11:$C$15)</f>
        <v>4</v>
      </c>
    </row>
    <row r="127" spans="1:11" x14ac:dyDescent="0.25">
      <c r="A127" t="s">
        <v>160</v>
      </c>
      <c r="B127" t="s">
        <v>15</v>
      </c>
      <c r="C127" t="s">
        <v>21</v>
      </c>
      <c r="D127">
        <v>27</v>
      </c>
      <c r="E127" s="8">
        <v>44174</v>
      </c>
      <c r="F127" s="6">
        <v>91650</v>
      </c>
      <c r="G127" t="s">
        <v>13</v>
      </c>
      <c r="H127" t="s">
        <v>244</v>
      </c>
      <c r="I127" s="9">
        <f ca="1">(TODAY()-staff[[#This Row],[Date Joined]])/365</f>
        <v>3.7726027397260276</v>
      </c>
      <c r="J127" s="6">
        <f ca="1">ROUNDUP(IF(staff[[#This Row],[Tenure]]&gt;2,3%,2 %)*staff[[#This Row],[Salary]],0)</f>
        <v>2750</v>
      </c>
      <c r="K127">
        <f>_xlfn.XLOOKUP(staff[[#This Row],[Rating]],'Salary vs. Rating'!$B$11:$B$15,'Salary vs. Rating'!$C$11:$C$15)</f>
        <v>4</v>
      </c>
    </row>
    <row r="128" spans="1:11" x14ac:dyDescent="0.25">
      <c r="A128" t="s">
        <v>102</v>
      </c>
      <c r="B128" t="s">
        <v>8</v>
      </c>
      <c r="C128" t="s">
        <v>21</v>
      </c>
      <c r="D128">
        <v>34</v>
      </c>
      <c r="E128" s="8">
        <v>44445</v>
      </c>
      <c r="F128" s="6">
        <v>92450</v>
      </c>
      <c r="G128" t="s">
        <v>16</v>
      </c>
      <c r="H128" t="s">
        <v>243</v>
      </c>
      <c r="I128" s="9">
        <f ca="1">(TODAY()-staff[[#This Row],[Date Joined]])/365</f>
        <v>3.0301369863013701</v>
      </c>
      <c r="J128" s="6">
        <f ca="1">ROUNDUP(IF(staff[[#This Row],[Tenure]]&gt;2,3%,2 %)*staff[[#This Row],[Salary]],0)</f>
        <v>2774</v>
      </c>
      <c r="K128">
        <f>_xlfn.XLOOKUP(staff[[#This Row],[Rating]],'Salary vs. Rating'!$B$11:$B$15,'Salary vs. Rating'!$C$11:$C$15)</f>
        <v>3</v>
      </c>
    </row>
    <row r="129" spans="1:11" x14ac:dyDescent="0.25">
      <c r="A129" t="s">
        <v>195</v>
      </c>
      <c r="B129" t="s">
        <v>8</v>
      </c>
      <c r="C129" t="s">
        <v>21</v>
      </c>
      <c r="D129">
        <v>34</v>
      </c>
      <c r="E129" s="8">
        <v>44383</v>
      </c>
      <c r="F129" s="6">
        <v>92450</v>
      </c>
      <c r="G129" t="s">
        <v>16</v>
      </c>
      <c r="H129" t="s">
        <v>244</v>
      </c>
      <c r="I129" s="9">
        <f ca="1">(TODAY()-staff[[#This Row],[Date Joined]])/365</f>
        <v>3.2</v>
      </c>
      <c r="J129" s="6">
        <f ca="1">ROUNDUP(IF(staff[[#This Row],[Tenure]]&gt;2,3%,2 %)*staff[[#This Row],[Salary]],0)</f>
        <v>2774</v>
      </c>
      <c r="K129">
        <f>_xlfn.XLOOKUP(staff[[#This Row],[Rating]],'Salary vs. Rating'!$B$11:$B$15,'Salary vs. Rating'!$C$11:$C$15)</f>
        <v>3</v>
      </c>
    </row>
    <row r="130" spans="1:11" x14ac:dyDescent="0.25">
      <c r="A130" t="s">
        <v>77</v>
      </c>
      <c r="B130" t="s">
        <v>8</v>
      </c>
      <c r="C130" t="s">
        <v>19</v>
      </c>
      <c r="D130">
        <v>25</v>
      </c>
      <c r="E130" s="8">
        <v>44205</v>
      </c>
      <c r="F130" s="6">
        <v>92700</v>
      </c>
      <c r="G130" t="s">
        <v>16</v>
      </c>
      <c r="H130" t="s">
        <v>243</v>
      </c>
      <c r="I130" s="9">
        <f ca="1">(TODAY()-staff[[#This Row],[Date Joined]])/365</f>
        <v>3.6876712328767125</v>
      </c>
      <c r="J130" s="6">
        <f ca="1">ROUNDUP(IF(staff[[#This Row],[Tenure]]&gt;2,3%,2 %)*staff[[#This Row],[Salary]],0)</f>
        <v>2781</v>
      </c>
      <c r="K130">
        <f>_xlfn.XLOOKUP(staff[[#This Row],[Rating]],'Salary vs. Rating'!$B$11:$B$15,'Salary vs. Rating'!$C$11:$C$15)</f>
        <v>3</v>
      </c>
    </row>
    <row r="131" spans="1:11" x14ac:dyDescent="0.25">
      <c r="A131" t="s">
        <v>169</v>
      </c>
      <c r="B131" t="s">
        <v>8</v>
      </c>
      <c r="C131" t="s">
        <v>19</v>
      </c>
      <c r="D131">
        <v>25</v>
      </c>
      <c r="E131" s="8">
        <v>44144</v>
      </c>
      <c r="F131" s="6">
        <v>92700</v>
      </c>
      <c r="G131" t="s">
        <v>16</v>
      </c>
      <c r="H131" t="s">
        <v>244</v>
      </c>
      <c r="I131" s="9">
        <f ca="1">(TODAY()-staff[[#This Row],[Date Joined]])/365</f>
        <v>3.8547945205479452</v>
      </c>
      <c r="J131" s="6">
        <f ca="1">ROUNDUP(IF(staff[[#This Row],[Tenure]]&gt;2,3%,2 %)*staff[[#This Row],[Salary]],0)</f>
        <v>2781</v>
      </c>
      <c r="K131">
        <f>_xlfn.XLOOKUP(staff[[#This Row],[Rating]],'Salary vs. Rating'!$B$11:$B$15,'Salary vs. Rating'!$C$11:$C$15)</f>
        <v>3</v>
      </c>
    </row>
    <row r="132" spans="1:11" x14ac:dyDescent="0.25">
      <c r="A132" t="s">
        <v>71</v>
      </c>
      <c r="B132" t="s">
        <v>8</v>
      </c>
      <c r="C132" t="s">
        <v>12</v>
      </c>
      <c r="D132">
        <v>33</v>
      </c>
      <c r="E132" s="8">
        <v>44190</v>
      </c>
      <c r="F132" s="6">
        <v>96140</v>
      </c>
      <c r="G132" t="s">
        <v>16</v>
      </c>
      <c r="H132" t="s">
        <v>243</v>
      </c>
      <c r="I132" s="9">
        <f ca="1">(TODAY()-staff[[#This Row],[Date Joined]])/365</f>
        <v>3.7287671232876711</v>
      </c>
      <c r="J132" s="6">
        <f ca="1">ROUNDUP(IF(staff[[#This Row],[Tenure]]&gt;2,3%,2 %)*staff[[#This Row],[Salary]],0)</f>
        <v>2885</v>
      </c>
      <c r="K132">
        <f>_xlfn.XLOOKUP(staff[[#This Row],[Rating]],'Salary vs. Rating'!$B$11:$B$15,'Salary vs. Rating'!$C$11:$C$15)</f>
        <v>3</v>
      </c>
    </row>
    <row r="133" spans="1:11" x14ac:dyDescent="0.25">
      <c r="A133" t="s">
        <v>163</v>
      </c>
      <c r="B133" t="s">
        <v>8</v>
      </c>
      <c r="C133" t="s">
        <v>12</v>
      </c>
      <c r="D133">
        <v>33</v>
      </c>
      <c r="E133" s="8">
        <v>44129</v>
      </c>
      <c r="F133" s="6">
        <v>96140</v>
      </c>
      <c r="G133" t="s">
        <v>16</v>
      </c>
      <c r="H133" t="s">
        <v>244</v>
      </c>
      <c r="I133" s="9">
        <f ca="1">(TODAY()-staff[[#This Row],[Date Joined]])/365</f>
        <v>3.8958904109589043</v>
      </c>
      <c r="J133" s="6">
        <f ca="1">ROUNDUP(IF(staff[[#This Row],[Tenure]]&gt;2,3%,2 %)*staff[[#This Row],[Salary]],0)</f>
        <v>2885</v>
      </c>
      <c r="K133">
        <f>_xlfn.XLOOKUP(staff[[#This Row],[Rating]],'Salary vs. Rating'!$B$11:$B$15,'Salary vs. Rating'!$C$11:$C$15)</f>
        <v>3</v>
      </c>
    </row>
    <row r="134" spans="1:11" x14ac:dyDescent="0.25">
      <c r="A134" t="s">
        <v>85</v>
      </c>
      <c r="B134" t="s">
        <v>15</v>
      </c>
      <c r="C134" t="s">
        <v>21</v>
      </c>
      <c r="D134">
        <v>30</v>
      </c>
      <c r="E134" s="8">
        <v>44606</v>
      </c>
      <c r="F134" s="6">
        <v>96800</v>
      </c>
      <c r="G134" t="s">
        <v>16</v>
      </c>
      <c r="H134" t="s">
        <v>243</v>
      </c>
      <c r="I134" s="9">
        <f ca="1">(TODAY()-staff[[#This Row],[Date Joined]])/365</f>
        <v>2.5890410958904111</v>
      </c>
      <c r="J134" s="6">
        <f ca="1">ROUNDUP(IF(staff[[#This Row],[Tenure]]&gt;2,3%,2 %)*staff[[#This Row],[Salary]],0)</f>
        <v>2904</v>
      </c>
      <c r="K134">
        <f>_xlfn.XLOOKUP(staff[[#This Row],[Rating]],'Salary vs. Rating'!$B$11:$B$15,'Salary vs. Rating'!$C$11:$C$15)</f>
        <v>3</v>
      </c>
    </row>
    <row r="135" spans="1:11" x14ac:dyDescent="0.25">
      <c r="A135" t="s">
        <v>177</v>
      </c>
      <c r="B135" t="s">
        <v>15</v>
      </c>
      <c r="C135" t="s">
        <v>21</v>
      </c>
      <c r="D135">
        <v>30</v>
      </c>
      <c r="E135" s="8">
        <v>44544</v>
      </c>
      <c r="F135" s="6">
        <v>96800</v>
      </c>
      <c r="G135" t="s">
        <v>16</v>
      </c>
      <c r="H135" t="s">
        <v>244</v>
      </c>
      <c r="I135" s="9">
        <f ca="1">(TODAY()-staff[[#This Row],[Date Joined]])/365</f>
        <v>2.7589041095890412</v>
      </c>
      <c r="J135" s="6">
        <f ca="1">ROUNDUP(IF(staff[[#This Row],[Tenure]]&gt;2,3%,2 %)*staff[[#This Row],[Salary]],0)</f>
        <v>2904</v>
      </c>
      <c r="K135">
        <f>_xlfn.XLOOKUP(staff[[#This Row],[Rating]],'Salary vs. Rating'!$B$11:$B$15,'Salary vs. Rating'!$C$11:$C$15)</f>
        <v>3</v>
      </c>
    </row>
    <row r="136" spans="1:11" x14ac:dyDescent="0.25">
      <c r="A136" t="s">
        <v>105</v>
      </c>
      <c r="B136" t="s">
        <v>15</v>
      </c>
      <c r="C136" t="s">
        <v>9</v>
      </c>
      <c r="D136">
        <v>40</v>
      </c>
      <c r="E136" s="8">
        <v>44263</v>
      </c>
      <c r="F136" s="6">
        <v>99750</v>
      </c>
      <c r="G136" t="s">
        <v>16</v>
      </c>
      <c r="H136" t="s">
        <v>243</v>
      </c>
      <c r="I136" s="9">
        <f ca="1">(TODAY()-staff[[#This Row],[Date Joined]])/365</f>
        <v>3.5287671232876714</v>
      </c>
      <c r="J136" s="6">
        <f ca="1">ROUNDUP(IF(staff[[#This Row],[Tenure]]&gt;2,3%,2 %)*staff[[#This Row],[Salary]],0)</f>
        <v>2993</v>
      </c>
      <c r="K136">
        <f>_xlfn.XLOOKUP(staff[[#This Row],[Rating]],'Salary vs. Rating'!$B$11:$B$15,'Salary vs. Rating'!$C$11:$C$15)</f>
        <v>3</v>
      </c>
    </row>
    <row r="137" spans="1:11" x14ac:dyDescent="0.25">
      <c r="A137" t="s">
        <v>198</v>
      </c>
      <c r="B137" t="s">
        <v>15</v>
      </c>
      <c r="C137" t="s">
        <v>9</v>
      </c>
      <c r="D137">
        <v>40</v>
      </c>
      <c r="E137" s="8">
        <v>44204</v>
      </c>
      <c r="F137" s="6">
        <v>99750</v>
      </c>
      <c r="G137" t="s">
        <v>16</v>
      </c>
      <c r="H137" t="s">
        <v>244</v>
      </c>
      <c r="I137" s="9">
        <f ca="1">(TODAY()-staff[[#This Row],[Date Joined]])/365</f>
        <v>3.6904109589041094</v>
      </c>
      <c r="J137" s="6">
        <f ca="1">ROUNDUP(IF(staff[[#This Row],[Tenure]]&gt;2,3%,2 %)*staff[[#This Row],[Salary]],0)</f>
        <v>2993</v>
      </c>
      <c r="K137">
        <f>_xlfn.XLOOKUP(staff[[#This Row],[Rating]],'Salary vs. Rating'!$B$11:$B$15,'Salary vs. Rating'!$C$11:$C$15)</f>
        <v>3</v>
      </c>
    </row>
    <row r="138" spans="1:11" x14ac:dyDescent="0.25">
      <c r="A138" t="s">
        <v>107</v>
      </c>
      <c r="B138" t="s">
        <v>8</v>
      </c>
      <c r="C138" t="s">
        <v>9</v>
      </c>
      <c r="D138">
        <v>28</v>
      </c>
      <c r="E138" s="8">
        <v>44630</v>
      </c>
      <c r="F138" s="6">
        <v>99970</v>
      </c>
      <c r="G138" t="s">
        <v>16</v>
      </c>
      <c r="H138" t="s">
        <v>243</v>
      </c>
      <c r="I138" s="9">
        <f ca="1">(TODAY()-staff[[#This Row],[Date Joined]])/365</f>
        <v>2.5232876712328767</v>
      </c>
      <c r="J138" s="6">
        <f ca="1">ROUNDUP(IF(staff[[#This Row],[Tenure]]&gt;2,3%,2 %)*staff[[#This Row],[Salary]],0)</f>
        <v>3000</v>
      </c>
      <c r="K138">
        <f>_xlfn.XLOOKUP(staff[[#This Row],[Rating]],'Salary vs. Rating'!$B$11:$B$15,'Salary vs. Rating'!$C$11:$C$15)</f>
        <v>3</v>
      </c>
    </row>
    <row r="139" spans="1:11" x14ac:dyDescent="0.25">
      <c r="A139" t="s">
        <v>200</v>
      </c>
      <c r="B139" t="s">
        <v>8</v>
      </c>
      <c r="C139" t="s">
        <v>9</v>
      </c>
      <c r="D139">
        <v>28</v>
      </c>
      <c r="E139" s="8">
        <v>44571</v>
      </c>
      <c r="F139" s="6">
        <v>99970</v>
      </c>
      <c r="G139" t="s">
        <v>16</v>
      </c>
      <c r="H139" t="s">
        <v>244</v>
      </c>
      <c r="I139" s="9">
        <f ca="1">(TODAY()-staff[[#This Row],[Date Joined]])/365</f>
        <v>2.6849315068493151</v>
      </c>
      <c r="J139" s="6">
        <f ca="1">ROUNDUP(IF(staff[[#This Row],[Tenure]]&gt;2,3%,2 %)*staff[[#This Row],[Salary]],0)</f>
        <v>3000</v>
      </c>
      <c r="K139">
        <f>_xlfn.XLOOKUP(staff[[#This Row],[Rating]],'Salary vs. Rating'!$B$11:$B$15,'Salary vs. Rating'!$C$11:$C$15)</f>
        <v>3</v>
      </c>
    </row>
    <row r="140" spans="1:11" x14ac:dyDescent="0.25">
      <c r="A140" t="s">
        <v>103</v>
      </c>
      <c r="B140" t="s">
        <v>15</v>
      </c>
      <c r="C140" t="s">
        <v>12</v>
      </c>
      <c r="D140">
        <v>24</v>
      </c>
      <c r="E140" s="8">
        <v>44686</v>
      </c>
      <c r="F140" s="6">
        <v>100420</v>
      </c>
      <c r="G140" t="s">
        <v>16</v>
      </c>
      <c r="H140" t="s">
        <v>243</v>
      </c>
      <c r="I140" s="9">
        <f ca="1">(TODAY()-staff[[#This Row],[Date Joined]])/365</f>
        <v>2.3698630136986303</v>
      </c>
      <c r="J140" s="6">
        <f ca="1">ROUNDUP(IF(staff[[#This Row],[Tenure]]&gt;2,3%,2 %)*staff[[#This Row],[Salary]],0)</f>
        <v>3013</v>
      </c>
      <c r="K140">
        <f>_xlfn.XLOOKUP(staff[[#This Row],[Rating]],'Salary vs. Rating'!$B$11:$B$15,'Salary vs. Rating'!$C$11:$C$15)</f>
        <v>3</v>
      </c>
    </row>
    <row r="141" spans="1:11" x14ac:dyDescent="0.25">
      <c r="A141" t="s">
        <v>196</v>
      </c>
      <c r="B141" t="s">
        <v>15</v>
      </c>
      <c r="C141" t="s">
        <v>12</v>
      </c>
      <c r="D141">
        <v>24</v>
      </c>
      <c r="E141" s="8">
        <v>44625</v>
      </c>
      <c r="F141" s="6">
        <v>100420</v>
      </c>
      <c r="G141" t="s">
        <v>16</v>
      </c>
      <c r="H141" t="s">
        <v>244</v>
      </c>
      <c r="I141" s="9">
        <f ca="1">(TODAY()-staff[[#This Row],[Date Joined]])/365</f>
        <v>2.536986301369863</v>
      </c>
      <c r="J141" s="6">
        <f ca="1">ROUNDUP(IF(staff[[#This Row],[Tenure]]&gt;2,3%,2 %)*staff[[#This Row],[Salary]],0)</f>
        <v>3013</v>
      </c>
      <c r="K141">
        <f>_xlfn.XLOOKUP(staff[[#This Row],[Rating]],'Salary vs. Rating'!$B$11:$B$15,'Salary vs. Rating'!$C$11:$C$15)</f>
        <v>3</v>
      </c>
    </row>
    <row r="142" spans="1:11" x14ac:dyDescent="0.25">
      <c r="A142" t="s">
        <v>50</v>
      </c>
      <c r="B142" t="s">
        <v>15</v>
      </c>
      <c r="C142" t="s">
        <v>9</v>
      </c>
      <c r="D142">
        <v>31</v>
      </c>
      <c r="E142" s="8">
        <v>44724</v>
      </c>
      <c r="F142" s="6">
        <v>103550</v>
      </c>
      <c r="G142" t="s">
        <v>16</v>
      </c>
      <c r="H142" t="s">
        <v>243</v>
      </c>
      <c r="I142" s="9">
        <f ca="1">(TODAY()-staff[[#This Row],[Date Joined]])/365</f>
        <v>2.2657534246575342</v>
      </c>
      <c r="J142" s="6">
        <f ca="1">ROUNDUP(IF(staff[[#This Row],[Tenure]]&gt;2,3%,2 %)*staff[[#This Row],[Salary]],0)</f>
        <v>3107</v>
      </c>
      <c r="K142">
        <f>_xlfn.XLOOKUP(staff[[#This Row],[Rating]],'Salary vs. Rating'!$B$11:$B$15,'Salary vs. Rating'!$C$11:$C$15)</f>
        <v>3</v>
      </c>
    </row>
    <row r="143" spans="1:11" x14ac:dyDescent="0.25">
      <c r="A143" t="s">
        <v>143</v>
      </c>
      <c r="B143" t="s">
        <v>15</v>
      </c>
      <c r="C143" t="s">
        <v>9</v>
      </c>
      <c r="D143">
        <v>31</v>
      </c>
      <c r="E143" s="8">
        <v>44663</v>
      </c>
      <c r="F143" s="6">
        <v>103550</v>
      </c>
      <c r="G143" t="s">
        <v>16</v>
      </c>
      <c r="H143" t="s">
        <v>244</v>
      </c>
      <c r="I143" s="9">
        <f ca="1">(TODAY()-staff[[#This Row],[Date Joined]])/365</f>
        <v>2.4328767123287673</v>
      </c>
      <c r="J143" s="6">
        <f ca="1">ROUNDUP(IF(staff[[#This Row],[Tenure]]&gt;2,3%,2 %)*staff[[#This Row],[Salary]],0)</f>
        <v>3107</v>
      </c>
      <c r="K143">
        <f>_xlfn.XLOOKUP(staff[[#This Row],[Rating]],'Salary vs. Rating'!$B$11:$B$15,'Salary vs. Rating'!$C$11:$C$15)</f>
        <v>3</v>
      </c>
    </row>
    <row r="144" spans="1:11" x14ac:dyDescent="0.25">
      <c r="A144" t="s">
        <v>96</v>
      </c>
      <c r="B144" t="s">
        <v>8</v>
      </c>
      <c r="C144" t="s">
        <v>9</v>
      </c>
      <c r="D144">
        <v>28</v>
      </c>
      <c r="E144" s="8">
        <v>44649</v>
      </c>
      <c r="F144" s="6">
        <v>104120</v>
      </c>
      <c r="G144" t="s">
        <v>16</v>
      </c>
      <c r="H144" t="s">
        <v>243</v>
      </c>
      <c r="I144" s="9">
        <f ca="1">(TODAY()-staff[[#This Row],[Date Joined]])/365</f>
        <v>2.4712328767123286</v>
      </c>
      <c r="J144" s="6">
        <f ca="1">ROUNDUP(IF(staff[[#This Row],[Tenure]]&gt;2,3%,2 %)*staff[[#This Row],[Salary]],0)</f>
        <v>3124</v>
      </c>
      <c r="K144">
        <f>_xlfn.XLOOKUP(staff[[#This Row],[Rating]],'Salary vs. Rating'!$B$11:$B$15,'Salary vs. Rating'!$C$11:$C$15)</f>
        <v>3</v>
      </c>
    </row>
    <row r="145" spans="1:11" x14ac:dyDescent="0.25">
      <c r="A145" t="s">
        <v>189</v>
      </c>
      <c r="B145" t="s">
        <v>8</v>
      </c>
      <c r="C145" t="s">
        <v>9</v>
      </c>
      <c r="D145">
        <v>28</v>
      </c>
      <c r="E145" s="8">
        <v>44590</v>
      </c>
      <c r="F145" s="6">
        <v>104120</v>
      </c>
      <c r="G145" t="s">
        <v>16</v>
      </c>
      <c r="H145" t="s">
        <v>244</v>
      </c>
      <c r="I145" s="9">
        <f ca="1">(TODAY()-staff[[#This Row],[Date Joined]])/365</f>
        <v>2.6328767123287671</v>
      </c>
      <c r="J145" s="6">
        <f ca="1">ROUNDUP(IF(staff[[#This Row],[Tenure]]&gt;2,3%,2 %)*staff[[#This Row],[Salary]],0)</f>
        <v>3124</v>
      </c>
      <c r="K145">
        <f>_xlfn.XLOOKUP(staff[[#This Row],[Rating]],'Salary vs. Rating'!$B$11:$B$15,'Salary vs. Rating'!$C$11:$C$15)</f>
        <v>3</v>
      </c>
    </row>
    <row r="146" spans="1:11" x14ac:dyDescent="0.25">
      <c r="A146" t="s">
        <v>101</v>
      </c>
      <c r="B146" t="s">
        <v>8</v>
      </c>
      <c r="C146" t="s">
        <v>12</v>
      </c>
      <c r="D146">
        <v>40</v>
      </c>
      <c r="E146" s="8">
        <v>44381</v>
      </c>
      <c r="F146" s="6">
        <v>104410</v>
      </c>
      <c r="G146" t="s">
        <v>16</v>
      </c>
      <c r="H146" t="s">
        <v>243</v>
      </c>
      <c r="I146" s="9">
        <f ca="1">(TODAY()-staff[[#This Row],[Date Joined]])/365</f>
        <v>3.2054794520547945</v>
      </c>
      <c r="J146" s="6">
        <f ca="1">ROUNDUP(IF(staff[[#This Row],[Tenure]]&gt;2,3%,2 %)*staff[[#This Row],[Salary]],0)</f>
        <v>3133</v>
      </c>
      <c r="K146">
        <f>_xlfn.XLOOKUP(staff[[#This Row],[Rating]],'Salary vs. Rating'!$B$11:$B$15,'Salary vs. Rating'!$C$11:$C$15)</f>
        <v>3</v>
      </c>
    </row>
    <row r="147" spans="1:11" x14ac:dyDescent="0.25">
      <c r="A147" t="s">
        <v>194</v>
      </c>
      <c r="B147" t="s">
        <v>8</v>
      </c>
      <c r="C147" t="s">
        <v>12</v>
      </c>
      <c r="D147">
        <v>40</v>
      </c>
      <c r="E147" s="8">
        <v>44320</v>
      </c>
      <c r="F147" s="6">
        <v>104410</v>
      </c>
      <c r="G147" t="s">
        <v>16</v>
      </c>
      <c r="H147" t="s">
        <v>244</v>
      </c>
      <c r="I147" s="9">
        <f ca="1">(TODAY()-staff[[#This Row],[Date Joined]])/365</f>
        <v>3.3726027397260272</v>
      </c>
      <c r="J147" s="6">
        <f ca="1">ROUNDUP(IF(staff[[#This Row],[Tenure]]&gt;2,3%,2 %)*staff[[#This Row],[Salary]],0)</f>
        <v>3133</v>
      </c>
      <c r="K147">
        <f>_xlfn.XLOOKUP(staff[[#This Row],[Rating]],'Salary vs. Rating'!$B$11:$B$15,'Salary vs. Rating'!$C$11:$C$15)</f>
        <v>3</v>
      </c>
    </row>
    <row r="148" spans="1:11" x14ac:dyDescent="0.25">
      <c r="A148" t="s">
        <v>43</v>
      </c>
      <c r="B148" t="s">
        <v>8</v>
      </c>
      <c r="C148" t="s">
        <v>9</v>
      </c>
      <c r="D148">
        <v>28</v>
      </c>
      <c r="E148" s="8">
        <v>44486</v>
      </c>
      <c r="F148" s="6">
        <v>104770</v>
      </c>
      <c r="G148" t="s">
        <v>16</v>
      </c>
      <c r="H148" t="s">
        <v>243</v>
      </c>
      <c r="I148" s="9">
        <f ca="1">(TODAY()-staff[[#This Row],[Date Joined]])/365</f>
        <v>2.9178082191780823</v>
      </c>
      <c r="J148" s="6">
        <f ca="1">ROUNDUP(IF(staff[[#This Row],[Tenure]]&gt;2,3%,2 %)*staff[[#This Row],[Salary]],0)</f>
        <v>3144</v>
      </c>
      <c r="K148">
        <f>_xlfn.XLOOKUP(staff[[#This Row],[Rating]],'Salary vs. Rating'!$B$11:$B$15,'Salary vs. Rating'!$C$11:$C$15)</f>
        <v>3</v>
      </c>
    </row>
    <row r="149" spans="1:11" x14ac:dyDescent="0.25">
      <c r="A149" t="s">
        <v>136</v>
      </c>
      <c r="B149" t="s">
        <v>8</v>
      </c>
      <c r="C149" t="s">
        <v>9</v>
      </c>
      <c r="D149">
        <v>28</v>
      </c>
      <c r="E149" s="8">
        <v>44425</v>
      </c>
      <c r="F149" s="6">
        <v>104770</v>
      </c>
      <c r="G149" t="s">
        <v>16</v>
      </c>
      <c r="H149" t="s">
        <v>244</v>
      </c>
      <c r="I149" s="9">
        <f ca="1">(TODAY()-staff[[#This Row],[Date Joined]])/365</f>
        <v>3.0849315068493151</v>
      </c>
      <c r="J149" s="6">
        <f ca="1">ROUNDUP(IF(staff[[#This Row],[Tenure]]&gt;2,3%,2 %)*staff[[#This Row],[Salary]],0)</f>
        <v>3144</v>
      </c>
      <c r="K149">
        <f>_xlfn.XLOOKUP(staff[[#This Row],[Rating]],'Salary vs. Rating'!$B$11:$B$15,'Salary vs. Rating'!$C$11:$C$15)</f>
        <v>3</v>
      </c>
    </row>
    <row r="150" spans="1:11" x14ac:dyDescent="0.25">
      <c r="A150" t="s">
        <v>69</v>
      </c>
      <c r="B150" t="s">
        <v>15</v>
      </c>
      <c r="C150" t="s">
        <v>9</v>
      </c>
      <c r="D150">
        <v>23</v>
      </c>
      <c r="E150" s="8">
        <v>44440</v>
      </c>
      <c r="F150" s="6">
        <v>106460</v>
      </c>
      <c r="G150" t="s">
        <v>16</v>
      </c>
      <c r="H150" t="s">
        <v>243</v>
      </c>
      <c r="I150" s="9">
        <f ca="1">(TODAY()-staff[[#This Row],[Date Joined]])/365</f>
        <v>3.043835616438356</v>
      </c>
      <c r="J150" s="6">
        <f ca="1">ROUNDUP(IF(staff[[#This Row],[Tenure]]&gt;2,3%,2 %)*staff[[#This Row],[Salary]],0)</f>
        <v>3194</v>
      </c>
      <c r="K150">
        <f>_xlfn.XLOOKUP(staff[[#This Row],[Rating]],'Salary vs. Rating'!$B$11:$B$15,'Salary vs. Rating'!$C$11:$C$15)</f>
        <v>3</v>
      </c>
    </row>
    <row r="151" spans="1:11" x14ac:dyDescent="0.25">
      <c r="A151" t="s">
        <v>161</v>
      </c>
      <c r="B151" t="s">
        <v>15</v>
      </c>
      <c r="C151" t="s">
        <v>9</v>
      </c>
      <c r="D151">
        <v>23</v>
      </c>
      <c r="E151" s="8">
        <v>44378</v>
      </c>
      <c r="F151" s="6">
        <v>106460</v>
      </c>
      <c r="G151" t="s">
        <v>16</v>
      </c>
      <c r="H151" t="s">
        <v>244</v>
      </c>
      <c r="I151" s="9">
        <f ca="1">(TODAY()-staff[[#This Row],[Date Joined]])/365</f>
        <v>3.2136986301369861</v>
      </c>
      <c r="J151" s="6">
        <f ca="1">ROUNDUP(IF(staff[[#This Row],[Tenure]]&gt;2,3%,2 %)*staff[[#This Row],[Salary]],0)</f>
        <v>3194</v>
      </c>
      <c r="K151">
        <f>_xlfn.XLOOKUP(staff[[#This Row],[Rating]],'Salary vs. Rating'!$B$11:$B$15,'Salary vs. Rating'!$C$11:$C$15)</f>
        <v>3</v>
      </c>
    </row>
    <row r="152" spans="1:11" x14ac:dyDescent="0.25">
      <c r="A152" t="s">
        <v>22</v>
      </c>
      <c r="B152" t="s">
        <v>15</v>
      </c>
      <c r="C152" t="s">
        <v>12</v>
      </c>
      <c r="D152">
        <v>20</v>
      </c>
      <c r="E152" s="8">
        <v>44459</v>
      </c>
      <c r="F152" s="6">
        <v>107700</v>
      </c>
      <c r="G152" t="s">
        <v>16</v>
      </c>
      <c r="H152" t="s">
        <v>243</v>
      </c>
      <c r="I152" s="9">
        <f ca="1">(TODAY()-staff[[#This Row],[Date Joined]])/365</f>
        <v>2.9917808219178084</v>
      </c>
      <c r="J152" s="6">
        <f ca="1">ROUNDUP(IF(staff[[#This Row],[Tenure]]&gt;2,3%,2 %)*staff[[#This Row],[Salary]],0)</f>
        <v>3231</v>
      </c>
      <c r="K152">
        <f>_xlfn.XLOOKUP(staff[[#This Row],[Rating]],'Salary vs. Rating'!$B$11:$B$15,'Salary vs. Rating'!$C$11:$C$15)</f>
        <v>3</v>
      </c>
    </row>
    <row r="153" spans="1:11" x14ac:dyDescent="0.25">
      <c r="A153" t="s">
        <v>117</v>
      </c>
      <c r="B153" t="s">
        <v>15</v>
      </c>
      <c r="C153" t="s">
        <v>12</v>
      </c>
      <c r="D153">
        <v>20</v>
      </c>
      <c r="E153" s="8">
        <v>44397</v>
      </c>
      <c r="F153" s="6">
        <v>107700</v>
      </c>
      <c r="G153" t="s">
        <v>16</v>
      </c>
      <c r="H153" t="s">
        <v>244</v>
      </c>
      <c r="I153" s="9">
        <f ca="1">(TODAY()-staff[[#This Row],[Date Joined]])/365</f>
        <v>3.1616438356164385</v>
      </c>
      <c r="J153" s="6">
        <f ca="1">ROUNDUP(IF(staff[[#This Row],[Tenure]]&gt;2,3%,2 %)*staff[[#This Row],[Salary]],0)</f>
        <v>3231</v>
      </c>
      <c r="K153">
        <f>_xlfn.XLOOKUP(staff[[#This Row],[Rating]],'Salary vs. Rating'!$B$11:$B$15,'Salary vs. Rating'!$C$11:$C$15)</f>
        <v>3</v>
      </c>
    </row>
    <row r="154" spans="1:11" x14ac:dyDescent="0.25">
      <c r="A154" t="s">
        <v>33</v>
      </c>
      <c r="B154" t="s">
        <v>8</v>
      </c>
      <c r="C154" t="s">
        <v>19</v>
      </c>
      <c r="D154">
        <v>38</v>
      </c>
      <c r="E154" s="8">
        <v>44377</v>
      </c>
      <c r="F154" s="6">
        <v>109160</v>
      </c>
      <c r="G154" t="s">
        <v>10</v>
      </c>
      <c r="H154" t="s">
        <v>243</v>
      </c>
      <c r="I154" s="9">
        <f ca="1">(TODAY()-staff[[#This Row],[Date Joined]])/365</f>
        <v>3.2164383561643834</v>
      </c>
      <c r="J154" s="6">
        <f ca="1">ROUNDUP(IF(staff[[#This Row],[Tenure]]&gt;2,3%,2 %)*staff[[#This Row],[Salary]],0)</f>
        <v>3275</v>
      </c>
      <c r="K154">
        <f>_xlfn.XLOOKUP(staff[[#This Row],[Rating]],'Salary vs. Rating'!$B$11:$B$15,'Salary vs. Rating'!$C$11:$C$15)</f>
        <v>5</v>
      </c>
    </row>
    <row r="155" spans="1:11" x14ac:dyDescent="0.25">
      <c r="A155" t="s">
        <v>127</v>
      </c>
      <c r="B155" t="s">
        <v>8</v>
      </c>
      <c r="C155" t="s">
        <v>19</v>
      </c>
      <c r="D155">
        <v>38</v>
      </c>
      <c r="E155" s="8">
        <v>44316</v>
      </c>
      <c r="F155" s="6">
        <v>109160</v>
      </c>
      <c r="G155" t="s">
        <v>10</v>
      </c>
      <c r="H155" t="s">
        <v>244</v>
      </c>
      <c r="I155" s="9">
        <f ca="1">(TODAY()-staff[[#This Row],[Date Joined]])/365</f>
        <v>3.3835616438356166</v>
      </c>
      <c r="J155" s="6">
        <f ca="1">ROUNDUP(IF(staff[[#This Row],[Tenure]]&gt;2,3%,2 %)*staff[[#This Row],[Salary]],0)</f>
        <v>3275</v>
      </c>
      <c r="K155">
        <f>_xlfn.XLOOKUP(staff[[#This Row],[Rating]],'Salary vs. Rating'!$B$11:$B$15,'Salary vs. Rating'!$C$11:$C$15)</f>
        <v>5</v>
      </c>
    </row>
    <row r="156" spans="1:11" x14ac:dyDescent="0.25">
      <c r="A156" t="s">
        <v>34</v>
      </c>
      <c r="B156" t="s">
        <v>15</v>
      </c>
      <c r="C156" t="s">
        <v>9</v>
      </c>
      <c r="D156">
        <v>25</v>
      </c>
      <c r="E156" s="8">
        <v>44726</v>
      </c>
      <c r="F156" s="6">
        <v>109190</v>
      </c>
      <c r="G156" t="s">
        <v>13</v>
      </c>
      <c r="H156" t="s">
        <v>243</v>
      </c>
      <c r="I156" s="9">
        <f ca="1">(TODAY()-staff[[#This Row],[Date Joined]])/365</f>
        <v>2.2602739726027399</v>
      </c>
      <c r="J156" s="6">
        <f ca="1">ROUNDUP(IF(staff[[#This Row],[Tenure]]&gt;2,3%,2 %)*staff[[#This Row],[Salary]],0)</f>
        <v>3276</v>
      </c>
      <c r="K156">
        <f>_xlfn.XLOOKUP(staff[[#This Row],[Rating]],'Salary vs. Rating'!$B$11:$B$15,'Salary vs. Rating'!$C$11:$C$15)</f>
        <v>4</v>
      </c>
    </row>
    <row r="157" spans="1:11" x14ac:dyDescent="0.25">
      <c r="A157" t="s">
        <v>128</v>
      </c>
      <c r="B157" t="s">
        <v>15</v>
      </c>
      <c r="C157" t="s">
        <v>9</v>
      </c>
      <c r="D157" t="s">
        <v>205</v>
      </c>
      <c r="E157" s="8">
        <v>44665</v>
      </c>
      <c r="F157" s="6">
        <v>109190</v>
      </c>
      <c r="G157" t="s">
        <v>13</v>
      </c>
      <c r="H157" t="s">
        <v>244</v>
      </c>
      <c r="I157" s="9">
        <f ca="1">(TODAY()-staff[[#This Row],[Date Joined]])/365</f>
        <v>2.4273972602739726</v>
      </c>
      <c r="J157" s="6">
        <f ca="1">ROUNDUP(IF(staff[[#This Row],[Tenure]]&gt;2,3%,2 %)*staff[[#This Row],[Salary]],0)</f>
        <v>3276</v>
      </c>
      <c r="K157">
        <f>_xlfn.XLOOKUP(staff[[#This Row],[Rating]],'Salary vs. Rating'!$B$11:$B$15,'Salary vs. Rating'!$C$11:$C$15)</f>
        <v>4</v>
      </c>
    </row>
    <row r="158" spans="1:11" x14ac:dyDescent="0.25">
      <c r="A158" t="s">
        <v>87</v>
      </c>
      <c r="B158" t="s">
        <v>15</v>
      </c>
      <c r="C158" t="s">
        <v>12</v>
      </c>
      <c r="D158">
        <v>29</v>
      </c>
      <c r="E158" s="8">
        <v>44180</v>
      </c>
      <c r="F158" s="6">
        <v>112110</v>
      </c>
      <c r="G158" t="s">
        <v>24</v>
      </c>
      <c r="H158" t="s">
        <v>243</v>
      </c>
      <c r="I158" s="9">
        <f ca="1">(TODAY()-staff[[#This Row],[Date Joined]])/365</f>
        <v>3.7561643835616438</v>
      </c>
      <c r="J158" s="6">
        <f ca="1">ROUNDUP(IF(staff[[#This Row],[Tenure]]&gt;2,3%,2 %)*staff[[#This Row],[Salary]],0)</f>
        <v>3364</v>
      </c>
      <c r="K158">
        <f>_xlfn.XLOOKUP(staff[[#This Row],[Rating]],'Salary vs. Rating'!$B$11:$B$15,'Salary vs. Rating'!$C$11:$C$15)</f>
        <v>2</v>
      </c>
    </row>
    <row r="159" spans="1:11" x14ac:dyDescent="0.25">
      <c r="A159" t="s">
        <v>180</v>
      </c>
      <c r="B159" t="s">
        <v>15</v>
      </c>
      <c r="C159" t="s">
        <v>12</v>
      </c>
      <c r="D159">
        <v>29</v>
      </c>
      <c r="E159" s="8">
        <v>44119</v>
      </c>
      <c r="F159" s="6">
        <v>112110</v>
      </c>
      <c r="G159" t="s">
        <v>24</v>
      </c>
      <c r="H159" t="s">
        <v>244</v>
      </c>
      <c r="I159" s="9">
        <f ca="1">(TODAY()-staff[[#This Row],[Date Joined]])/365</f>
        <v>3.9232876712328766</v>
      </c>
      <c r="J159" s="6">
        <f ca="1">ROUNDUP(IF(staff[[#This Row],[Tenure]]&gt;2,3%,2 %)*staff[[#This Row],[Salary]],0)</f>
        <v>3364</v>
      </c>
      <c r="K159">
        <f>_xlfn.XLOOKUP(staff[[#This Row],[Rating]],'Salary vs. Rating'!$B$11:$B$15,'Salary vs. Rating'!$C$11:$C$15)</f>
        <v>2</v>
      </c>
    </row>
    <row r="160" spans="1:11" x14ac:dyDescent="0.25">
      <c r="A160" t="s">
        <v>81</v>
      </c>
      <c r="B160" t="s">
        <v>8</v>
      </c>
      <c r="C160" t="s">
        <v>9</v>
      </c>
      <c r="D160">
        <v>30</v>
      </c>
      <c r="E160" s="8">
        <v>44861</v>
      </c>
      <c r="F160" s="6">
        <v>112570</v>
      </c>
      <c r="G160" t="s">
        <v>16</v>
      </c>
      <c r="H160" t="s">
        <v>243</v>
      </c>
      <c r="I160" s="9">
        <f ca="1">(TODAY()-staff[[#This Row],[Date Joined]])/365</f>
        <v>1.8904109589041096</v>
      </c>
      <c r="J160" s="6">
        <f ca="1">ROUNDUP(IF(staff[[#This Row],[Tenure]]&gt;2,3%,2 %)*staff[[#This Row],[Salary]],0)</f>
        <v>2252</v>
      </c>
      <c r="K160">
        <f>_xlfn.XLOOKUP(staff[[#This Row],[Rating]],'Salary vs. Rating'!$B$11:$B$15,'Salary vs. Rating'!$C$11:$C$15)</f>
        <v>3</v>
      </c>
    </row>
    <row r="161" spans="1:11" x14ac:dyDescent="0.25">
      <c r="A161" t="s">
        <v>173</v>
      </c>
      <c r="B161" t="s">
        <v>8</v>
      </c>
      <c r="C161" t="s">
        <v>9</v>
      </c>
      <c r="D161">
        <v>30</v>
      </c>
      <c r="E161" s="8">
        <v>44800</v>
      </c>
      <c r="F161" s="6">
        <v>112570</v>
      </c>
      <c r="G161" t="s">
        <v>16</v>
      </c>
      <c r="H161" t="s">
        <v>244</v>
      </c>
      <c r="I161" s="9">
        <f ca="1">(TODAY()-staff[[#This Row],[Date Joined]])/365</f>
        <v>2.0575342465753423</v>
      </c>
      <c r="J161" s="6">
        <f ca="1">ROUNDUP(IF(staff[[#This Row],[Tenure]]&gt;2,3%,2 %)*staff[[#This Row],[Salary]],0)</f>
        <v>3378</v>
      </c>
      <c r="K161">
        <f>_xlfn.XLOOKUP(staff[[#This Row],[Rating]],'Salary vs. Rating'!$B$11:$B$15,'Salary vs. Rating'!$C$11:$C$15)</f>
        <v>3</v>
      </c>
    </row>
    <row r="162" spans="1:11" x14ac:dyDescent="0.25">
      <c r="A162" t="s">
        <v>64</v>
      </c>
      <c r="B162" t="s">
        <v>15</v>
      </c>
      <c r="C162" t="s">
        <v>12</v>
      </c>
      <c r="D162">
        <v>20</v>
      </c>
      <c r="E162" s="8">
        <v>44183</v>
      </c>
      <c r="F162" s="6">
        <v>112650</v>
      </c>
      <c r="G162" t="s">
        <v>16</v>
      </c>
      <c r="H162" t="s">
        <v>243</v>
      </c>
      <c r="I162" s="9">
        <f ca="1">(TODAY()-staff[[#This Row],[Date Joined]])/365</f>
        <v>3.7479452054794522</v>
      </c>
      <c r="J162" s="6">
        <f ca="1">ROUNDUP(IF(staff[[#This Row],[Tenure]]&gt;2,3%,2 %)*staff[[#This Row],[Salary]],0)</f>
        <v>3380</v>
      </c>
      <c r="K162">
        <f>_xlfn.XLOOKUP(staff[[#This Row],[Rating]],'Salary vs. Rating'!$B$11:$B$15,'Salary vs. Rating'!$C$11:$C$15)</f>
        <v>3</v>
      </c>
    </row>
    <row r="163" spans="1:11" x14ac:dyDescent="0.25">
      <c r="A163" t="s">
        <v>156</v>
      </c>
      <c r="B163" t="s">
        <v>15</v>
      </c>
      <c r="C163" t="s">
        <v>12</v>
      </c>
      <c r="D163">
        <v>20</v>
      </c>
      <c r="E163" s="8">
        <v>44122</v>
      </c>
      <c r="F163" s="6">
        <v>112650</v>
      </c>
      <c r="G163" t="s">
        <v>16</v>
      </c>
      <c r="H163" t="s">
        <v>244</v>
      </c>
      <c r="I163" s="9">
        <f ca="1">(TODAY()-staff[[#This Row],[Date Joined]])/365</f>
        <v>3.9150684931506849</v>
      </c>
      <c r="J163" s="6">
        <f ca="1">ROUNDUP(IF(staff[[#This Row],[Tenure]]&gt;2,3%,2 %)*staff[[#This Row],[Salary]],0)</f>
        <v>3380</v>
      </c>
      <c r="K163">
        <f>_xlfn.XLOOKUP(staff[[#This Row],[Rating]],'Salary vs. Rating'!$B$11:$B$15,'Salary vs. Rating'!$C$11:$C$15)</f>
        <v>3</v>
      </c>
    </row>
    <row r="164" spans="1:11" x14ac:dyDescent="0.25">
      <c r="A164" t="s">
        <v>178</v>
      </c>
      <c r="B164" t="s">
        <v>15</v>
      </c>
      <c r="C164" t="s">
        <v>9</v>
      </c>
      <c r="D164">
        <v>34</v>
      </c>
      <c r="E164" s="8">
        <v>44642</v>
      </c>
      <c r="F164" s="6">
        <v>112650</v>
      </c>
      <c r="G164" t="s">
        <v>16</v>
      </c>
      <c r="H164" t="s">
        <v>244</v>
      </c>
      <c r="I164" s="9">
        <f ca="1">(TODAY()-staff[[#This Row],[Date Joined]])/365</f>
        <v>2.4904109589041097</v>
      </c>
      <c r="J164" s="6">
        <f ca="1">ROUNDUP(IF(staff[[#This Row],[Tenure]]&gt;2,3%,2 %)*staff[[#This Row],[Salary]],0)</f>
        <v>3380</v>
      </c>
      <c r="K164">
        <f>_xlfn.XLOOKUP(staff[[#This Row],[Rating]],'Salary vs. Rating'!$B$11:$B$15,'Salary vs. Rating'!$C$11:$C$15)</f>
        <v>3</v>
      </c>
    </row>
    <row r="165" spans="1:11" x14ac:dyDescent="0.25">
      <c r="A165" t="s">
        <v>58</v>
      </c>
      <c r="B165" t="s">
        <v>15</v>
      </c>
      <c r="C165" t="s">
        <v>19</v>
      </c>
      <c r="D165">
        <v>22</v>
      </c>
      <c r="E165" s="8">
        <v>44446</v>
      </c>
      <c r="F165" s="6">
        <v>112780</v>
      </c>
      <c r="G165" t="s">
        <v>13</v>
      </c>
      <c r="H165" t="s">
        <v>243</v>
      </c>
      <c r="I165" s="9">
        <f ca="1">(TODAY()-staff[[#This Row],[Date Joined]])/365</f>
        <v>3.0273972602739727</v>
      </c>
      <c r="J165" s="6">
        <f ca="1">ROUNDUP(IF(staff[[#This Row],[Tenure]]&gt;2,3%,2 %)*staff[[#This Row],[Salary]],0)</f>
        <v>3384</v>
      </c>
      <c r="K165">
        <f>_xlfn.XLOOKUP(staff[[#This Row],[Rating]],'Salary vs. Rating'!$B$11:$B$15,'Salary vs. Rating'!$C$11:$C$15)</f>
        <v>4</v>
      </c>
    </row>
    <row r="166" spans="1:11" x14ac:dyDescent="0.25">
      <c r="A166" t="s">
        <v>150</v>
      </c>
      <c r="B166" t="s">
        <v>15</v>
      </c>
      <c r="C166" t="s">
        <v>19</v>
      </c>
      <c r="D166">
        <v>22</v>
      </c>
      <c r="E166" s="8">
        <v>44384</v>
      </c>
      <c r="F166" s="6">
        <v>112780</v>
      </c>
      <c r="G166" t="s">
        <v>13</v>
      </c>
      <c r="H166" t="s">
        <v>244</v>
      </c>
      <c r="I166" s="9">
        <f ca="1">(TODAY()-staff[[#This Row],[Date Joined]])/365</f>
        <v>3.1972602739726028</v>
      </c>
      <c r="J166" s="6">
        <f ca="1">ROUNDUP(IF(staff[[#This Row],[Tenure]]&gt;2,3%,2 %)*staff[[#This Row],[Salary]],0)</f>
        <v>3384</v>
      </c>
      <c r="K166">
        <f>_xlfn.XLOOKUP(staff[[#This Row],[Rating]],'Salary vs. Rating'!$B$11:$B$15,'Salary vs. Rating'!$C$11:$C$15)</f>
        <v>4</v>
      </c>
    </row>
    <row r="167" spans="1:11" x14ac:dyDescent="0.25">
      <c r="A167" t="s">
        <v>98</v>
      </c>
      <c r="B167" t="s">
        <v>15</v>
      </c>
      <c r="C167" t="s">
        <v>9</v>
      </c>
      <c r="D167">
        <v>27</v>
      </c>
      <c r="E167" s="8">
        <v>44609</v>
      </c>
      <c r="F167" s="6">
        <v>113280</v>
      </c>
      <c r="G167" t="s">
        <v>42</v>
      </c>
      <c r="H167" t="s">
        <v>243</v>
      </c>
      <c r="I167" s="9">
        <f ca="1">(TODAY()-staff[[#This Row],[Date Joined]])/365</f>
        <v>2.580821917808219</v>
      </c>
      <c r="J167" s="6">
        <f ca="1">ROUNDUP(IF(staff[[#This Row],[Tenure]]&gt;2,3%,2 %)*staff[[#This Row],[Salary]],0)</f>
        <v>3399</v>
      </c>
      <c r="K167">
        <f>_xlfn.XLOOKUP(staff[[#This Row],[Rating]],'Salary vs. Rating'!$B$11:$B$15,'Salary vs. Rating'!$C$11:$C$15)</f>
        <v>1</v>
      </c>
    </row>
    <row r="168" spans="1:11" x14ac:dyDescent="0.25">
      <c r="A168" t="s">
        <v>191</v>
      </c>
      <c r="B168" t="s">
        <v>15</v>
      </c>
      <c r="C168" t="s">
        <v>9</v>
      </c>
      <c r="D168">
        <v>27</v>
      </c>
      <c r="E168" s="8">
        <v>44547</v>
      </c>
      <c r="F168" s="6">
        <v>113280</v>
      </c>
      <c r="G168" t="s">
        <v>42</v>
      </c>
      <c r="H168" t="s">
        <v>244</v>
      </c>
      <c r="I168" s="9">
        <f ca="1">(TODAY()-staff[[#This Row],[Date Joined]])/365</f>
        <v>2.7506849315068491</v>
      </c>
      <c r="J168" s="6">
        <f ca="1">ROUNDUP(IF(staff[[#This Row],[Tenure]]&gt;2,3%,2 %)*staff[[#This Row],[Salary]],0)</f>
        <v>3399</v>
      </c>
      <c r="K168">
        <f>_xlfn.XLOOKUP(staff[[#This Row],[Rating]],'Salary vs. Rating'!$B$11:$B$15,'Salary vs. Rating'!$C$11:$C$15)</f>
        <v>1</v>
      </c>
    </row>
    <row r="169" spans="1:11" x14ac:dyDescent="0.25">
      <c r="A169" t="s">
        <v>54</v>
      </c>
      <c r="B169" t="s">
        <v>8</v>
      </c>
      <c r="C169" t="s">
        <v>9</v>
      </c>
      <c r="D169">
        <v>30</v>
      </c>
      <c r="E169" s="8">
        <v>44850</v>
      </c>
      <c r="F169" s="6">
        <v>114180</v>
      </c>
      <c r="G169" t="s">
        <v>16</v>
      </c>
      <c r="H169" t="s">
        <v>243</v>
      </c>
      <c r="I169" s="9">
        <f ca="1">(TODAY()-staff[[#This Row],[Date Joined]])/365</f>
        <v>1.9205479452054794</v>
      </c>
      <c r="J169" s="6">
        <f ca="1">ROUNDUP(IF(staff[[#This Row],[Tenure]]&gt;2,3%,2 %)*staff[[#This Row],[Salary]],0)</f>
        <v>2284</v>
      </c>
      <c r="K169">
        <f>_xlfn.XLOOKUP(staff[[#This Row],[Rating]],'Salary vs. Rating'!$B$11:$B$15,'Salary vs. Rating'!$C$11:$C$15)</f>
        <v>3</v>
      </c>
    </row>
    <row r="170" spans="1:11" x14ac:dyDescent="0.25">
      <c r="A170" t="s">
        <v>147</v>
      </c>
      <c r="B170" t="s">
        <v>8</v>
      </c>
      <c r="C170" t="s">
        <v>9</v>
      </c>
      <c r="D170">
        <v>30</v>
      </c>
      <c r="E170" s="8">
        <v>44789</v>
      </c>
      <c r="F170" s="6">
        <v>114180</v>
      </c>
      <c r="G170" t="s">
        <v>16</v>
      </c>
      <c r="H170" t="s">
        <v>244</v>
      </c>
      <c r="I170" s="9">
        <f ca="1">(TODAY()-staff[[#This Row],[Date Joined]])/365</f>
        <v>2.0876712328767124</v>
      </c>
      <c r="J170" s="6">
        <f ca="1">ROUNDUP(IF(staff[[#This Row],[Tenure]]&gt;2,3%,2 %)*staff[[#This Row],[Salary]],0)</f>
        <v>3426</v>
      </c>
      <c r="K170">
        <f>_xlfn.XLOOKUP(staff[[#This Row],[Rating]],'Salary vs. Rating'!$B$11:$B$15,'Salary vs. Rating'!$C$11:$C$15)</f>
        <v>3</v>
      </c>
    </row>
    <row r="171" spans="1:11" x14ac:dyDescent="0.25">
      <c r="A171" t="s">
        <v>17</v>
      </c>
      <c r="B171" t="s">
        <v>8</v>
      </c>
      <c r="C171" t="s">
        <v>12</v>
      </c>
      <c r="D171">
        <v>43</v>
      </c>
      <c r="E171" s="8">
        <v>45045</v>
      </c>
      <c r="F171" s="6">
        <v>114870</v>
      </c>
      <c r="G171" t="s">
        <v>16</v>
      </c>
      <c r="H171" t="s">
        <v>243</v>
      </c>
      <c r="I171" s="9">
        <f ca="1">(TODAY()-staff[[#This Row],[Date Joined]])/365</f>
        <v>1.3863013698630138</v>
      </c>
      <c r="J171" s="6">
        <f ca="1">ROUNDUP(IF(staff[[#This Row],[Tenure]]&gt;2,3%,2 %)*staff[[#This Row],[Salary]],0)</f>
        <v>2298</v>
      </c>
      <c r="K171">
        <f>_xlfn.XLOOKUP(staff[[#This Row],[Rating]],'Salary vs. Rating'!$B$11:$B$15,'Salary vs. Rating'!$C$11:$C$15)</f>
        <v>3</v>
      </c>
    </row>
    <row r="172" spans="1:11" x14ac:dyDescent="0.25">
      <c r="A172" t="s">
        <v>114</v>
      </c>
      <c r="B172" t="s">
        <v>8</v>
      </c>
      <c r="C172" t="s">
        <v>12</v>
      </c>
      <c r="D172">
        <v>44</v>
      </c>
      <c r="E172" s="8">
        <v>44985</v>
      </c>
      <c r="F172" s="6">
        <v>114870</v>
      </c>
      <c r="G172" t="s">
        <v>16</v>
      </c>
      <c r="H172" t="s">
        <v>244</v>
      </c>
      <c r="I172" s="9">
        <f ca="1">(TODAY()-staff[[#This Row],[Date Joined]])/365</f>
        <v>1.5506849315068494</v>
      </c>
      <c r="J172" s="6">
        <f ca="1">ROUNDUP(IF(staff[[#This Row],[Tenure]]&gt;2,3%,2 %)*staff[[#This Row],[Salary]],0)</f>
        <v>2298</v>
      </c>
      <c r="K172">
        <f>_xlfn.XLOOKUP(staff[[#This Row],[Rating]],'Salary vs. Rating'!$B$11:$B$15,'Salary vs. Rating'!$C$11:$C$15)</f>
        <v>3</v>
      </c>
    </row>
    <row r="173" spans="1:11" x14ac:dyDescent="0.25">
      <c r="A173" t="s">
        <v>83</v>
      </c>
      <c r="B173" t="s">
        <v>8</v>
      </c>
      <c r="C173" t="s">
        <v>9</v>
      </c>
      <c r="D173">
        <v>36</v>
      </c>
      <c r="E173" s="8">
        <v>44085</v>
      </c>
      <c r="F173" s="6">
        <v>114890</v>
      </c>
      <c r="G173" t="s">
        <v>16</v>
      </c>
      <c r="H173" t="s">
        <v>243</v>
      </c>
      <c r="I173" s="9">
        <f ca="1">(TODAY()-staff[[#This Row],[Date Joined]])/365</f>
        <v>4.0164383561643833</v>
      </c>
      <c r="J173" s="6">
        <f ca="1">ROUNDUP(IF(staff[[#This Row],[Tenure]]&gt;2,3%,2 %)*staff[[#This Row],[Salary]],0)</f>
        <v>3447</v>
      </c>
      <c r="K173">
        <f>_xlfn.XLOOKUP(staff[[#This Row],[Rating]],'Salary vs. Rating'!$B$11:$B$15,'Salary vs. Rating'!$C$11:$C$15)</f>
        <v>3</v>
      </c>
    </row>
    <row r="174" spans="1:11" x14ac:dyDescent="0.25">
      <c r="A174" t="s">
        <v>175</v>
      </c>
      <c r="B174" t="s">
        <v>8</v>
      </c>
      <c r="C174" t="s">
        <v>9</v>
      </c>
      <c r="D174">
        <v>36</v>
      </c>
      <c r="E174" s="8">
        <v>44023</v>
      </c>
      <c r="F174" s="6">
        <v>114890</v>
      </c>
      <c r="G174" t="s">
        <v>16</v>
      </c>
      <c r="H174" t="s">
        <v>244</v>
      </c>
      <c r="I174" s="9">
        <f ca="1">(TODAY()-staff[[#This Row],[Date Joined]])/365</f>
        <v>4.1863013698630134</v>
      </c>
      <c r="J174" s="6">
        <f ca="1">ROUNDUP(IF(staff[[#This Row],[Tenure]]&gt;2,3%,2 %)*staff[[#This Row],[Salary]],0)</f>
        <v>3447</v>
      </c>
      <c r="K174">
        <f>_xlfn.XLOOKUP(staff[[#This Row],[Rating]],'Salary vs. Rating'!$B$11:$B$15,'Salary vs. Rating'!$C$11:$C$15)</f>
        <v>3</v>
      </c>
    </row>
    <row r="175" spans="1:11" x14ac:dyDescent="0.25">
      <c r="A175" t="s">
        <v>49</v>
      </c>
      <c r="B175" t="s">
        <v>208</v>
      </c>
      <c r="C175" t="s">
        <v>21</v>
      </c>
      <c r="D175">
        <v>37</v>
      </c>
      <c r="E175" s="8">
        <v>44146</v>
      </c>
      <c r="F175" s="6">
        <v>115440</v>
      </c>
      <c r="G175" t="s">
        <v>24</v>
      </c>
      <c r="H175" t="s">
        <v>243</v>
      </c>
      <c r="I175" s="9">
        <f ca="1">(TODAY()-staff[[#This Row],[Date Joined]])/365</f>
        <v>3.8493150684931505</v>
      </c>
      <c r="J175" s="6">
        <f ca="1">ROUNDUP(IF(staff[[#This Row],[Tenure]]&gt;2,3%,2 %)*staff[[#This Row],[Salary]],0)</f>
        <v>3464</v>
      </c>
      <c r="K175">
        <f>_xlfn.XLOOKUP(staff[[#This Row],[Rating]],'Salary vs. Rating'!$B$11:$B$15,'Salary vs. Rating'!$C$11:$C$15)</f>
        <v>2</v>
      </c>
    </row>
    <row r="176" spans="1:11" x14ac:dyDescent="0.25">
      <c r="A176" t="s">
        <v>142</v>
      </c>
      <c r="B176" t="s">
        <v>208</v>
      </c>
      <c r="C176" t="s">
        <v>21</v>
      </c>
      <c r="D176">
        <v>37</v>
      </c>
      <c r="E176" s="8">
        <v>44085</v>
      </c>
      <c r="F176" s="6">
        <v>115440</v>
      </c>
      <c r="G176" t="s">
        <v>24</v>
      </c>
      <c r="H176" t="s">
        <v>244</v>
      </c>
      <c r="I176" s="9">
        <f ca="1">(TODAY()-staff[[#This Row],[Date Joined]])/365</f>
        <v>4.0164383561643833</v>
      </c>
      <c r="J176" s="6">
        <f ca="1">ROUNDUP(IF(staff[[#This Row],[Tenure]]&gt;2,3%,2 %)*staff[[#This Row],[Salary]],0)</f>
        <v>3464</v>
      </c>
      <c r="K176">
        <f>_xlfn.XLOOKUP(staff[[#This Row],[Rating]],'Salary vs. Rating'!$B$11:$B$15,'Salary vs. Rating'!$C$11:$C$15)</f>
        <v>2</v>
      </c>
    </row>
    <row r="177" spans="1:11" x14ac:dyDescent="0.25">
      <c r="A177" t="s">
        <v>40</v>
      </c>
      <c r="B177" t="s">
        <v>15</v>
      </c>
      <c r="C177" t="s">
        <v>9</v>
      </c>
      <c r="D177">
        <v>33</v>
      </c>
      <c r="E177" s="8">
        <v>44164</v>
      </c>
      <c r="F177" s="6">
        <v>115920</v>
      </c>
      <c r="G177" t="s">
        <v>16</v>
      </c>
      <c r="H177" t="s">
        <v>243</v>
      </c>
      <c r="I177" s="9">
        <f ca="1">(TODAY()-staff[[#This Row],[Date Joined]])/365</f>
        <v>3.8</v>
      </c>
      <c r="J177" s="6">
        <f ca="1">ROUNDUP(IF(staff[[#This Row],[Tenure]]&gt;2,3%,2 %)*staff[[#This Row],[Salary]],0)</f>
        <v>3478</v>
      </c>
      <c r="K177">
        <f>_xlfn.XLOOKUP(staff[[#This Row],[Rating]],'Salary vs. Rating'!$B$11:$B$15,'Salary vs. Rating'!$C$11:$C$15)</f>
        <v>3</v>
      </c>
    </row>
    <row r="178" spans="1:11" x14ac:dyDescent="0.25">
      <c r="A178" t="s">
        <v>134</v>
      </c>
      <c r="B178" t="s">
        <v>15</v>
      </c>
      <c r="C178" t="s">
        <v>9</v>
      </c>
      <c r="D178">
        <v>33</v>
      </c>
      <c r="E178" s="8">
        <v>44103</v>
      </c>
      <c r="F178" s="6">
        <v>115920</v>
      </c>
      <c r="G178" t="s">
        <v>16</v>
      </c>
      <c r="H178" t="s">
        <v>244</v>
      </c>
      <c r="I178" s="9">
        <f ca="1">(TODAY()-staff[[#This Row],[Date Joined]])/365</f>
        <v>3.967123287671233</v>
      </c>
      <c r="J178" s="6">
        <f ca="1">ROUNDUP(IF(staff[[#This Row],[Tenure]]&gt;2,3%,2 %)*staff[[#This Row],[Salary]],0)</f>
        <v>3478</v>
      </c>
      <c r="K178">
        <f>_xlfn.XLOOKUP(staff[[#This Row],[Rating]],'Salary vs. Rating'!$B$11:$B$15,'Salary vs. Rating'!$C$11:$C$15)</f>
        <v>3</v>
      </c>
    </row>
    <row r="179" spans="1:11" x14ac:dyDescent="0.25">
      <c r="A179" t="s">
        <v>55</v>
      </c>
      <c r="B179" t="s">
        <v>8</v>
      </c>
      <c r="C179" t="s">
        <v>56</v>
      </c>
      <c r="D179">
        <v>37</v>
      </c>
      <c r="E179" s="8">
        <v>44451</v>
      </c>
      <c r="F179" s="6">
        <v>118100</v>
      </c>
      <c r="G179" t="s">
        <v>16</v>
      </c>
      <c r="H179" t="s">
        <v>243</v>
      </c>
      <c r="I179" s="9">
        <f ca="1">(TODAY()-staff[[#This Row],[Date Joined]])/365</f>
        <v>3.0136986301369864</v>
      </c>
      <c r="J179" s="6">
        <f ca="1">ROUNDUP(IF(staff[[#This Row],[Tenure]]&gt;2,3%,2 %)*staff[[#This Row],[Salary]],0)</f>
        <v>3543</v>
      </c>
      <c r="K179">
        <f>_xlfn.XLOOKUP(staff[[#This Row],[Rating]],'Salary vs. Rating'!$B$11:$B$15,'Salary vs. Rating'!$C$11:$C$15)</f>
        <v>3</v>
      </c>
    </row>
    <row r="180" spans="1:11" x14ac:dyDescent="0.25">
      <c r="A180" t="s">
        <v>148</v>
      </c>
      <c r="B180" t="s">
        <v>8</v>
      </c>
      <c r="C180" t="s">
        <v>56</v>
      </c>
      <c r="D180">
        <v>37</v>
      </c>
      <c r="E180" s="8">
        <v>44389</v>
      </c>
      <c r="F180" s="6">
        <v>118100</v>
      </c>
      <c r="G180" t="s">
        <v>16</v>
      </c>
      <c r="H180" t="s">
        <v>244</v>
      </c>
      <c r="I180" s="9">
        <f ca="1">(TODAY()-staff[[#This Row],[Date Joined]])/365</f>
        <v>3.1835616438356165</v>
      </c>
      <c r="J180" s="6">
        <f ca="1">ROUNDUP(IF(staff[[#This Row],[Tenure]]&gt;2,3%,2 %)*staff[[#This Row],[Salary]],0)</f>
        <v>3543</v>
      </c>
      <c r="K180">
        <f>_xlfn.XLOOKUP(staff[[#This Row],[Rating]],'Salary vs. Rating'!$B$11:$B$15,'Salary vs. Rating'!$C$11:$C$15)</f>
        <v>3</v>
      </c>
    </row>
    <row r="181" spans="1:11" x14ac:dyDescent="0.25">
      <c r="A181" t="s">
        <v>106</v>
      </c>
      <c r="B181" t="s">
        <v>15</v>
      </c>
      <c r="C181" t="s">
        <v>12</v>
      </c>
      <c r="D181">
        <v>36</v>
      </c>
      <c r="E181" s="8">
        <v>44019</v>
      </c>
      <c r="F181" s="6">
        <v>118840</v>
      </c>
      <c r="G181" t="s">
        <v>16</v>
      </c>
      <c r="H181" t="s">
        <v>243</v>
      </c>
      <c r="I181" s="9">
        <f ca="1">(TODAY()-staff[[#This Row],[Date Joined]])/365</f>
        <v>4.1972602739726028</v>
      </c>
      <c r="J181" s="6">
        <f ca="1">ROUNDUP(IF(staff[[#This Row],[Tenure]]&gt;2,3%,2 %)*staff[[#This Row],[Salary]],0)</f>
        <v>3566</v>
      </c>
      <c r="K181">
        <f>_xlfn.XLOOKUP(staff[[#This Row],[Rating]],'Salary vs. Rating'!$B$11:$B$15,'Salary vs. Rating'!$C$11:$C$15)</f>
        <v>3</v>
      </c>
    </row>
    <row r="182" spans="1:11" x14ac:dyDescent="0.25">
      <c r="A182" t="s">
        <v>199</v>
      </c>
      <c r="B182" t="s">
        <v>15</v>
      </c>
      <c r="C182" t="s">
        <v>12</v>
      </c>
      <c r="D182">
        <v>36</v>
      </c>
      <c r="E182" s="8">
        <v>43958</v>
      </c>
      <c r="F182" s="6">
        <v>118840</v>
      </c>
      <c r="G182" t="s">
        <v>16</v>
      </c>
      <c r="H182" t="s">
        <v>244</v>
      </c>
      <c r="I182" s="9">
        <f ca="1">(TODAY()-staff[[#This Row],[Date Joined]])/365</f>
        <v>4.3643835616438356</v>
      </c>
      <c r="J182" s="6">
        <f ca="1">ROUNDUP(IF(staff[[#This Row],[Tenure]]&gt;2,3%,2 %)*staff[[#This Row],[Salary]],0)</f>
        <v>3566</v>
      </c>
      <c r="K182">
        <f>_xlfn.XLOOKUP(staff[[#This Row],[Rating]],'Salary vs. Rating'!$B$11:$B$15,'Salary vs. Rating'!$C$11:$C$15)</f>
        <v>3</v>
      </c>
    </row>
    <row r="183" spans="1:11" x14ac:dyDescent="0.25">
      <c r="A183" t="s">
        <v>60</v>
      </c>
      <c r="B183" t="s">
        <v>8</v>
      </c>
      <c r="C183" t="s">
        <v>56</v>
      </c>
      <c r="D183">
        <v>27</v>
      </c>
      <c r="E183" s="8">
        <v>44122</v>
      </c>
      <c r="F183" s="6">
        <v>119110</v>
      </c>
      <c r="G183" t="s">
        <v>16</v>
      </c>
      <c r="H183" t="s">
        <v>243</v>
      </c>
      <c r="I183" s="9">
        <f ca="1">(TODAY()-staff[[#This Row],[Date Joined]])/365</f>
        <v>3.9150684931506849</v>
      </c>
      <c r="J183" s="6">
        <f ca="1">ROUNDUP(IF(staff[[#This Row],[Tenure]]&gt;2,3%,2 %)*staff[[#This Row],[Salary]],0)</f>
        <v>3574</v>
      </c>
      <c r="K183">
        <f>_xlfn.XLOOKUP(staff[[#This Row],[Rating]],'Salary vs. Rating'!$B$11:$B$15,'Salary vs. Rating'!$C$11:$C$15)</f>
        <v>3</v>
      </c>
    </row>
    <row r="184" spans="1:11" x14ac:dyDescent="0.25">
      <c r="A184" t="s">
        <v>152</v>
      </c>
      <c r="B184" t="s">
        <v>8</v>
      </c>
      <c r="C184" t="s">
        <v>56</v>
      </c>
      <c r="D184">
        <v>27</v>
      </c>
      <c r="E184" s="8">
        <v>44061</v>
      </c>
      <c r="F184" s="6">
        <v>119110</v>
      </c>
      <c r="G184" t="s">
        <v>16</v>
      </c>
      <c r="H184" t="s">
        <v>244</v>
      </c>
      <c r="I184" s="9">
        <f ca="1">(TODAY()-staff[[#This Row],[Date Joined]])/365</f>
        <v>4.0821917808219181</v>
      </c>
      <c r="J184" s="6">
        <f ca="1">ROUNDUP(IF(staff[[#This Row],[Tenure]]&gt;2,3%,2 %)*staff[[#This Row],[Salary]],0)</f>
        <v>3574</v>
      </c>
      <c r="K184">
        <f>_xlfn.XLOOKUP(staff[[#This Row],[Rating]],'Salary vs. Rating'!$B$11:$B$15,'Salary vs. Rating'!$C$11:$C$15)</f>
        <v>3</v>
      </c>
    </row>
  </sheetData>
  <mergeCells count="2">
    <mergeCell ref="M2:O2"/>
    <mergeCell ref="M13:O13"/>
  </mergeCells>
  <conditionalFormatting sqref="F1:F184">
    <cfRule type="colorScale" priority="1">
      <colorScale>
        <cfvo type="min"/>
        <cfvo type="percentile" val="50"/>
        <cfvo type="max"/>
        <color rgb="FF5A8AC6"/>
        <color rgb="FFFCFCFF"/>
        <color rgb="FFF8696B"/>
      </colorScale>
    </cfRule>
  </conditionalFormatting>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874D2-B1FE-4ECC-AD8E-A8B4E2A17AAE}">
  <sheetPr>
    <tabColor theme="9" tint="-0.249977111117893"/>
  </sheetPr>
  <dimension ref="C2:G59"/>
  <sheetViews>
    <sheetView topLeftCell="A7" workbookViewId="0">
      <selection activeCell="I9" sqref="I9"/>
    </sheetView>
  </sheetViews>
  <sheetFormatPr defaultRowHeight="15" x14ac:dyDescent="0.25"/>
  <cols>
    <col min="3" max="3" width="30" bestFit="1" customWidth="1"/>
    <col min="4" max="4" width="11.85546875" bestFit="1" customWidth="1"/>
    <col min="5" max="5" width="14.28515625" bestFit="1" customWidth="1"/>
    <col min="6" max="6" width="17.5703125" bestFit="1" customWidth="1"/>
    <col min="7" max="7" width="3" bestFit="1" customWidth="1"/>
    <col min="8" max="8" width="17.5703125" bestFit="1" customWidth="1"/>
    <col min="9" max="9" width="14.28515625" bestFit="1" customWidth="1"/>
    <col min="10" max="10" width="4.28515625" bestFit="1" customWidth="1"/>
    <col min="11" max="11" width="12" bestFit="1" customWidth="1"/>
  </cols>
  <sheetData>
    <row r="2" spans="3:7" x14ac:dyDescent="0.25">
      <c r="C2" s="38" t="s">
        <v>220</v>
      </c>
      <c r="D2" s="38"/>
      <c r="E2" s="38"/>
    </row>
    <row r="4" spans="3:7" x14ac:dyDescent="0.25">
      <c r="C4" s="27" t="s">
        <v>223</v>
      </c>
      <c r="D4" s="28" t="s">
        <v>12</v>
      </c>
    </row>
    <row r="6" spans="3:7" x14ac:dyDescent="0.25">
      <c r="C6" t="str" cm="1">
        <f t="array" aca="1" ref="C6:E59" ca="1">_xlfn._xlws.SORT(_xlfn.CHOOSECOLS(_xlfn._xlws.FILTER(staff[],staff[Department]=D4),1,6,7),2,-1)</f>
        <v>Tawnya Tickel</v>
      </c>
      <c r="D6" s="6">
        <f ca="1"/>
        <v>118840</v>
      </c>
      <c r="E6" t="str">
        <f ca="1"/>
        <v>Average</v>
      </c>
      <c r="F6" s="5" t="s">
        <v>224</v>
      </c>
      <c r="G6">
        <f>COUNTIFS(staff[Department],D4)</f>
        <v>54</v>
      </c>
    </row>
    <row r="7" spans="3:7" x14ac:dyDescent="0.25">
      <c r="C7" t="str">
        <f ca="1"/>
        <v>Heer Pennathur</v>
      </c>
      <c r="D7" s="6">
        <f ca="1"/>
        <v>118840</v>
      </c>
      <c r="E7" t="str">
        <f ca="1"/>
        <v>Average</v>
      </c>
    </row>
    <row r="8" spans="3:7" x14ac:dyDescent="0.25">
      <c r="C8" t="str">
        <f ca="1"/>
        <v>Wilone O'Kielt</v>
      </c>
      <c r="D8" s="6">
        <f ca="1"/>
        <v>114870</v>
      </c>
      <c r="E8" t="str">
        <f ca="1"/>
        <v>Average</v>
      </c>
    </row>
    <row r="9" spans="3:7" x14ac:dyDescent="0.25">
      <c r="C9" t="str">
        <f ca="1"/>
        <v>Ramnath Ravuri</v>
      </c>
      <c r="D9" s="6">
        <f ca="1"/>
        <v>114870</v>
      </c>
      <c r="E9" t="str">
        <f ca="1"/>
        <v>Average</v>
      </c>
    </row>
    <row r="10" spans="3:7" x14ac:dyDescent="0.25">
      <c r="C10" t="str">
        <f ca="1"/>
        <v>Mollie Hanway</v>
      </c>
      <c r="D10" s="6">
        <f ca="1"/>
        <v>112650</v>
      </c>
      <c r="E10" t="str">
        <f ca="1"/>
        <v>Average</v>
      </c>
    </row>
    <row r="11" spans="3:7" x14ac:dyDescent="0.25">
      <c r="C11" t="str">
        <f ca="1"/>
        <v>Deepali Charan</v>
      </c>
      <c r="D11" s="6">
        <f ca="1"/>
        <v>112650</v>
      </c>
      <c r="E11" t="str">
        <f ca="1"/>
        <v>Average</v>
      </c>
    </row>
    <row r="12" spans="3:7" x14ac:dyDescent="0.25">
      <c r="C12" t="str">
        <f ca="1"/>
        <v>Bev Lashley</v>
      </c>
      <c r="D12" s="6">
        <f ca="1"/>
        <v>112110</v>
      </c>
      <c r="E12" t="str">
        <f ca="1"/>
        <v>Poor</v>
      </c>
    </row>
    <row r="13" spans="3:7" x14ac:dyDescent="0.25">
      <c r="C13" t="str">
        <f ca="1"/>
        <v>Narois Motiwala</v>
      </c>
      <c r="D13" s="6">
        <f ca="1"/>
        <v>112110</v>
      </c>
      <c r="E13" t="str">
        <f ca="1"/>
        <v>Poor</v>
      </c>
    </row>
    <row r="14" spans="3:7" x14ac:dyDescent="0.25">
      <c r="C14" t="str">
        <f ca="1"/>
        <v>Kaine Padly</v>
      </c>
      <c r="D14" s="6">
        <f ca="1"/>
        <v>107700</v>
      </c>
      <c r="E14" t="str">
        <f ca="1"/>
        <v>Average</v>
      </c>
    </row>
    <row r="15" spans="3:7" x14ac:dyDescent="0.25">
      <c r="C15" t="str">
        <f ca="1"/>
        <v>Hridaynath Tendulkar</v>
      </c>
      <c r="D15" s="6">
        <f ca="1"/>
        <v>107700</v>
      </c>
      <c r="E15" t="str">
        <f ca="1"/>
        <v>Average</v>
      </c>
    </row>
    <row r="16" spans="3:7" x14ac:dyDescent="0.25">
      <c r="C16" t="str">
        <f ca="1"/>
        <v>Caro Chappel</v>
      </c>
      <c r="D16" s="6">
        <f ca="1"/>
        <v>104410</v>
      </c>
      <c r="E16" t="str">
        <f ca="1"/>
        <v>Average</v>
      </c>
    </row>
    <row r="17" spans="3:5" x14ac:dyDescent="0.25">
      <c r="C17" t="str">
        <f ca="1"/>
        <v>Manjusri Ruchi</v>
      </c>
      <c r="D17" s="6">
        <f ca="1"/>
        <v>104410</v>
      </c>
      <c r="E17" t="str">
        <f ca="1"/>
        <v>Average</v>
      </c>
    </row>
    <row r="18" spans="3:5" x14ac:dyDescent="0.25">
      <c r="C18" t="str">
        <f ca="1"/>
        <v>Collin Jagson</v>
      </c>
      <c r="D18" s="6">
        <f ca="1"/>
        <v>100420</v>
      </c>
      <c r="E18" t="str">
        <f ca="1"/>
        <v>Average</v>
      </c>
    </row>
    <row r="19" spans="3:5" x14ac:dyDescent="0.25">
      <c r="C19" t="str">
        <f ca="1"/>
        <v>Amlankusum Rajabhushan</v>
      </c>
      <c r="D19" s="6">
        <f ca="1"/>
        <v>100420</v>
      </c>
      <c r="E19" t="str">
        <f ca="1"/>
        <v>Average</v>
      </c>
    </row>
    <row r="20" spans="3:5" x14ac:dyDescent="0.25">
      <c r="C20" t="str">
        <f ca="1"/>
        <v>Torrance Collier</v>
      </c>
      <c r="D20" s="6">
        <f ca="1"/>
        <v>96140</v>
      </c>
      <c r="E20" t="str">
        <f ca="1"/>
        <v>Average</v>
      </c>
    </row>
    <row r="21" spans="3:5" x14ac:dyDescent="0.25">
      <c r="C21" t="str">
        <f ca="1"/>
        <v>Sukhdev Nageshwar</v>
      </c>
      <c r="D21" s="6">
        <f ca="1"/>
        <v>96140</v>
      </c>
      <c r="E21" t="str">
        <f ca="1"/>
        <v>Average</v>
      </c>
    </row>
    <row r="22" spans="3:5" x14ac:dyDescent="0.25">
      <c r="C22" t="str">
        <f ca="1"/>
        <v>Madge McCloughen</v>
      </c>
      <c r="D22" s="6">
        <f ca="1"/>
        <v>91310</v>
      </c>
      <c r="E22" t="str">
        <f ca="1"/>
        <v>Average</v>
      </c>
    </row>
    <row r="23" spans="3:5" x14ac:dyDescent="0.25">
      <c r="C23" t="str">
        <f ca="1"/>
        <v>Rukma Vinita</v>
      </c>
      <c r="D23" s="6">
        <f ca="1"/>
        <v>91310</v>
      </c>
      <c r="E23" t="str">
        <f ca="1"/>
        <v>Average</v>
      </c>
    </row>
    <row r="24" spans="3:5" x14ac:dyDescent="0.25">
      <c r="C24" t="str">
        <f ca="1"/>
        <v>Dennison Crosswaite</v>
      </c>
      <c r="D24" s="6">
        <f ca="1"/>
        <v>90700</v>
      </c>
      <c r="E24" t="str">
        <f ca="1"/>
        <v>Above average</v>
      </c>
    </row>
    <row r="25" spans="3:5" x14ac:dyDescent="0.25">
      <c r="C25" t="str">
        <f ca="1"/>
        <v>Karuna Pashupathy</v>
      </c>
      <c r="D25" s="6">
        <f ca="1"/>
        <v>90700</v>
      </c>
      <c r="E25" t="str">
        <f ca="1"/>
        <v>Above average</v>
      </c>
    </row>
    <row r="26" spans="3:5" x14ac:dyDescent="0.25">
      <c r="C26" t="str">
        <f ca="1"/>
        <v>Ches Bonnell</v>
      </c>
      <c r="D26" s="6">
        <f ca="1"/>
        <v>88050</v>
      </c>
      <c r="E26" t="str">
        <f ca="1"/>
        <v>Poor</v>
      </c>
    </row>
    <row r="27" spans="3:5" x14ac:dyDescent="0.25">
      <c r="C27" t="str">
        <f ca="1"/>
        <v>Gangadutt Ragha</v>
      </c>
      <c r="D27" s="6">
        <f ca="1"/>
        <v>88050</v>
      </c>
      <c r="E27" t="str">
        <f ca="1"/>
        <v>Poor</v>
      </c>
    </row>
    <row r="28" spans="3:5" x14ac:dyDescent="0.25">
      <c r="C28" t="str">
        <f ca="1"/>
        <v>Merrilee Plenty</v>
      </c>
      <c r="D28" s="6">
        <f ca="1"/>
        <v>87620</v>
      </c>
      <c r="E28" t="str">
        <f ca="1"/>
        <v>Average</v>
      </c>
    </row>
    <row r="29" spans="3:5" x14ac:dyDescent="0.25">
      <c r="C29" t="str">
        <f ca="1"/>
        <v>Godavari Veena</v>
      </c>
      <c r="D29" s="6">
        <f ca="1"/>
        <v>87620</v>
      </c>
      <c r="E29" t="str">
        <f ca="1"/>
        <v>Average</v>
      </c>
    </row>
    <row r="30" spans="3:5" x14ac:dyDescent="0.25">
      <c r="C30" t="str">
        <f ca="1"/>
        <v>Agnes Collicott</v>
      </c>
      <c r="D30" s="6">
        <f ca="1"/>
        <v>83750</v>
      </c>
      <c r="E30" t="str">
        <f ca="1"/>
        <v>Average</v>
      </c>
    </row>
    <row r="31" spans="3:5" x14ac:dyDescent="0.25">
      <c r="C31" t="str">
        <f ca="1"/>
        <v>Kunja Prashanta Vibha</v>
      </c>
      <c r="D31" s="6">
        <f ca="1"/>
        <v>83750</v>
      </c>
      <c r="E31" t="str">
        <f ca="1"/>
        <v>Average</v>
      </c>
    </row>
    <row r="32" spans="3:5" x14ac:dyDescent="0.25">
      <c r="C32" t="str">
        <f ca="1"/>
        <v>Van Tuxwell</v>
      </c>
      <c r="D32" s="6">
        <f ca="1"/>
        <v>80700</v>
      </c>
      <c r="E32" t="str">
        <f ca="1"/>
        <v>Above average</v>
      </c>
    </row>
    <row r="33" spans="3:5" x14ac:dyDescent="0.25">
      <c r="C33" t="str">
        <f ca="1"/>
        <v>Bhuvan Pals</v>
      </c>
      <c r="D33" s="6">
        <f ca="1"/>
        <v>80700</v>
      </c>
      <c r="E33" t="str">
        <f ca="1"/>
        <v>Above average</v>
      </c>
    </row>
    <row r="34" spans="3:5" x14ac:dyDescent="0.25">
      <c r="C34" t="str">
        <f ca="1"/>
        <v>Camilla Castle</v>
      </c>
      <c r="D34">
        <f ca="1"/>
        <v>75480</v>
      </c>
      <c r="E34" t="str">
        <f ca="1"/>
        <v>Very poor</v>
      </c>
    </row>
    <row r="35" spans="3:5" x14ac:dyDescent="0.25">
      <c r="C35" t="str">
        <f ca="1"/>
        <v>Ayog Chakrabarti</v>
      </c>
      <c r="D35">
        <f ca="1"/>
        <v>75480</v>
      </c>
      <c r="E35" t="str">
        <f ca="1"/>
        <v>Very poor</v>
      </c>
    </row>
    <row r="36" spans="3:5" x14ac:dyDescent="0.25">
      <c r="C36" t="str">
        <f ca="1"/>
        <v>Elia Cockton</v>
      </c>
      <c r="D36">
        <f ca="1"/>
        <v>75280</v>
      </c>
      <c r="E36" t="str">
        <f ca="1"/>
        <v>Average</v>
      </c>
    </row>
    <row r="37" spans="3:5" x14ac:dyDescent="0.25">
      <c r="C37" t="str">
        <f ca="1"/>
        <v>Hemavati Muthiah</v>
      </c>
      <c r="D37">
        <f ca="1"/>
        <v>75280</v>
      </c>
      <c r="E37" t="str">
        <f ca="1"/>
        <v>Average</v>
      </c>
    </row>
    <row r="38" spans="3:5" x14ac:dyDescent="0.25">
      <c r="C38" t="str">
        <f ca="1"/>
        <v>Myer McCory</v>
      </c>
      <c r="D38">
        <f ca="1"/>
        <v>69710</v>
      </c>
      <c r="E38" t="str">
        <f ca="1"/>
        <v>Average</v>
      </c>
    </row>
    <row r="39" spans="3:5" x14ac:dyDescent="0.25">
      <c r="C39" t="str">
        <f ca="1"/>
        <v>Shekhar Eswara</v>
      </c>
      <c r="D39">
        <f ca="1"/>
        <v>69710</v>
      </c>
      <c r="E39" t="str">
        <f ca="1"/>
        <v>Average</v>
      </c>
    </row>
    <row r="40" spans="3:5" x14ac:dyDescent="0.25">
      <c r="C40" t="str">
        <f ca="1"/>
        <v>Andria Kimpton</v>
      </c>
      <c r="D40">
        <f ca="1"/>
        <v>69120</v>
      </c>
      <c r="E40" t="str">
        <f ca="1"/>
        <v>Average</v>
      </c>
    </row>
    <row r="41" spans="3:5" x14ac:dyDescent="0.25">
      <c r="C41" t="str">
        <f ca="1"/>
        <v>Rameshwari Chikodi</v>
      </c>
      <c r="D41">
        <f ca="1"/>
        <v>69120</v>
      </c>
      <c r="E41" t="str">
        <f ca="1"/>
        <v>Average</v>
      </c>
    </row>
    <row r="42" spans="3:5" x14ac:dyDescent="0.25">
      <c r="C42" t="str">
        <f ca="1"/>
        <v>Murry Dryburgh</v>
      </c>
      <c r="D42">
        <f ca="1"/>
        <v>69070</v>
      </c>
      <c r="E42" t="str">
        <f ca="1"/>
        <v>Average</v>
      </c>
    </row>
    <row r="43" spans="3:5" x14ac:dyDescent="0.25">
      <c r="C43" t="str">
        <f ca="1"/>
        <v>Jaishree Atasi Yavatkar</v>
      </c>
      <c r="D43">
        <f ca="1"/>
        <v>69070</v>
      </c>
      <c r="E43" t="str">
        <f ca="1"/>
        <v>Average</v>
      </c>
    </row>
    <row r="44" spans="3:5" x14ac:dyDescent="0.25">
      <c r="C44" t="str">
        <f ca="1"/>
        <v>Vic Radolf</v>
      </c>
      <c r="D44">
        <f ca="1"/>
        <v>62780</v>
      </c>
      <c r="E44" t="str">
        <f ca="1"/>
        <v>Average</v>
      </c>
    </row>
    <row r="45" spans="3:5" x14ac:dyDescent="0.25">
      <c r="C45" t="str">
        <f ca="1"/>
        <v>Fullara Sushanti Mokate</v>
      </c>
      <c r="D45">
        <f ca="1"/>
        <v>62780</v>
      </c>
      <c r="E45" t="str">
        <f ca="1"/>
        <v>Average</v>
      </c>
    </row>
    <row r="46" spans="3:5" x14ac:dyDescent="0.25">
      <c r="C46" t="str">
        <f ca="1"/>
        <v>Brien Boise</v>
      </c>
      <c r="D46">
        <f ca="1"/>
        <v>58100</v>
      </c>
      <c r="E46" t="str">
        <f ca="1"/>
        <v>Average</v>
      </c>
    </row>
    <row r="47" spans="3:5" x14ac:dyDescent="0.25">
      <c r="C47" t="str">
        <f ca="1"/>
        <v>Pratigya Rema</v>
      </c>
      <c r="D47">
        <f ca="1"/>
        <v>58100</v>
      </c>
      <c r="E47" t="str">
        <f ca="1"/>
        <v>Average</v>
      </c>
    </row>
    <row r="48" spans="3:5" x14ac:dyDescent="0.25">
      <c r="C48" t="str">
        <f ca="1"/>
        <v>William Reeveley</v>
      </c>
      <c r="D48">
        <f ca="1"/>
        <v>53870</v>
      </c>
      <c r="E48" t="str">
        <f ca="1"/>
        <v>Average</v>
      </c>
    </row>
    <row r="49" spans="3:5" x14ac:dyDescent="0.25">
      <c r="C49" t="str">
        <f ca="1"/>
        <v>Pragya Nilufar</v>
      </c>
      <c r="D49">
        <f ca="1"/>
        <v>53870</v>
      </c>
      <c r="E49" t="str">
        <f ca="1"/>
        <v>Average</v>
      </c>
    </row>
    <row r="50" spans="3:5" x14ac:dyDescent="0.25">
      <c r="C50" t="str">
        <f ca="1"/>
        <v>Gunar Cockshoot</v>
      </c>
      <c r="D50">
        <f ca="1"/>
        <v>48950</v>
      </c>
      <c r="E50" t="str">
        <f ca="1"/>
        <v>Average</v>
      </c>
    </row>
    <row r="51" spans="3:5" x14ac:dyDescent="0.25">
      <c r="C51" t="str">
        <f ca="1"/>
        <v>Amal Nimesh</v>
      </c>
      <c r="D51">
        <f ca="1"/>
        <v>48950</v>
      </c>
      <c r="E51" t="str">
        <f ca="1"/>
        <v>Average</v>
      </c>
    </row>
    <row r="52" spans="3:5" x14ac:dyDescent="0.25">
      <c r="C52" t="str">
        <f ca="1"/>
        <v>Kassi Jonson</v>
      </c>
      <c r="D52">
        <f ca="1"/>
        <v>43840</v>
      </c>
      <c r="E52" t="str">
        <f ca="1"/>
        <v>Above average</v>
      </c>
    </row>
    <row r="53" spans="3:5" x14ac:dyDescent="0.25">
      <c r="C53" t="str">
        <f ca="1"/>
        <v>Yagna Sujeev</v>
      </c>
      <c r="D53">
        <f ca="1"/>
        <v>43840</v>
      </c>
      <c r="E53" t="str">
        <f ca="1"/>
        <v>Above average</v>
      </c>
    </row>
    <row r="54" spans="3:5" x14ac:dyDescent="0.25">
      <c r="C54" t="str">
        <f ca="1"/>
        <v>Dotty Strutley</v>
      </c>
      <c r="D54">
        <f ca="1"/>
        <v>41980</v>
      </c>
      <c r="E54" t="str">
        <f ca="1"/>
        <v>Average</v>
      </c>
    </row>
    <row r="55" spans="3:5" x14ac:dyDescent="0.25">
      <c r="C55" t="str">
        <f ca="1"/>
        <v>Jagajeet Viraj</v>
      </c>
      <c r="D55">
        <f ca="1"/>
        <v>41980</v>
      </c>
      <c r="E55" t="str">
        <f ca="1"/>
        <v>Average</v>
      </c>
    </row>
    <row r="56" spans="3:5" x14ac:dyDescent="0.25">
      <c r="C56" t="str">
        <f ca="1"/>
        <v>Niall Selesnick</v>
      </c>
      <c r="D56">
        <f ca="1"/>
        <v>34980</v>
      </c>
      <c r="E56" t="str">
        <f ca="1"/>
        <v>Average</v>
      </c>
    </row>
    <row r="57" spans="3:5" x14ac:dyDescent="0.25">
      <c r="C57" t="str">
        <f ca="1"/>
        <v>Suchira Bhanupriya Tapti</v>
      </c>
      <c r="D57">
        <f ca="1"/>
        <v>34980</v>
      </c>
      <c r="E57" t="str">
        <f ca="1"/>
        <v>Average</v>
      </c>
    </row>
    <row r="58" spans="3:5" x14ac:dyDescent="0.25">
      <c r="C58" t="str">
        <f ca="1"/>
        <v>Gretchen Callow</v>
      </c>
      <c r="D58">
        <f ca="1"/>
        <v>33920</v>
      </c>
      <c r="E58" t="str">
        <f ca="1"/>
        <v>Average</v>
      </c>
    </row>
    <row r="59" spans="3:5" x14ac:dyDescent="0.25">
      <c r="C59" t="str">
        <f ca="1"/>
        <v>Shubhra Potla</v>
      </c>
      <c r="D59">
        <f ca="1"/>
        <v>33920</v>
      </c>
      <c r="E59" t="str">
        <f ca="1"/>
        <v>Average</v>
      </c>
    </row>
  </sheetData>
  <mergeCells count="1">
    <mergeCell ref="C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CA1AA-7A35-4A1E-BBB1-69FCD7232CD3}">
  <sheetPr>
    <tabColor rgb="FF002060"/>
  </sheetPr>
  <dimension ref="C3:E11"/>
  <sheetViews>
    <sheetView workbookViewId="0">
      <selection activeCell="F18" sqref="F18"/>
    </sheetView>
  </sheetViews>
  <sheetFormatPr defaultRowHeight="15" x14ac:dyDescent="0.25"/>
  <cols>
    <col min="3" max="3" width="17.5703125" bestFit="1" customWidth="1"/>
    <col min="4" max="4" width="16.28515625" bestFit="1" customWidth="1"/>
    <col min="5" max="5" width="10.85546875" bestFit="1" customWidth="1"/>
    <col min="6" max="6" width="11.28515625" bestFit="1" customWidth="1"/>
    <col min="7" max="7" width="14.7109375" bestFit="1" customWidth="1"/>
    <col min="8" max="8" width="16.28515625" bestFit="1" customWidth="1"/>
    <col min="9" max="9" width="19.42578125" bestFit="1" customWidth="1"/>
    <col min="10" max="10" width="19.5703125" bestFit="1" customWidth="1"/>
    <col min="11" max="11" width="20.7109375" bestFit="1" customWidth="1"/>
    <col min="12" max="12" width="16" bestFit="1" customWidth="1"/>
    <col min="13" max="13" width="19.140625" bestFit="1" customWidth="1"/>
    <col min="14" max="14" width="13.7109375" bestFit="1" customWidth="1"/>
    <col min="15" max="15" width="16.85546875" bestFit="1" customWidth="1"/>
    <col min="16" max="16" width="14.7109375" bestFit="1" customWidth="1"/>
    <col min="17" max="17" width="18" bestFit="1" customWidth="1"/>
    <col min="18" max="18" width="21" bestFit="1" customWidth="1"/>
    <col min="19" max="19" width="24.140625" bestFit="1" customWidth="1"/>
    <col min="20" max="20" width="26.5703125" bestFit="1" customWidth="1"/>
    <col min="21" max="21" width="29.85546875" bestFit="1" customWidth="1"/>
    <col min="22" max="22" width="16.85546875" bestFit="1" customWidth="1"/>
    <col min="23" max="23" width="20" bestFit="1" customWidth="1"/>
    <col min="24" max="24" width="23.42578125" bestFit="1" customWidth="1"/>
    <col min="25" max="25" width="26.5703125" bestFit="1" customWidth="1"/>
    <col min="26" max="26" width="31.140625" bestFit="1" customWidth="1"/>
    <col min="27" max="27" width="34.42578125" bestFit="1" customWidth="1"/>
    <col min="28" max="28" width="19.42578125" bestFit="1" customWidth="1"/>
    <col min="29" max="29" width="22.5703125" bestFit="1" customWidth="1"/>
    <col min="30" max="30" width="30.7109375" bestFit="1" customWidth="1"/>
    <col min="31" max="31" width="34" bestFit="1" customWidth="1"/>
    <col min="32" max="32" width="17.5703125" bestFit="1" customWidth="1"/>
    <col min="33" max="33" width="20.7109375" bestFit="1" customWidth="1"/>
    <col min="34" max="34" width="18" bestFit="1" customWidth="1"/>
    <col min="35" max="35" width="21.140625" bestFit="1" customWidth="1"/>
    <col min="36" max="36" width="21" bestFit="1" customWidth="1"/>
    <col min="37" max="37" width="24.140625" bestFit="1" customWidth="1"/>
    <col min="38" max="38" width="14.28515625" bestFit="1" customWidth="1"/>
    <col min="39" max="39" width="17.5703125" bestFit="1" customWidth="1"/>
    <col min="40" max="40" width="14.5703125" bestFit="1" customWidth="1"/>
    <col min="41" max="41" width="17.85546875" bestFit="1" customWidth="1"/>
    <col min="42" max="42" width="14.42578125" bestFit="1" customWidth="1"/>
    <col min="43" max="43" width="17.7109375" bestFit="1" customWidth="1"/>
    <col min="44" max="44" width="18.5703125" bestFit="1" customWidth="1"/>
    <col min="45" max="45" width="21.85546875" bestFit="1" customWidth="1"/>
    <col min="46" max="46" width="15.5703125" bestFit="1" customWidth="1"/>
    <col min="47" max="47" width="18.7109375" bestFit="1" customWidth="1"/>
    <col min="48" max="48" width="13.140625" bestFit="1" customWidth="1"/>
    <col min="49" max="49" width="16.28515625" bestFit="1" customWidth="1"/>
    <col min="50" max="50" width="16.5703125" bestFit="1" customWidth="1"/>
    <col min="51" max="51" width="19.7109375" bestFit="1" customWidth="1"/>
    <col min="52" max="52" width="13.42578125" bestFit="1" customWidth="1"/>
    <col min="53" max="53" width="16.5703125" bestFit="1" customWidth="1"/>
    <col min="54" max="54" width="10.7109375" bestFit="1" customWidth="1"/>
    <col min="55" max="55" width="13.85546875" bestFit="1" customWidth="1"/>
    <col min="56" max="56" width="12.85546875" bestFit="1" customWidth="1"/>
    <col min="57" max="57" width="16" bestFit="1" customWidth="1"/>
    <col min="58" max="58" width="15.42578125" bestFit="1" customWidth="1"/>
    <col min="59" max="59" width="18.5703125" bestFit="1" customWidth="1"/>
    <col min="60" max="60" width="14.5703125" bestFit="1" customWidth="1"/>
    <col min="61" max="61" width="17.85546875" bestFit="1" customWidth="1"/>
    <col min="62" max="62" width="27.42578125" bestFit="1" customWidth="1"/>
    <col min="63" max="63" width="30.5703125" bestFit="1" customWidth="1"/>
    <col min="64" max="64" width="15.7109375" bestFit="1" customWidth="1"/>
    <col min="65" max="65" width="18.85546875" bestFit="1" customWidth="1"/>
    <col min="66" max="66" width="14.42578125" bestFit="1" customWidth="1"/>
    <col min="67" max="67" width="17.7109375" bestFit="1" customWidth="1"/>
    <col min="68" max="68" width="15.42578125" bestFit="1" customWidth="1"/>
    <col min="69" max="69" width="18.5703125" bestFit="1" customWidth="1"/>
    <col min="70" max="70" width="14.28515625" bestFit="1" customWidth="1"/>
    <col min="71" max="71" width="17.5703125" bestFit="1" customWidth="1"/>
    <col min="72" max="72" width="20" bestFit="1" customWidth="1"/>
    <col min="73" max="73" width="23.140625" bestFit="1" customWidth="1"/>
    <col min="74" max="74" width="15.140625" bestFit="1" customWidth="1"/>
    <col min="75" max="75" width="18.28515625" bestFit="1" customWidth="1"/>
    <col min="76" max="76" width="15.85546875" bestFit="1" customWidth="1"/>
    <col min="77" max="77" width="19" bestFit="1" customWidth="1"/>
    <col min="78" max="78" width="27" bestFit="1" customWidth="1"/>
    <col min="79" max="79" width="30.28515625" bestFit="1" customWidth="1"/>
    <col min="80" max="80" width="16.140625" bestFit="1" customWidth="1"/>
    <col min="81" max="81" width="19.28515625" bestFit="1" customWidth="1"/>
    <col min="82" max="82" width="16.42578125" bestFit="1" customWidth="1"/>
    <col min="83" max="83" width="19.5703125" bestFit="1" customWidth="1"/>
    <col min="84" max="84" width="16.42578125" bestFit="1" customWidth="1"/>
    <col min="85" max="85" width="19.5703125" bestFit="1" customWidth="1"/>
    <col min="86" max="86" width="13.140625" bestFit="1" customWidth="1"/>
    <col min="87" max="87" width="16.28515625" bestFit="1" customWidth="1"/>
    <col min="88" max="88" width="21.7109375" bestFit="1" customWidth="1"/>
    <col min="89" max="89" width="24.85546875" bestFit="1" customWidth="1"/>
    <col min="90" max="90" width="24" bestFit="1" customWidth="1"/>
    <col min="91" max="91" width="27.140625" bestFit="1" customWidth="1"/>
    <col min="92" max="92" width="18.42578125" bestFit="1" customWidth="1"/>
    <col min="93" max="93" width="21.7109375" bestFit="1" customWidth="1"/>
    <col min="94" max="94" width="15.28515625" bestFit="1" customWidth="1"/>
    <col min="95" max="96" width="18.42578125" bestFit="1" customWidth="1"/>
    <col min="97" max="97" width="21.7109375" bestFit="1" customWidth="1"/>
    <col min="98" max="98" width="16" bestFit="1" customWidth="1"/>
    <col min="99" max="99" width="19.140625" bestFit="1" customWidth="1"/>
    <col min="100" max="100" width="18.5703125" bestFit="1" customWidth="1"/>
    <col min="101" max="101" width="21.85546875" bestFit="1" customWidth="1"/>
    <col min="102" max="102" width="13.5703125" bestFit="1" customWidth="1"/>
    <col min="103" max="103" width="16.7109375" bestFit="1" customWidth="1"/>
    <col min="104" max="104" width="15.5703125" bestFit="1" customWidth="1"/>
    <col min="105" max="105" width="18.7109375" bestFit="1" customWidth="1"/>
    <col min="106" max="106" width="14.5703125" bestFit="1" customWidth="1"/>
    <col min="107" max="107" width="17.85546875" bestFit="1" customWidth="1"/>
    <col min="108" max="108" width="19.85546875" bestFit="1" customWidth="1"/>
    <col min="109" max="109" width="23" bestFit="1" customWidth="1"/>
    <col min="110" max="110" width="15.5703125" bestFit="1" customWidth="1"/>
    <col min="111" max="111" width="18.7109375" bestFit="1" customWidth="1"/>
    <col min="112" max="112" width="15.5703125" bestFit="1" customWidth="1"/>
    <col min="113" max="113" width="18.7109375" bestFit="1" customWidth="1"/>
    <col min="114" max="114" width="24.5703125" bestFit="1" customWidth="1"/>
    <col min="115" max="115" width="27.7109375" bestFit="1" customWidth="1"/>
    <col min="116" max="116" width="18" bestFit="1" customWidth="1"/>
    <col min="117" max="117" width="21.140625" bestFit="1" customWidth="1"/>
    <col min="118" max="118" width="22.28515625" bestFit="1" customWidth="1"/>
    <col min="119" max="119" width="25.5703125" bestFit="1" customWidth="1"/>
    <col min="120" max="120" width="13.5703125" bestFit="1" customWidth="1"/>
    <col min="121" max="121" width="16.7109375" bestFit="1" customWidth="1"/>
    <col min="122" max="122" width="17.140625" bestFit="1" customWidth="1"/>
    <col min="123" max="123" width="20.28515625" bestFit="1" customWidth="1"/>
    <col min="124" max="124" width="14.5703125" bestFit="1" customWidth="1"/>
    <col min="125" max="125" width="17.85546875" bestFit="1" customWidth="1"/>
    <col min="126" max="126" width="17.7109375" bestFit="1" customWidth="1"/>
    <col min="127" max="127" width="20.85546875" bestFit="1" customWidth="1"/>
    <col min="128" max="128" width="17.42578125" bestFit="1" customWidth="1"/>
    <col min="129" max="129" width="20.5703125" bestFit="1" customWidth="1"/>
    <col min="130" max="130" width="18" bestFit="1" customWidth="1"/>
    <col min="131" max="131" width="21.140625" bestFit="1" customWidth="1"/>
    <col min="132" max="132" width="18" bestFit="1" customWidth="1"/>
    <col min="133" max="133" width="21.140625" bestFit="1" customWidth="1"/>
    <col min="134" max="134" width="17" bestFit="1" customWidth="1"/>
    <col min="135" max="135" width="20.140625" bestFit="1" customWidth="1"/>
    <col min="136" max="136" width="19.5703125" bestFit="1" customWidth="1"/>
    <col min="137" max="137" width="22.7109375" bestFit="1" customWidth="1"/>
    <col min="138" max="138" width="13.140625" bestFit="1" customWidth="1"/>
    <col min="139" max="139" width="16.28515625" bestFit="1" customWidth="1"/>
    <col min="140" max="140" width="12" bestFit="1" customWidth="1"/>
    <col min="141" max="141" width="15.140625" bestFit="1" customWidth="1"/>
    <col min="142" max="142" width="15.28515625" bestFit="1" customWidth="1"/>
    <col min="143" max="143" width="18.42578125" bestFit="1" customWidth="1"/>
    <col min="144" max="144" width="22.140625" bestFit="1" customWidth="1"/>
    <col min="145" max="145" width="25.28515625" bestFit="1" customWidth="1"/>
    <col min="146" max="146" width="14.5703125" bestFit="1" customWidth="1"/>
    <col min="147" max="147" width="17.85546875" bestFit="1" customWidth="1"/>
    <col min="148" max="148" width="23.28515625" bestFit="1" customWidth="1"/>
    <col min="149" max="149" width="26.42578125" bestFit="1" customWidth="1"/>
    <col min="150" max="150" width="15.85546875" bestFit="1" customWidth="1"/>
    <col min="151" max="151" width="19" bestFit="1" customWidth="1"/>
    <col min="152" max="152" width="21.42578125" bestFit="1" customWidth="1"/>
    <col min="153" max="153" width="24.5703125" bestFit="1" customWidth="1"/>
    <col min="154" max="154" width="14.7109375" bestFit="1" customWidth="1"/>
    <col min="155" max="155" width="18" bestFit="1" customWidth="1"/>
    <col min="156" max="156" width="23.42578125" bestFit="1" customWidth="1"/>
    <col min="157" max="157" width="26.5703125" bestFit="1" customWidth="1"/>
    <col min="158" max="158" width="14.28515625" bestFit="1" customWidth="1"/>
    <col min="159" max="159" width="17.5703125" bestFit="1" customWidth="1"/>
    <col min="160" max="160" width="17" bestFit="1" customWidth="1"/>
    <col min="161" max="161" width="20.140625" bestFit="1" customWidth="1"/>
    <col min="162" max="162" width="16.5703125" bestFit="1" customWidth="1"/>
    <col min="163" max="163" width="19.7109375" bestFit="1" customWidth="1"/>
    <col min="164" max="164" width="13.140625" bestFit="1" customWidth="1"/>
    <col min="165" max="165" width="16.28515625" bestFit="1" customWidth="1"/>
    <col min="166" max="166" width="23.42578125" bestFit="1" customWidth="1"/>
    <col min="167" max="167" width="26.5703125" bestFit="1" customWidth="1"/>
    <col min="168" max="168" width="23.28515625" bestFit="1" customWidth="1"/>
    <col min="169" max="169" width="26.42578125" bestFit="1" customWidth="1"/>
    <col min="170" max="170" width="17.5703125" bestFit="1" customWidth="1"/>
    <col min="171" max="171" width="20.7109375" bestFit="1" customWidth="1"/>
    <col min="172" max="172" width="18.28515625" bestFit="1" customWidth="1"/>
    <col min="173" max="173" width="21.5703125" bestFit="1" customWidth="1"/>
    <col min="174" max="174" width="20" bestFit="1" customWidth="1"/>
    <col min="175" max="175" width="23.140625" bestFit="1" customWidth="1"/>
    <col min="176" max="176" width="13.85546875" bestFit="1" customWidth="1"/>
    <col min="177" max="177" width="17" bestFit="1" customWidth="1"/>
    <col min="178" max="178" width="14" bestFit="1" customWidth="1"/>
    <col min="179" max="179" width="17.28515625" bestFit="1" customWidth="1"/>
    <col min="180" max="180" width="14.7109375" bestFit="1" customWidth="1"/>
    <col min="181" max="181" width="18" bestFit="1" customWidth="1"/>
    <col min="182" max="182" width="15.7109375" bestFit="1" customWidth="1"/>
    <col min="183" max="183" width="18.85546875" bestFit="1" customWidth="1"/>
    <col min="184" max="184" width="14.42578125" bestFit="1" customWidth="1"/>
    <col min="185" max="185" width="17.7109375" bestFit="1" customWidth="1"/>
    <col min="186" max="186" width="20.42578125" bestFit="1" customWidth="1"/>
    <col min="187" max="187" width="23.5703125" bestFit="1" customWidth="1"/>
    <col min="188" max="188" width="18.140625" bestFit="1" customWidth="1"/>
    <col min="189" max="189" width="21.42578125" bestFit="1" customWidth="1"/>
    <col min="190" max="190" width="22.28515625" bestFit="1" customWidth="1"/>
    <col min="191" max="191" width="25.5703125" bestFit="1" customWidth="1"/>
    <col min="192" max="192" width="18.140625" bestFit="1" customWidth="1"/>
    <col min="193" max="193" width="21.42578125" bestFit="1" customWidth="1"/>
    <col min="194" max="194" width="21.7109375" bestFit="1" customWidth="1"/>
    <col min="195" max="195" width="24.85546875" bestFit="1" customWidth="1"/>
    <col min="196" max="196" width="22.85546875" bestFit="1" customWidth="1"/>
    <col min="197" max="197" width="26.140625" bestFit="1" customWidth="1"/>
    <col min="198" max="198" width="13.42578125" bestFit="1" customWidth="1"/>
    <col min="199" max="199" width="16.5703125" bestFit="1" customWidth="1"/>
    <col min="200" max="200" width="15.28515625" bestFit="1" customWidth="1"/>
    <col min="201" max="201" width="18.42578125" bestFit="1" customWidth="1"/>
    <col min="202" max="202" width="14.28515625" bestFit="1" customWidth="1"/>
    <col min="203" max="203" width="17.5703125" bestFit="1" customWidth="1"/>
    <col min="204" max="204" width="14.140625" bestFit="1" customWidth="1"/>
    <col min="205" max="205" width="17.42578125" bestFit="1" customWidth="1"/>
    <col min="206" max="206" width="18.5703125" bestFit="1" customWidth="1"/>
    <col min="207" max="207" width="21.85546875" bestFit="1" customWidth="1"/>
    <col min="208" max="208" width="20.85546875" bestFit="1" customWidth="1"/>
    <col min="209" max="209" width="24" bestFit="1" customWidth="1"/>
    <col min="210" max="210" width="21.7109375" bestFit="1" customWidth="1"/>
    <col min="211" max="211" width="24.85546875" bestFit="1" customWidth="1"/>
    <col min="212" max="212" width="28.42578125" bestFit="1" customWidth="1"/>
    <col min="213" max="213" width="31.5703125" bestFit="1" customWidth="1"/>
    <col min="214" max="214" width="17" bestFit="1" customWidth="1"/>
    <col min="215" max="215" width="20.140625" bestFit="1" customWidth="1"/>
    <col min="216" max="216" width="22.28515625" bestFit="1" customWidth="1"/>
    <col min="217" max="217" width="25.5703125" bestFit="1" customWidth="1"/>
    <col min="218" max="218" width="16.85546875" bestFit="1" customWidth="1"/>
    <col min="219" max="219" width="20" bestFit="1" customWidth="1"/>
    <col min="220" max="220" width="17" bestFit="1" customWidth="1"/>
    <col min="221" max="221" width="20.140625" bestFit="1" customWidth="1"/>
    <col min="222" max="222" width="16.140625" bestFit="1" customWidth="1"/>
    <col min="223" max="223" width="19.28515625" bestFit="1" customWidth="1"/>
    <col min="224" max="224" width="20.85546875" bestFit="1" customWidth="1"/>
    <col min="225" max="225" width="24" bestFit="1" customWidth="1"/>
    <col min="226" max="226" width="17.5703125" bestFit="1" customWidth="1"/>
    <col min="227" max="227" width="20.7109375" bestFit="1" customWidth="1"/>
    <col min="228" max="228" width="17" bestFit="1" customWidth="1"/>
    <col min="229" max="229" width="20.140625" bestFit="1" customWidth="1"/>
    <col min="230" max="230" width="31.28515625" bestFit="1" customWidth="1"/>
    <col min="231" max="231" width="34.5703125" bestFit="1" customWidth="1"/>
    <col min="232" max="232" width="16.85546875" bestFit="1" customWidth="1"/>
    <col min="233" max="233" width="20" bestFit="1" customWidth="1"/>
    <col min="234" max="234" width="16.28515625" bestFit="1" customWidth="1"/>
    <col min="235" max="235" width="19.42578125" bestFit="1" customWidth="1"/>
    <col min="236" max="236" width="17" bestFit="1" customWidth="1"/>
    <col min="237" max="237" width="20.140625" bestFit="1" customWidth="1"/>
    <col min="238" max="238" width="15.42578125" bestFit="1" customWidth="1"/>
    <col min="239" max="239" width="18.5703125" bestFit="1" customWidth="1"/>
    <col min="240" max="240" width="14.7109375" bestFit="1" customWidth="1"/>
    <col min="241" max="241" width="18" bestFit="1" customWidth="1"/>
    <col min="242" max="242" width="14.140625" bestFit="1" customWidth="1"/>
    <col min="243" max="243" width="17.42578125" bestFit="1" customWidth="1"/>
    <col min="244" max="244" width="17.5703125" bestFit="1" customWidth="1"/>
    <col min="245" max="245" width="20.7109375" bestFit="1" customWidth="1"/>
    <col min="246" max="246" width="15.85546875" bestFit="1" customWidth="1"/>
    <col min="247" max="247" width="19" bestFit="1" customWidth="1"/>
    <col min="248" max="248" width="12.140625" bestFit="1" customWidth="1"/>
    <col min="249" max="249" width="15.28515625" bestFit="1" customWidth="1"/>
    <col min="250" max="250" width="12.7109375" bestFit="1" customWidth="1"/>
    <col min="251" max="251" width="15.85546875" bestFit="1" customWidth="1"/>
    <col min="252" max="252" width="13.28515625" bestFit="1" customWidth="1"/>
    <col min="253" max="253" width="16.42578125" bestFit="1" customWidth="1"/>
    <col min="254" max="254" width="19.5703125" bestFit="1" customWidth="1"/>
    <col min="255" max="255" width="22.7109375" bestFit="1" customWidth="1"/>
    <col min="256" max="256" width="15.42578125" bestFit="1" customWidth="1"/>
    <col min="257" max="257" width="18.5703125" bestFit="1" customWidth="1"/>
    <col min="258" max="258" width="15.5703125" bestFit="1" customWidth="1"/>
    <col min="259" max="259" width="18.7109375" bestFit="1" customWidth="1"/>
    <col min="260" max="260" width="16.5703125" bestFit="1" customWidth="1"/>
    <col min="261" max="261" width="19.7109375" bestFit="1" customWidth="1"/>
    <col min="262" max="262" width="23.85546875" bestFit="1" customWidth="1"/>
    <col min="263" max="263" width="27" bestFit="1" customWidth="1"/>
    <col min="264" max="264" width="19.85546875" bestFit="1" customWidth="1"/>
    <col min="265" max="265" width="23" bestFit="1" customWidth="1"/>
    <col min="266" max="266" width="21.140625" bestFit="1" customWidth="1"/>
    <col min="267" max="267" width="24.28515625" bestFit="1" customWidth="1"/>
    <col min="268" max="268" width="16.85546875" bestFit="1" customWidth="1"/>
    <col min="269" max="269" width="20" bestFit="1" customWidth="1"/>
    <col min="270" max="270" width="26" bestFit="1" customWidth="1"/>
    <col min="271" max="271" width="29.140625" bestFit="1" customWidth="1"/>
    <col min="272" max="272" width="18.140625" bestFit="1" customWidth="1"/>
    <col min="273" max="273" width="21.42578125" bestFit="1" customWidth="1"/>
    <col min="274" max="274" width="14.5703125" bestFit="1" customWidth="1"/>
    <col min="275" max="275" width="17.85546875" bestFit="1" customWidth="1"/>
    <col min="276" max="276" width="14.5703125" bestFit="1" customWidth="1"/>
    <col min="277" max="277" width="17.85546875" bestFit="1" customWidth="1"/>
    <col min="278" max="278" width="13.28515625" bestFit="1" customWidth="1"/>
    <col min="279" max="279" width="16.42578125" bestFit="1" customWidth="1"/>
    <col min="280" max="280" width="23.42578125" bestFit="1" customWidth="1"/>
    <col min="281" max="281" width="26.5703125" bestFit="1" customWidth="1"/>
    <col min="282" max="282" width="22" bestFit="1" customWidth="1"/>
    <col min="283" max="283" width="25.140625" bestFit="1" customWidth="1"/>
    <col min="284" max="284" width="24" bestFit="1" customWidth="1"/>
    <col min="285" max="285" width="27.140625" bestFit="1" customWidth="1"/>
    <col min="286" max="286" width="16.7109375" bestFit="1" customWidth="1"/>
    <col min="287" max="288" width="19.85546875" bestFit="1" customWidth="1"/>
    <col min="289" max="289" width="23" bestFit="1" customWidth="1"/>
    <col min="290" max="290" width="21.28515625" bestFit="1" customWidth="1"/>
    <col min="291" max="291" width="24.42578125" bestFit="1" customWidth="1"/>
    <col min="292" max="292" width="14" bestFit="1" customWidth="1"/>
    <col min="293" max="293" width="17.28515625" bestFit="1" customWidth="1"/>
    <col min="294" max="294" width="22.140625" bestFit="1" customWidth="1"/>
    <col min="295" max="295" width="25.28515625" bestFit="1" customWidth="1"/>
    <col min="296" max="296" width="17" bestFit="1" customWidth="1"/>
    <col min="297" max="297" width="20.140625" bestFit="1" customWidth="1"/>
    <col min="298" max="298" width="14.140625" bestFit="1" customWidth="1"/>
    <col min="299" max="299" width="17.42578125" bestFit="1" customWidth="1"/>
    <col min="300" max="300" width="16.140625" bestFit="1" customWidth="1"/>
    <col min="301" max="301" width="19.28515625" bestFit="1" customWidth="1"/>
    <col min="302" max="302" width="15.42578125" bestFit="1" customWidth="1"/>
    <col min="303" max="303" width="18.5703125" bestFit="1" customWidth="1"/>
    <col min="304" max="304" width="16.7109375" bestFit="1" customWidth="1"/>
    <col min="305" max="305" width="19.85546875" bestFit="1" customWidth="1"/>
    <col min="306" max="306" width="21.28515625" bestFit="1" customWidth="1"/>
    <col min="307" max="307" width="24.42578125" bestFit="1" customWidth="1"/>
    <col min="308" max="308" width="13.5703125" bestFit="1" customWidth="1"/>
    <col min="309" max="309" width="16.7109375" bestFit="1" customWidth="1"/>
    <col min="310" max="310" width="18.7109375" bestFit="1" customWidth="1"/>
    <col min="311" max="311" width="22" bestFit="1" customWidth="1"/>
    <col min="312" max="312" width="24" bestFit="1" customWidth="1"/>
    <col min="313" max="313" width="27.140625" bestFit="1" customWidth="1"/>
    <col min="314" max="314" width="15.28515625" bestFit="1" customWidth="1"/>
    <col min="315" max="315" width="18.42578125" bestFit="1" customWidth="1"/>
    <col min="316" max="316" width="31.85546875" bestFit="1" customWidth="1"/>
    <col min="317" max="317" width="35" bestFit="1" customWidth="1"/>
    <col min="318" max="318" width="14.42578125" bestFit="1" customWidth="1"/>
    <col min="319" max="319" width="17.7109375" bestFit="1" customWidth="1"/>
    <col min="320" max="320" width="17" bestFit="1" customWidth="1"/>
    <col min="321" max="321" width="20.140625" bestFit="1" customWidth="1"/>
    <col min="322" max="322" width="25" bestFit="1" customWidth="1"/>
    <col min="323" max="323" width="28.140625" bestFit="1" customWidth="1"/>
    <col min="324" max="324" width="21" bestFit="1" customWidth="1"/>
    <col min="325" max="325" width="24.140625" bestFit="1" customWidth="1"/>
    <col min="326" max="326" width="15.140625" bestFit="1" customWidth="1"/>
    <col min="327" max="327" width="18.28515625" bestFit="1" customWidth="1"/>
    <col min="328" max="328" width="13.28515625" bestFit="1" customWidth="1"/>
    <col min="329" max="329" width="16.42578125" bestFit="1" customWidth="1"/>
    <col min="330" max="330" width="15.28515625" bestFit="1" customWidth="1"/>
    <col min="331" max="331" width="18.42578125" bestFit="1" customWidth="1"/>
    <col min="332" max="332" width="16.140625" bestFit="1" customWidth="1"/>
    <col min="333" max="333" width="19.28515625" bestFit="1" customWidth="1"/>
    <col min="334" max="334" width="17" bestFit="1" customWidth="1"/>
    <col min="335" max="335" width="20.140625" bestFit="1" customWidth="1"/>
    <col min="336" max="336" width="13.42578125" bestFit="1" customWidth="1"/>
    <col min="337" max="337" width="16.5703125" bestFit="1" customWidth="1"/>
    <col min="338" max="338" width="14" bestFit="1" customWidth="1"/>
    <col min="339" max="339" width="17.28515625" bestFit="1" customWidth="1"/>
    <col min="340" max="340" width="16" bestFit="1" customWidth="1"/>
    <col min="341" max="342" width="19.140625" bestFit="1" customWidth="1"/>
    <col min="343" max="343" width="22.28515625" bestFit="1" customWidth="1"/>
    <col min="344" max="344" width="13.7109375" bestFit="1" customWidth="1"/>
    <col min="345" max="345" width="16.85546875" bestFit="1" customWidth="1"/>
    <col min="346" max="346" width="20.5703125" bestFit="1" customWidth="1"/>
    <col min="347" max="347" width="23.7109375" bestFit="1" customWidth="1"/>
    <col min="348" max="348" width="14" bestFit="1" customWidth="1"/>
    <col min="349" max="349" width="17.28515625" bestFit="1" customWidth="1"/>
    <col min="350" max="350" width="11.7109375" bestFit="1" customWidth="1"/>
    <col min="351" max="351" width="14.85546875" bestFit="1" customWidth="1"/>
    <col min="352" max="352" width="19.140625" bestFit="1" customWidth="1"/>
    <col min="353" max="353" width="22.28515625" bestFit="1" customWidth="1"/>
    <col min="354" max="354" width="20.5703125" bestFit="1" customWidth="1"/>
    <col min="355" max="355" width="23.7109375" bestFit="1" customWidth="1"/>
    <col min="356" max="356" width="20.42578125" bestFit="1" customWidth="1"/>
    <col min="357" max="357" width="23.5703125" bestFit="1" customWidth="1"/>
    <col min="358" max="358" width="20.28515625" bestFit="1" customWidth="1"/>
    <col min="359" max="359" width="23.42578125" bestFit="1" customWidth="1"/>
    <col min="360" max="360" width="18.7109375" bestFit="1" customWidth="1"/>
    <col min="361" max="361" width="22" bestFit="1" customWidth="1"/>
    <col min="362" max="362" width="16.140625" bestFit="1" customWidth="1"/>
    <col min="363" max="363" width="19.28515625" bestFit="1" customWidth="1"/>
    <col min="364" max="364" width="14.5703125" bestFit="1" customWidth="1"/>
    <col min="365" max="365" width="17.85546875" bestFit="1" customWidth="1"/>
    <col min="366" max="366" width="15.28515625" bestFit="1" customWidth="1"/>
    <col min="367" max="367" width="18.42578125" bestFit="1" customWidth="1"/>
    <col min="368" max="368" width="12.42578125" bestFit="1" customWidth="1"/>
    <col min="369" max="369" width="15.5703125" bestFit="1" customWidth="1"/>
    <col min="370" max="370" width="11.28515625" bestFit="1" customWidth="1"/>
  </cols>
  <sheetData>
    <row r="3" spans="3:5" x14ac:dyDescent="0.25">
      <c r="C3" s="39" t="s">
        <v>220</v>
      </c>
      <c r="D3" s="39"/>
      <c r="E3" s="39"/>
    </row>
    <row r="4" spans="3:5" x14ac:dyDescent="0.25">
      <c r="C4" s="40" t="s">
        <v>225</v>
      </c>
      <c r="D4" s="40"/>
      <c r="E4" s="40"/>
    </row>
    <row r="6" spans="3:5" x14ac:dyDescent="0.25">
      <c r="D6" s="29" t="s">
        <v>228</v>
      </c>
    </row>
    <row r="7" spans="3:5" x14ac:dyDescent="0.25">
      <c r="C7" s="29" t="s">
        <v>231</v>
      </c>
      <c r="D7" s="10" t="s">
        <v>8</v>
      </c>
      <c r="E7" s="10" t="s">
        <v>15</v>
      </c>
    </row>
    <row r="8" spans="3:5" x14ac:dyDescent="0.25">
      <c r="C8" s="13" t="s">
        <v>229</v>
      </c>
      <c r="D8" s="43">
        <v>43</v>
      </c>
      <c r="E8" s="43">
        <v>45</v>
      </c>
    </row>
    <row r="9" spans="3:5" x14ac:dyDescent="0.25">
      <c r="C9" s="13" t="s">
        <v>230</v>
      </c>
      <c r="D9" s="12">
        <v>31.418604651162791</v>
      </c>
      <c r="E9" s="12">
        <v>29.545454545454547</v>
      </c>
    </row>
    <row r="10" spans="3:5" x14ac:dyDescent="0.25">
      <c r="C10" s="13" t="s">
        <v>232</v>
      </c>
      <c r="D10" s="11">
        <v>78284.186046511633</v>
      </c>
      <c r="E10" s="11">
        <v>75334.444444444438</v>
      </c>
    </row>
    <row r="11" spans="3:5" x14ac:dyDescent="0.25">
      <c r="C11" s="13" t="s">
        <v>233</v>
      </c>
      <c r="D11" s="31">
        <v>3.1406817457789096</v>
      </c>
      <c r="E11" s="31">
        <v>3.1237138508371385</v>
      </c>
    </row>
  </sheetData>
  <mergeCells count="2">
    <mergeCell ref="C3:E3"/>
    <mergeCell ref="C4:E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13FE-3E3A-4072-9041-C93D4DBE8920}">
  <dimension ref="A1"/>
  <sheetViews>
    <sheetView workbookViewId="0">
      <selection activeCell="N33" sqref="N33"/>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BFCE-B4DC-4A48-8C42-F049D1E1AA22}">
  <sheetPr>
    <tabColor rgb="FF7030A0"/>
  </sheetPr>
  <dimension ref="B2:D15"/>
  <sheetViews>
    <sheetView workbookViewId="0">
      <selection activeCell="I30" sqref="I30"/>
    </sheetView>
  </sheetViews>
  <sheetFormatPr defaultRowHeight="15" x14ac:dyDescent="0.25"/>
  <cols>
    <col min="1" max="2" width="14.28515625" bestFit="1" customWidth="1"/>
    <col min="3" max="3" width="19" bestFit="1" customWidth="1"/>
    <col min="4" max="4" width="10" bestFit="1" customWidth="1"/>
    <col min="5" max="69" width="10.85546875" bestFit="1" customWidth="1"/>
    <col min="70" max="91" width="11.85546875" bestFit="1" customWidth="1"/>
    <col min="92" max="92" width="11.28515625" bestFit="1" customWidth="1"/>
  </cols>
  <sheetData>
    <row r="2" spans="2:4" x14ac:dyDescent="0.25">
      <c r="B2" s="29" t="s">
        <v>226</v>
      </c>
      <c r="C2" t="s">
        <v>209</v>
      </c>
      <c r="D2" s="32" t="s">
        <v>236</v>
      </c>
    </row>
    <row r="3" spans="2:4" x14ac:dyDescent="0.25">
      <c r="B3" s="30" t="s">
        <v>10</v>
      </c>
      <c r="C3">
        <v>4</v>
      </c>
      <c r="D3" s="32">
        <v>92080</v>
      </c>
    </row>
    <row r="4" spans="2:4" x14ac:dyDescent="0.25">
      <c r="B4" s="30" t="s">
        <v>13</v>
      </c>
      <c r="C4">
        <v>20</v>
      </c>
      <c r="D4" s="32">
        <v>75933</v>
      </c>
    </row>
    <row r="5" spans="2:4" x14ac:dyDescent="0.25">
      <c r="B5" s="30" t="s">
        <v>16</v>
      </c>
      <c r="C5">
        <v>137</v>
      </c>
      <c r="D5" s="32">
        <v>76798.759124087592</v>
      </c>
    </row>
    <row r="6" spans="2:4" x14ac:dyDescent="0.25">
      <c r="B6" s="30" t="s">
        <v>24</v>
      </c>
      <c r="C6">
        <v>16</v>
      </c>
      <c r="D6" s="32">
        <v>78115</v>
      </c>
    </row>
    <row r="7" spans="2:4" x14ac:dyDescent="0.25">
      <c r="B7" s="30" t="s">
        <v>42</v>
      </c>
      <c r="C7">
        <v>6</v>
      </c>
      <c r="D7" s="32">
        <v>77423.333333333328</v>
      </c>
    </row>
    <row r="8" spans="2:4" x14ac:dyDescent="0.25">
      <c r="B8" s="30" t="s">
        <v>227</v>
      </c>
      <c r="C8">
        <v>183</v>
      </c>
      <c r="D8" s="32">
        <v>77173.715846994543</v>
      </c>
    </row>
    <row r="11" spans="2:4" x14ac:dyDescent="0.25">
      <c r="B11" s="33" t="s">
        <v>10</v>
      </c>
      <c r="C11" s="21">
        <v>5</v>
      </c>
    </row>
    <row r="12" spans="2:4" x14ac:dyDescent="0.25">
      <c r="B12" s="33" t="s">
        <v>13</v>
      </c>
      <c r="C12" s="21">
        <v>4</v>
      </c>
    </row>
    <row r="13" spans="2:4" x14ac:dyDescent="0.25">
      <c r="B13" s="33" t="s">
        <v>16</v>
      </c>
      <c r="C13" s="21">
        <v>3</v>
      </c>
    </row>
    <row r="14" spans="2:4" x14ac:dyDescent="0.25">
      <c r="B14" s="33" t="s">
        <v>24</v>
      </c>
      <c r="C14" s="21">
        <v>2</v>
      </c>
    </row>
    <row r="15" spans="2:4" x14ac:dyDescent="0.25">
      <c r="B15" s="33" t="s">
        <v>42</v>
      </c>
      <c r="C15" s="21">
        <v>1</v>
      </c>
    </row>
  </sheetData>
  <conditionalFormatting pivot="1" sqref="D3:D7">
    <cfRule type="dataBar" priority="1">
      <dataBar>
        <cfvo type="min"/>
        <cfvo type="max"/>
        <color rgb="FF63C384"/>
      </dataBar>
      <extLst>
        <ext xmlns:x14="http://schemas.microsoft.com/office/spreadsheetml/2009/9/main" uri="{B025F937-C7B1-47D3-B67F-A62EFF666E3E}">
          <x14:id>{6C327E05-7ED6-4160-960B-94F8FCDADDCA}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C327E05-7ED6-4160-960B-94F8FCDADDCA}">
            <x14:dataBar minLength="0" maxLength="100" gradient="0">
              <x14:cfvo type="autoMin"/>
              <x14:cfvo type="autoMax"/>
              <x14:negativeFillColor rgb="FFFF0000"/>
              <x14:axisColor rgb="FF000000"/>
            </x14:dataBar>
          </x14:cfRule>
          <xm:sqref>D3:D7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0482-9873-47E3-90A3-0CFF0DDED1E6}">
  <dimension ref="B2:W39"/>
  <sheetViews>
    <sheetView workbookViewId="0">
      <selection activeCell="S3" sqref="S3"/>
    </sheetView>
  </sheetViews>
  <sheetFormatPr defaultRowHeight="15" x14ac:dyDescent="0.25"/>
  <cols>
    <col min="1" max="2" width="13.140625" bestFit="1" customWidth="1"/>
    <col min="3" max="3" width="14.42578125" bestFit="1" customWidth="1"/>
    <col min="7" max="7" width="7.42578125" bestFit="1" customWidth="1"/>
    <col min="8" max="8" width="10.5703125" bestFit="1" customWidth="1"/>
    <col min="9" max="9" width="13.28515625" bestFit="1" customWidth="1"/>
    <col min="18" max="18" width="6.85546875" customWidth="1"/>
    <col min="19" max="19" width="10.5703125" bestFit="1" customWidth="1"/>
    <col min="20" max="20" width="13.28515625" bestFit="1" customWidth="1"/>
  </cols>
  <sheetData>
    <row r="2" spans="2:23" x14ac:dyDescent="0.25">
      <c r="B2" s="29" t="s">
        <v>226</v>
      </c>
      <c r="C2" t="s">
        <v>229</v>
      </c>
      <c r="S2" s="34" t="s">
        <v>241</v>
      </c>
      <c r="T2" s="5" t="s">
        <v>242</v>
      </c>
      <c r="U2" s="5" t="s">
        <v>214</v>
      </c>
    </row>
    <row r="3" spans="2:23" x14ac:dyDescent="0.25">
      <c r="B3" s="30" t="s">
        <v>237</v>
      </c>
      <c r="R3" s="5" cm="1">
        <f t="array" ref="R3:R38">_xlfn.SEQUENCE(36)</f>
        <v>1</v>
      </c>
      <c r="S3" s="8" cm="1">
        <f t="array" ref="S3:S38">EDATE(DATE(2020,5,1),_xlfn.ANCHORARRAY(R3)+0)</f>
        <v>43983</v>
      </c>
      <c r="T3">
        <f>COUNTIFS(staff[Date Joined],"&gt;="&amp;S3,staff[Date Joined],"&lt;="&amp;EOMONTH(S3,0))</f>
        <v>1</v>
      </c>
      <c r="U3">
        <f>SUM($T$3:T3 )</f>
        <v>1</v>
      </c>
    </row>
    <row r="4" spans="2:23" x14ac:dyDescent="0.25">
      <c r="B4" s="35" t="s">
        <v>249</v>
      </c>
      <c r="C4">
        <v>3</v>
      </c>
      <c r="R4">
        <v>2</v>
      </c>
      <c r="S4" s="8">
        <v>44013</v>
      </c>
      <c r="T4">
        <f>COUNTIFS(staff[Date Joined],"&gt;="&amp;S4,staff[Date Joined],"&lt;="&amp;EOMONTH(S4,0))</f>
        <v>5</v>
      </c>
      <c r="U4">
        <f>SUM($T$3:T4 )</f>
        <v>6</v>
      </c>
    </row>
    <row r="5" spans="2:23" x14ac:dyDescent="0.25">
      <c r="B5" s="35" t="s">
        <v>250</v>
      </c>
      <c r="C5">
        <v>4</v>
      </c>
      <c r="R5">
        <v>3</v>
      </c>
      <c r="S5" s="8">
        <v>44044</v>
      </c>
      <c r="T5">
        <f>COUNTIFS(staff[Date Joined],"&gt;="&amp;S5,staff[Date Joined],"&lt;="&amp;EOMONTH(S5,0))</f>
        <v>3</v>
      </c>
      <c r="U5">
        <f>SUM($T$3:T5 )</f>
        <v>9</v>
      </c>
      <c r="W5" t="s">
        <v>222</v>
      </c>
    </row>
    <row r="6" spans="2:23" x14ac:dyDescent="0.25">
      <c r="B6" s="35" t="s">
        <v>251</v>
      </c>
      <c r="C6">
        <v>9</v>
      </c>
      <c r="R6">
        <v>4</v>
      </c>
      <c r="S6" s="8">
        <v>44075</v>
      </c>
      <c r="T6">
        <f>COUNTIFS(staff[Date Joined],"&gt;="&amp;S6,staff[Date Joined],"&lt;="&amp;EOMONTH(S6,0))</f>
        <v>6</v>
      </c>
      <c r="U6">
        <f>SUM($T$3:T6 )</f>
        <v>15</v>
      </c>
    </row>
    <row r="7" spans="2:23" x14ac:dyDescent="0.25">
      <c r="B7" s="35" t="s">
        <v>252</v>
      </c>
      <c r="C7">
        <v>12</v>
      </c>
      <c r="R7">
        <v>5</v>
      </c>
      <c r="S7" s="8">
        <v>44105</v>
      </c>
      <c r="T7">
        <f>COUNTIFS(staff[Date Joined],"&gt;="&amp;S7,staff[Date Joined],"&lt;="&amp;EOMONTH(S7,0))</f>
        <v>6</v>
      </c>
      <c r="U7">
        <f>SUM($T$3:T7 )</f>
        <v>21</v>
      </c>
    </row>
    <row r="8" spans="2:23" x14ac:dyDescent="0.25">
      <c r="B8" s="35" t="s">
        <v>253</v>
      </c>
      <c r="C8">
        <v>18</v>
      </c>
      <c r="R8">
        <v>6</v>
      </c>
      <c r="S8" s="8">
        <v>44136</v>
      </c>
      <c r="T8">
        <f>COUNTIFS(staff[Date Joined],"&gt;="&amp;S8,staff[Date Joined],"&lt;="&amp;EOMONTH(S8,0))</f>
        <v>6</v>
      </c>
      <c r="U8">
        <f>SUM($T$3:T8 )</f>
        <v>27</v>
      </c>
    </row>
    <row r="9" spans="2:23" x14ac:dyDescent="0.25">
      <c r="B9" s="35" t="s">
        <v>254</v>
      </c>
      <c r="C9">
        <v>24</v>
      </c>
      <c r="R9">
        <v>7</v>
      </c>
      <c r="S9" s="8">
        <v>44166</v>
      </c>
      <c r="T9">
        <f>COUNTIFS(staff[Date Joined],"&gt;="&amp;S9,staff[Date Joined],"&lt;="&amp;EOMONTH(S9,0))</f>
        <v>7</v>
      </c>
      <c r="U9">
        <f>SUM($T$3:T9 )</f>
        <v>34</v>
      </c>
    </row>
    <row r="10" spans="2:23" x14ac:dyDescent="0.25">
      <c r="B10" s="35" t="s">
        <v>255</v>
      </c>
      <c r="C10">
        <v>30</v>
      </c>
      <c r="R10">
        <v>8</v>
      </c>
      <c r="S10" s="8">
        <v>44197</v>
      </c>
      <c r="T10">
        <f>COUNTIFS(staff[Date Joined],"&gt;="&amp;S10,staff[Date Joined],"&lt;="&amp;EOMONTH(S10,0))</f>
        <v>6</v>
      </c>
      <c r="U10">
        <f>SUM($T$3:T10 )</f>
        <v>40</v>
      </c>
    </row>
    <row r="11" spans="2:23" x14ac:dyDescent="0.25">
      <c r="B11" s="35" t="s">
        <v>256</v>
      </c>
      <c r="C11">
        <v>37</v>
      </c>
      <c r="R11">
        <v>9</v>
      </c>
      <c r="S11" s="8">
        <v>44228</v>
      </c>
      <c r="T11">
        <f>COUNTIFS(staff[Date Joined],"&gt;="&amp;S11,staff[Date Joined],"&lt;="&amp;EOMONTH(S11,0))</f>
        <v>4</v>
      </c>
      <c r="U11">
        <f>SUM($T$3:T11 )</f>
        <v>44</v>
      </c>
    </row>
    <row r="12" spans="2:23" x14ac:dyDescent="0.25">
      <c r="B12" s="30" t="s">
        <v>238</v>
      </c>
      <c r="R12">
        <v>10</v>
      </c>
      <c r="S12" s="8">
        <v>44256</v>
      </c>
      <c r="T12">
        <f>COUNTIFS(staff[Date Joined],"&gt;="&amp;S12,staff[Date Joined],"&lt;="&amp;EOMONTH(S12,0))</f>
        <v>9</v>
      </c>
      <c r="U12">
        <f>SUM($T$3:T12 )</f>
        <v>53</v>
      </c>
    </row>
    <row r="13" spans="2:23" x14ac:dyDescent="0.25">
      <c r="B13" s="35" t="s">
        <v>247</v>
      </c>
      <c r="C13">
        <v>6</v>
      </c>
      <c r="R13">
        <v>11</v>
      </c>
      <c r="S13" s="8">
        <v>44287</v>
      </c>
      <c r="T13">
        <f>COUNTIFS(staff[Date Joined],"&gt;="&amp;S13,staff[Date Joined],"&lt;="&amp;EOMONTH(S13,0))</f>
        <v>5</v>
      </c>
      <c r="U13">
        <f>SUM($T$3:T13 )</f>
        <v>58</v>
      </c>
    </row>
    <row r="14" spans="2:23" x14ac:dyDescent="0.25">
      <c r="B14" s="35" t="s">
        <v>245</v>
      </c>
      <c r="C14">
        <v>10</v>
      </c>
      <c r="R14">
        <v>12</v>
      </c>
      <c r="S14" s="8">
        <v>44317</v>
      </c>
      <c r="T14">
        <f>COUNTIFS(staff[Date Joined],"&gt;="&amp;S14,staff[Date Joined],"&lt;="&amp;EOMONTH(S14,0))</f>
        <v>10</v>
      </c>
      <c r="U14">
        <f>SUM($T$3:T14 )</f>
        <v>68</v>
      </c>
    </row>
    <row r="15" spans="2:23" x14ac:dyDescent="0.25">
      <c r="B15" s="35" t="s">
        <v>248</v>
      </c>
      <c r="C15">
        <v>19</v>
      </c>
      <c r="R15">
        <v>13</v>
      </c>
      <c r="S15" s="8">
        <v>44348</v>
      </c>
      <c r="T15">
        <f>COUNTIFS(staff[Date Joined],"&gt;="&amp;S15,staff[Date Joined],"&lt;="&amp;EOMONTH(S15,0))</f>
        <v>6</v>
      </c>
      <c r="U15">
        <f>SUM($T$3:T15 )</f>
        <v>74</v>
      </c>
    </row>
    <row r="16" spans="2:23" x14ac:dyDescent="0.25">
      <c r="B16" s="35" t="s">
        <v>246</v>
      </c>
      <c r="C16">
        <v>24</v>
      </c>
      <c r="R16">
        <v>14</v>
      </c>
      <c r="S16" s="8">
        <v>44378</v>
      </c>
      <c r="T16">
        <f>COUNTIFS(staff[Date Joined],"&gt;="&amp;S16,staff[Date Joined],"&lt;="&amp;EOMONTH(S16,0))</f>
        <v>13</v>
      </c>
      <c r="U16">
        <f>SUM($T$3:T16 )</f>
        <v>87</v>
      </c>
    </row>
    <row r="17" spans="2:21" x14ac:dyDescent="0.25">
      <c r="B17" s="35" t="s">
        <v>249</v>
      </c>
      <c r="C17">
        <v>34</v>
      </c>
      <c r="R17">
        <v>15</v>
      </c>
      <c r="S17" s="8">
        <v>44409</v>
      </c>
      <c r="T17">
        <f>COUNTIFS(staff[Date Joined],"&gt;="&amp;S17,staff[Date Joined],"&lt;="&amp;EOMONTH(S17,0))</f>
        <v>4</v>
      </c>
      <c r="U17">
        <f>SUM($T$3:T17 )</f>
        <v>91</v>
      </c>
    </row>
    <row r="18" spans="2:21" x14ac:dyDescent="0.25">
      <c r="B18" s="35" t="s">
        <v>250</v>
      </c>
      <c r="C18">
        <v>40</v>
      </c>
      <c r="R18">
        <v>16</v>
      </c>
      <c r="S18" s="8">
        <v>44440</v>
      </c>
      <c r="T18">
        <f>COUNTIFS(staff[Date Joined],"&gt;="&amp;S18,staff[Date Joined],"&lt;="&amp;EOMONTH(S18,0))</f>
        <v>11</v>
      </c>
      <c r="U18">
        <f>SUM($T$3:T18 )</f>
        <v>102</v>
      </c>
    </row>
    <row r="19" spans="2:21" x14ac:dyDescent="0.25">
      <c r="B19" s="35" t="s">
        <v>251</v>
      </c>
      <c r="C19">
        <v>53</v>
      </c>
      <c r="R19">
        <v>17</v>
      </c>
      <c r="S19" s="8">
        <v>44470</v>
      </c>
      <c r="T19">
        <f>COUNTIFS(staff[Date Joined],"&gt;="&amp;S19,staff[Date Joined],"&lt;="&amp;EOMONTH(S19,0))</f>
        <v>3</v>
      </c>
      <c r="U19">
        <f>SUM($T$3:T19 )</f>
        <v>105</v>
      </c>
    </row>
    <row r="20" spans="2:21" x14ac:dyDescent="0.25">
      <c r="B20" s="35" t="s">
        <v>252</v>
      </c>
      <c r="C20">
        <v>57</v>
      </c>
      <c r="R20">
        <v>18</v>
      </c>
      <c r="S20" s="8">
        <v>44501</v>
      </c>
      <c r="T20">
        <f>COUNTIFS(staff[Date Joined],"&gt;="&amp;S20,staff[Date Joined],"&lt;="&amp;EOMONTH(S20,0))</f>
        <v>4</v>
      </c>
      <c r="U20">
        <f>SUM($T$3:T20 )</f>
        <v>109</v>
      </c>
    </row>
    <row r="21" spans="2:21" x14ac:dyDescent="0.25">
      <c r="B21" s="35" t="s">
        <v>253</v>
      </c>
      <c r="C21">
        <v>68</v>
      </c>
      <c r="R21">
        <v>19</v>
      </c>
      <c r="S21" s="8">
        <v>44531</v>
      </c>
      <c r="T21">
        <f>COUNTIFS(staff[Date Joined],"&gt;="&amp;S21,staff[Date Joined],"&lt;="&amp;EOMONTH(S21,0))</f>
        <v>7</v>
      </c>
      <c r="U21">
        <f>SUM($T$3:T21 )</f>
        <v>116</v>
      </c>
    </row>
    <row r="22" spans="2:21" x14ac:dyDescent="0.25">
      <c r="B22" s="35" t="s">
        <v>254</v>
      </c>
      <c r="C22">
        <v>71</v>
      </c>
      <c r="R22">
        <v>20</v>
      </c>
      <c r="S22" s="8">
        <v>44562</v>
      </c>
      <c r="T22">
        <f>COUNTIFS(staff[Date Joined],"&gt;="&amp;S22,staff[Date Joined],"&lt;="&amp;EOMONTH(S22,0))</f>
        <v>3</v>
      </c>
      <c r="U22">
        <f>SUM($T$3:T22 )</f>
        <v>119</v>
      </c>
    </row>
    <row r="23" spans="2:21" x14ac:dyDescent="0.25">
      <c r="B23" s="35" t="s">
        <v>255</v>
      </c>
      <c r="C23">
        <v>75</v>
      </c>
      <c r="R23">
        <v>21</v>
      </c>
      <c r="S23" s="8">
        <v>44593</v>
      </c>
      <c r="T23">
        <f>COUNTIFS(staff[Date Joined],"&gt;="&amp;S23,staff[Date Joined],"&lt;="&amp;EOMONTH(S23,0))</f>
        <v>10</v>
      </c>
      <c r="U23">
        <f>SUM($T$3:T23 )</f>
        <v>129</v>
      </c>
    </row>
    <row r="24" spans="2:21" x14ac:dyDescent="0.25">
      <c r="B24" s="35" t="s">
        <v>256</v>
      </c>
      <c r="C24">
        <v>82</v>
      </c>
      <c r="R24">
        <v>22</v>
      </c>
      <c r="S24" s="8">
        <v>44621</v>
      </c>
      <c r="T24">
        <f>COUNTIFS(staff[Date Joined],"&gt;="&amp;S24,staff[Date Joined],"&lt;="&amp;EOMONTH(S24,0))</f>
        <v>9</v>
      </c>
      <c r="U24">
        <f>SUM($T$3:T24 )</f>
        <v>138</v>
      </c>
    </row>
    <row r="25" spans="2:21" x14ac:dyDescent="0.25">
      <c r="B25" s="30" t="s">
        <v>239</v>
      </c>
      <c r="R25">
        <v>23</v>
      </c>
      <c r="S25" s="8">
        <v>44652</v>
      </c>
      <c r="T25">
        <f>COUNTIFS(staff[Date Joined],"&gt;="&amp;S25,staff[Date Joined],"&lt;="&amp;EOMONTH(S25,0))</f>
        <v>9</v>
      </c>
      <c r="U25">
        <f>SUM($T$3:T25 )</f>
        <v>147</v>
      </c>
    </row>
    <row r="26" spans="2:21" x14ac:dyDescent="0.25">
      <c r="B26" s="35" t="s">
        <v>247</v>
      </c>
      <c r="C26">
        <v>3</v>
      </c>
      <c r="R26">
        <v>24</v>
      </c>
      <c r="S26" s="8">
        <v>44682</v>
      </c>
      <c r="T26">
        <f>COUNTIFS(staff[Date Joined],"&gt;="&amp;S26,staff[Date Joined],"&lt;="&amp;EOMONTH(S26,0))</f>
        <v>9</v>
      </c>
      <c r="U26">
        <f>SUM($T$3:T26 )</f>
        <v>156</v>
      </c>
    </row>
    <row r="27" spans="2:21" x14ac:dyDescent="0.25">
      <c r="B27" s="35" t="s">
        <v>245</v>
      </c>
      <c r="C27">
        <v>13</v>
      </c>
      <c r="R27">
        <v>25</v>
      </c>
      <c r="S27" s="8">
        <v>44713</v>
      </c>
      <c r="T27">
        <f>COUNTIFS(staff[Date Joined],"&gt;="&amp;S27,staff[Date Joined],"&lt;="&amp;EOMONTH(S27,0))</f>
        <v>7</v>
      </c>
      <c r="U27">
        <f>SUM($T$3:T27 )</f>
        <v>163</v>
      </c>
    </row>
    <row r="28" spans="2:21" x14ac:dyDescent="0.25">
      <c r="B28" s="35" t="s">
        <v>248</v>
      </c>
      <c r="C28">
        <v>22</v>
      </c>
      <c r="R28">
        <v>26</v>
      </c>
      <c r="S28" s="8">
        <v>44743</v>
      </c>
      <c r="T28">
        <f>COUNTIFS(staff[Date Joined],"&gt;="&amp;S28,staff[Date Joined],"&lt;="&amp;EOMONTH(S28,0))</f>
        <v>5</v>
      </c>
      <c r="U28">
        <f>SUM($T$3:T28 )</f>
        <v>168</v>
      </c>
    </row>
    <row r="29" spans="2:21" x14ac:dyDescent="0.25">
      <c r="B29" s="35" t="s">
        <v>246</v>
      </c>
      <c r="C29">
        <v>31</v>
      </c>
      <c r="R29">
        <v>27</v>
      </c>
      <c r="S29" s="8">
        <v>44774</v>
      </c>
      <c r="T29">
        <f>COUNTIFS(staff[Date Joined],"&gt;="&amp;S29,staff[Date Joined],"&lt;="&amp;EOMONTH(S29,0))</f>
        <v>5</v>
      </c>
      <c r="U29">
        <f>SUM($T$3:T29 )</f>
        <v>173</v>
      </c>
    </row>
    <row r="30" spans="2:21" x14ac:dyDescent="0.25">
      <c r="B30" s="35" t="s">
        <v>249</v>
      </c>
      <c r="C30">
        <v>40</v>
      </c>
      <c r="R30">
        <v>28</v>
      </c>
      <c r="S30" s="8">
        <v>44805</v>
      </c>
      <c r="T30">
        <f>COUNTIFS(staff[Date Joined],"&gt;="&amp;S30,staff[Date Joined],"&lt;="&amp;EOMONTH(S30,0))</f>
        <v>2</v>
      </c>
      <c r="U30">
        <f>SUM($T$3:T30 )</f>
        <v>175</v>
      </c>
    </row>
    <row r="31" spans="2:21" x14ac:dyDescent="0.25">
      <c r="B31" s="35" t="s">
        <v>250</v>
      </c>
      <c r="C31">
        <v>47</v>
      </c>
      <c r="R31">
        <v>29</v>
      </c>
      <c r="S31" s="8">
        <v>44835</v>
      </c>
      <c r="T31">
        <f>COUNTIFS(staff[Date Joined],"&gt;="&amp;S31,staff[Date Joined],"&lt;="&amp;EOMONTH(S31,0))</f>
        <v>3</v>
      </c>
      <c r="U31">
        <f>SUM($T$3:T31 )</f>
        <v>178</v>
      </c>
    </row>
    <row r="32" spans="2:21" x14ac:dyDescent="0.25">
      <c r="B32" s="35" t="s">
        <v>251</v>
      </c>
      <c r="C32">
        <v>52</v>
      </c>
      <c r="R32">
        <v>30</v>
      </c>
      <c r="S32" s="8">
        <v>44866</v>
      </c>
      <c r="T32">
        <f>COUNTIFS(staff[Date Joined],"&gt;="&amp;S32,staff[Date Joined],"&lt;="&amp;EOMONTH(S32,0))</f>
        <v>0</v>
      </c>
      <c r="U32">
        <f>SUM($T$3:T32 )</f>
        <v>178</v>
      </c>
    </row>
    <row r="33" spans="2:21" x14ac:dyDescent="0.25">
      <c r="B33" s="35" t="s">
        <v>252</v>
      </c>
      <c r="C33">
        <v>57</v>
      </c>
      <c r="R33">
        <v>31</v>
      </c>
      <c r="S33" s="8">
        <v>44896</v>
      </c>
      <c r="T33">
        <f>COUNTIFS(staff[Date Joined],"&gt;="&amp;S33,staff[Date Joined],"&lt;="&amp;EOMONTH(S33,0))</f>
        <v>0</v>
      </c>
      <c r="U33">
        <f>SUM($T$3:T33 )</f>
        <v>178</v>
      </c>
    </row>
    <row r="34" spans="2:21" x14ac:dyDescent="0.25">
      <c r="B34" s="35" t="s">
        <v>253</v>
      </c>
      <c r="C34">
        <v>59</v>
      </c>
      <c r="R34">
        <v>32</v>
      </c>
      <c r="S34" s="8">
        <v>44927</v>
      </c>
      <c r="T34">
        <f>COUNTIFS(staff[Date Joined],"&gt;="&amp;S34,staff[Date Joined],"&lt;="&amp;EOMONTH(S34,0))</f>
        <v>0</v>
      </c>
      <c r="U34">
        <f>SUM($T$3:T34 )</f>
        <v>178</v>
      </c>
    </row>
    <row r="35" spans="2:21" x14ac:dyDescent="0.25">
      <c r="B35" s="35" t="s">
        <v>254</v>
      </c>
      <c r="C35">
        <v>62</v>
      </c>
      <c r="R35">
        <v>33</v>
      </c>
      <c r="S35" s="8">
        <v>44958</v>
      </c>
      <c r="T35">
        <f>COUNTIFS(staff[Date Joined],"&gt;="&amp;S35,staff[Date Joined],"&lt;="&amp;EOMONTH(S35,0))</f>
        <v>1</v>
      </c>
      <c r="U35">
        <f>SUM($T$3:T35 )</f>
        <v>179</v>
      </c>
    </row>
    <row r="36" spans="2:21" x14ac:dyDescent="0.25">
      <c r="B36" s="30" t="s">
        <v>240</v>
      </c>
      <c r="R36">
        <v>34</v>
      </c>
      <c r="S36" s="8">
        <v>44986</v>
      </c>
      <c r="T36">
        <f>COUNTIFS(staff[Date Joined],"&gt;="&amp;S36,staff[Date Joined],"&lt;="&amp;EOMONTH(S36,0))</f>
        <v>0</v>
      </c>
      <c r="U36">
        <f>SUM($T$3:T36 )</f>
        <v>179</v>
      </c>
    </row>
    <row r="37" spans="2:21" x14ac:dyDescent="0.25">
      <c r="B37" s="35" t="s">
        <v>245</v>
      </c>
      <c r="C37">
        <v>1</v>
      </c>
      <c r="R37">
        <v>35</v>
      </c>
      <c r="S37" s="8">
        <v>45017</v>
      </c>
      <c r="T37">
        <f>COUNTIFS(staff[Date Joined],"&gt;="&amp;S37,staff[Date Joined],"&lt;="&amp;EOMONTH(S37,0))</f>
        <v>1</v>
      </c>
      <c r="U37">
        <f>SUM($T$3:T37 )</f>
        <v>180</v>
      </c>
    </row>
    <row r="38" spans="2:21" x14ac:dyDescent="0.25">
      <c r="B38" s="35" t="s">
        <v>246</v>
      </c>
      <c r="C38">
        <v>2</v>
      </c>
      <c r="R38">
        <v>36</v>
      </c>
      <c r="S38" s="8">
        <v>45047</v>
      </c>
      <c r="T38">
        <f>COUNTIFS(staff[Date Joined],"&gt;="&amp;S38,staff[Date Joined],"&lt;="&amp;EOMONTH(S38,0))</f>
        <v>0</v>
      </c>
      <c r="U38">
        <f>SUM($T$3:T38 )</f>
        <v>180</v>
      </c>
    </row>
    <row r="39" spans="2:21" x14ac:dyDescent="0.25">
      <c r="B39" s="30" t="s">
        <v>227</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131CFA-EC12-4E69-A66E-D53083E0CC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nz_staff</vt:lpstr>
      <vt:lpstr>India Staff</vt:lpstr>
      <vt:lpstr>staff (2)</vt:lpstr>
      <vt:lpstr>All Staff</vt:lpstr>
      <vt:lpstr>Info Finder v2.0</vt:lpstr>
      <vt:lpstr>Male vs. Female</vt:lpstr>
      <vt:lpstr>Salary Spread</vt:lpstr>
      <vt:lpstr>Salary vs. Rating</vt:lpstr>
      <vt:lpstr>Employee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Deandra Carr</cp:lastModifiedBy>
  <dcterms:created xsi:type="dcterms:W3CDTF">2021-03-14T20:21:32Z</dcterms:created>
  <dcterms:modified xsi:type="dcterms:W3CDTF">2024-09-17T02:48:04Z</dcterms:modified>
</cp:coreProperties>
</file>