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6" i="1" l="1"/>
  <c r="L56" i="1"/>
  <c r="P56" i="1" s="1"/>
  <c r="I56" i="1"/>
  <c r="F56" i="1"/>
  <c r="N55" i="1"/>
  <c r="L55" i="1"/>
  <c r="P55" i="1" s="1"/>
  <c r="I55" i="1"/>
  <c r="F55" i="1"/>
  <c r="P54" i="1"/>
  <c r="N54" i="1"/>
  <c r="L54" i="1"/>
  <c r="I54" i="1"/>
  <c r="F54" i="1"/>
  <c r="N53" i="1"/>
  <c r="P53" i="1" s="1"/>
  <c r="L53" i="1"/>
  <c r="I53" i="1"/>
  <c r="F53" i="1"/>
  <c r="N52" i="1"/>
  <c r="L52" i="1"/>
  <c r="P52" i="1" s="1"/>
  <c r="I52" i="1"/>
  <c r="F52" i="1"/>
  <c r="N51" i="1"/>
  <c r="L51" i="1"/>
  <c r="P51" i="1" s="1"/>
  <c r="I51" i="1"/>
  <c r="F51" i="1"/>
  <c r="N50" i="1"/>
  <c r="L50" i="1"/>
  <c r="P50" i="1" s="1"/>
  <c r="I50" i="1"/>
  <c r="F50" i="1"/>
  <c r="N49" i="1"/>
  <c r="L49" i="1"/>
  <c r="P49" i="1" s="1"/>
  <c r="I49" i="1"/>
  <c r="F49" i="1"/>
  <c r="P48" i="1"/>
  <c r="N48" i="1"/>
  <c r="L48" i="1"/>
  <c r="I48" i="1"/>
  <c r="F48" i="1"/>
  <c r="N47" i="1"/>
  <c r="P47" i="1" s="1"/>
  <c r="L47" i="1"/>
  <c r="I47" i="1"/>
  <c r="F47" i="1"/>
  <c r="N46" i="1"/>
  <c r="M46" i="1"/>
  <c r="P46" i="1" s="1"/>
  <c r="L46" i="1"/>
  <c r="I46" i="1"/>
  <c r="F46" i="1"/>
  <c r="N45" i="1"/>
  <c r="L45" i="1"/>
  <c r="P45" i="1" s="1"/>
  <c r="I45" i="1"/>
  <c r="F45" i="1"/>
  <c r="M44" i="1"/>
  <c r="P44" i="1" s="1"/>
  <c r="L44" i="1"/>
  <c r="I44" i="1"/>
  <c r="F44" i="1"/>
  <c r="N43" i="1"/>
  <c r="L43" i="1"/>
  <c r="P43" i="1" s="1"/>
  <c r="I43" i="1"/>
  <c r="F43" i="1"/>
  <c r="N42" i="1"/>
  <c r="L42" i="1"/>
  <c r="P42" i="1" s="1"/>
  <c r="I42" i="1"/>
  <c r="F42" i="1"/>
  <c r="P41" i="1"/>
  <c r="N41" i="1"/>
  <c r="L41" i="1"/>
  <c r="I41" i="1"/>
  <c r="F41" i="1"/>
  <c r="N40" i="1"/>
  <c r="P40" i="1" s="1"/>
  <c r="L40" i="1"/>
  <c r="I40" i="1"/>
  <c r="F40" i="1"/>
  <c r="N39" i="1"/>
  <c r="L39" i="1"/>
  <c r="P39" i="1" s="1"/>
  <c r="I39" i="1"/>
  <c r="F39" i="1"/>
  <c r="N38" i="1"/>
  <c r="L38" i="1"/>
  <c r="P38" i="1" s="1"/>
  <c r="I38" i="1"/>
  <c r="F38" i="1"/>
  <c r="N37" i="1"/>
  <c r="L37" i="1"/>
  <c r="P37" i="1" s="1"/>
  <c r="I37" i="1"/>
  <c r="F37" i="1"/>
  <c r="N36" i="1"/>
  <c r="L36" i="1"/>
  <c r="P36" i="1" s="1"/>
  <c r="I36" i="1"/>
  <c r="F36" i="1"/>
  <c r="P35" i="1"/>
  <c r="N35" i="1"/>
  <c r="L35" i="1"/>
  <c r="I35" i="1"/>
  <c r="F35" i="1"/>
  <c r="N34" i="1"/>
  <c r="P34" i="1" s="1"/>
  <c r="L34" i="1"/>
  <c r="I34" i="1"/>
  <c r="F34" i="1"/>
  <c r="N33" i="1"/>
  <c r="L33" i="1"/>
  <c r="P33" i="1" s="1"/>
  <c r="I33" i="1"/>
  <c r="F33" i="1"/>
  <c r="N32" i="1"/>
  <c r="L32" i="1"/>
  <c r="P32" i="1" s="1"/>
  <c r="I32" i="1"/>
  <c r="F32" i="1"/>
  <c r="N31" i="1"/>
  <c r="L31" i="1"/>
  <c r="P31" i="1" s="1"/>
  <c r="I31" i="1"/>
  <c r="F31" i="1"/>
  <c r="N30" i="1"/>
  <c r="L30" i="1"/>
  <c r="P30" i="1" s="1"/>
  <c r="I30" i="1"/>
  <c r="F30" i="1"/>
  <c r="P29" i="1"/>
  <c r="N29" i="1"/>
  <c r="L29" i="1"/>
  <c r="I29" i="1"/>
  <c r="F29" i="1"/>
  <c r="N28" i="1"/>
  <c r="P28" i="1" s="1"/>
  <c r="L28" i="1"/>
  <c r="I28" i="1"/>
  <c r="F28" i="1"/>
  <c r="N27" i="1"/>
  <c r="L27" i="1"/>
  <c r="P27" i="1" s="1"/>
  <c r="I27" i="1"/>
  <c r="F27" i="1"/>
  <c r="L26" i="1"/>
  <c r="P26" i="1" s="1"/>
  <c r="I26" i="1"/>
  <c r="F26" i="1"/>
  <c r="L25" i="1"/>
  <c r="P25" i="1" s="1"/>
  <c r="I25" i="1"/>
  <c r="F25" i="1"/>
  <c r="N24" i="1"/>
  <c r="P24" i="1" s="1"/>
  <c r="L24" i="1"/>
  <c r="I24" i="1"/>
  <c r="F24" i="1"/>
  <c r="N23" i="1"/>
  <c r="L23" i="1"/>
  <c r="P23" i="1" s="1"/>
  <c r="I23" i="1"/>
  <c r="F23" i="1"/>
  <c r="N22" i="1"/>
  <c r="L22" i="1"/>
  <c r="P22" i="1" s="1"/>
  <c r="I22" i="1"/>
  <c r="F22" i="1"/>
  <c r="N21" i="1"/>
  <c r="L21" i="1"/>
  <c r="P21" i="1" s="1"/>
  <c r="I21" i="1"/>
  <c r="F21" i="1"/>
  <c r="N20" i="1"/>
  <c r="L20" i="1"/>
  <c r="P20" i="1" s="1"/>
  <c r="I20" i="1"/>
  <c r="F20" i="1"/>
  <c r="P19" i="1"/>
  <c r="L19" i="1"/>
  <c r="I19" i="1"/>
  <c r="F19" i="1"/>
  <c r="N18" i="1"/>
  <c r="L18" i="1"/>
  <c r="P18" i="1" s="1"/>
  <c r="I18" i="1"/>
  <c r="F18" i="1"/>
  <c r="N17" i="1"/>
  <c r="L17" i="1"/>
  <c r="P17" i="1" s="1"/>
  <c r="I17" i="1"/>
  <c r="F17" i="1"/>
  <c r="N16" i="1"/>
  <c r="L16" i="1"/>
  <c r="P16" i="1" s="1"/>
  <c r="I16" i="1"/>
  <c r="F16" i="1"/>
  <c r="N15" i="1"/>
  <c r="L15" i="1"/>
  <c r="P15" i="1" s="1"/>
  <c r="I15" i="1"/>
  <c r="F15" i="1"/>
  <c r="P14" i="1"/>
  <c r="L14" i="1"/>
  <c r="I14" i="1"/>
  <c r="F14" i="1"/>
  <c r="N13" i="1"/>
  <c r="L13" i="1"/>
  <c r="P13" i="1" s="1"/>
  <c r="I13" i="1"/>
  <c r="F13" i="1"/>
  <c r="N12" i="1"/>
  <c r="L12" i="1"/>
  <c r="P12" i="1" s="1"/>
  <c r="I12" i="1"/>
  <c r="F12" i="1"/>
  <c r="N11" i="1"/>
  <c r="L11" i="1"/>
  <c r="P11" i="1" s="1"/>
  <c r="I11" i="1"/>
  <c r="F11" i="1"/>
  <c r="N10" i="1"/>
  <c r="L10" i="1"/>
  <c r="P10" i="1" s="1"/>
  <c r="I10" i="1"/>
  <c r="F10" i="1"/>
  <c r="P9" i="1"/>
  <c r="L9" i="1"/>
  <c r="I9" i="1"/>
  <c r="F9" i="1"/>
  <c r="N8" i="1"/>
  <c r="L8" i="1"/>
  <c r="P8" i="1" s="1"/>
  <c r="I8" i="1"/>
  <c r="F8" i="1"/>
  <c r="L7" i="1"/>
  <c r="P7" i="1" s="1"/>
  <c r="I7" i="1"/>
  <c r="F7" i="1"/>
  <c r="L6" i="1"/>
  <c r="P6" i="1" s="1"/>
  <c r="I6" i="1"/>
  <c r="F6" i="1"/>
  <c r="L5" i="1"/>
  <c r="P5" i="1" s="1"/>
  <c r="I5" i="1"/>
  <c r="F5" i="1"/>
  <c r="L4" i="1"/>
  <c r="P4" i="1" s="1"/>
  <c r="I4" i="1"/>
  <c r="F4" i="1"/>
  <c r="N3" i="1"/>
  <c r="L3" i="1"/>
  <c r="P3" i="1" s="1"/>
  <c r="I3" i="1"/>
  <c r="F3" i="1"/>
  <c r="P2" i="1"/>
  <c r="N2" i="1"/>
  <c r="L2" i="1"/>
  <c r="I2" i="1"/>
  <c r="F2" i="1"/>
  <c r="N1" i="1"/>
  <c r="P1" i="1" s="1"/>
  <c r="L1" i="1"/>
  <c r="I1" i="1"/>
  <c r="F1" i="1"/>
</calcChain>
</file>

<file path=xl/sharedStrings.xml><?xml version="1.0" encoding="utf-8"?>
<sst xmlns="http://schemas.openxmlformats.org/spreadsheetml/2006/main" count="133" uniqueCount="91">
  <si>
    <t>RASP</t>
  </si>
  <si>
    <t>Уголь</t>
  </si>
  <si>
    <t>PLZL </t>
  </si>
  <si>
    <t>Золото</t>
  </si>
  <si>
    <t>GMKN</t>
  </si>
  <si>
    <t>Руда,энергетика, цвет мет</t>
  </si>
  <si>
    <t>POLY</t>
  </si>
  <si>
    <t>Зол.Сер.Медь</t>
  </si>
  <si>
    <t>ALNU</t>
  </si>
  <si>
    <t>Алмазы</t>
  </si>
  <si>
    <t>ALRS</t>
  </si>
  <si>
    <t>DIV</t>
  </si>
  <si>
    <t>NMTP</t>
  </si>
  <si>
    <t>Морские перевозки</t>
  </si>
  <si>
    <t>SNGS</t>
  </si>
  <si>
    <t>Нефть</t>
  </si>
  <si>
    <t>NVTK</t>
  </si>
  <si>
    <t>SIBN</t>
  </si>
  <si>
    <t>GAZP</t>
  </si>
  <si>
    <t>ROSN</t>
  </si>
  <si>
    <t>RNFT</t>
  </si>
  <si>
    <t>JNOS</t>
  </si>
  <si>
    <t>TATN</t>
  </si>
  <si>
    <t>LKOH</t>
  </si>
  <si>
    <t>NLMK </t>
  </si>
  <si>
    <t>Машиностр</t>
  </si>
  <si>
    <t>CHMF</t>
  </si>
  <si>
    <t>MGTS</t>
  </si>
  <si>
    <t>Связь (рост)</t>
  </si>
  <si>
    <t>RTKM</t>
  </si>
  <si>
    <t>Связь</t>
  </si>
  <si>
    <t>TTLK</t>
  </si>
  <si>
    <t>MTSS </t>
  </si>
  <si>
    <t>Связь (дивы)</t>
  </si>
  <si>
    <t>IRAO</t>
  </si>
  <si>
    <t>ЭлектроЭ-ка</t>
  </si>
  <si>
    <t>RSTI</t>
  </si>
  <si>
    <t>FEES</t>
  </si>
  <si>
    <t>ЭлектроЭ(дивы)</t>
  </si>
  <si>
    <t>UPRO</t>
  </si>
  <si>
    <t>OGKB</t>
  </si>
  <si>
    <t>IRGZ</t>
  </si>
  <si>
    <t>LSNG</t>
  </si>
  <si>
    <t>TGKA</t>
  </si>
  <si>
    <t>MRKP</t>
  </si>
  <si>
    <t>KUBE</t>
  </si>
  <si>
    <t>MRKU</t>
  </si>
  <si>
    <t>MRKZ</t>
  </si>
  <si>
    <t>PHOR </t>
  </si>
  <si>
    <t>Удобрения</t>
  </si>
  <si>
    <t>AKRN</t>
  </si>
  <si>
    <t>OBUV</t>
  </si>
  <si>
    <t>Коммерч. услуги</t>
  </si>
  <si>
    <t>GCHE</t>
  </si>
  <si>
    <t>Мясо</t>
  </si>
  <si>
    <t>KOGK</t>
  </si>
  <si>
    <t>Железная руда</t>
  </si>
  <si>
    <t>LSRG</t>
  </si>
  <si>
    <t>Строительство</t>
  </si>
  <si>
    <t>TRMK</t>
  </si>
  <si>
    <t>Трубы</t>
  </si>
  <si>
    <t>CHEP</t>
  </si>
  <si>
    <t>QIWI</t>
  </si>
  <si>
    <t>Финансы</t>
  </si>
  <si>
    <t>GLTR</t>
  </si>
  <si>
    <t>Кипр.компания жд перевозок</t>
  </si>
  <si>
    <t>MVID</t>
  </si>
  <si>
    <t>Быт.техника</t>
  </si>
  <si>
    <t>TCSG</t>
  </si>
  <si>
    <t>Фин.холдинг Тинькоф</t>
  </si>
  <si>
    <t>BELU</t>
  </si>
  <si>
    <t>Спиртное, мясо</t>
  </si>
  <si>
    <t>PIKK</t>
  </si>
  <si>
    <t>MDMG</t>
  </si>
  <si>
    <t>Женские мед.усл</t>
  </si>
  <si>
    <t xml:space="preserve">SBER </t>
  </si>
  <si>
    <t>Банк</t>
  </si>
  <si>
    <t>CBOM</t>
  </si>
  <si>
    <t>AVAN</t>
  </si>
  <si>
    <t>BSPB</t>
  </si>
  <si>
    <t>ВТБ</t>
  </si>
  <si>
    <t>SFIN</t>
  </si>
  <si>
    <t>Финансы, лизинг</t>
  </si>
  <si>
    <t>AQUA</t>
  </si>
  <si>
    <t>Пищепром-рыба</t>
  </si>
  <si>
    <t>Средняя</t>
  </si>
  <si>
    <t>цена</t>
  </si>
  <si>
    <t>Rating</t>
  </si>
  <si>
    <t>ROA</t>
  </si>
  <si>
    <t>рынка</t>
  </si>
  <si>
    <t>по 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</si>
</sst>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9"/>
      <color rgb="FF333333"/>
      <name val="Arial"/>
      <family val="2"/>
      <charset val="204"/>
    </font>
    <font>
      <sz val="14"/>
      <color rgb="FF002060"/>
      <name val="Times New Roman"/>
      <family val="1"/>
      <charset val="204"/>
    </font>
    <font>
      <sz val="9"/>
      <color rgb="FF666666"/>
      <name val="Verdana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2" fontId="1" fillId="2" borderId="1" xfId="0" applyNumberFormat="1" applyFont="1" applyFill="1" applyBorder="1"/>
    <xf numFmtId="164" fontId="1" fillId="3" borderId="1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4" borderId="0" xfId="0" applyFont="1" applyFill="1"/>
    <xf numFmtId="2" fontId="1" fillId="3" borderId="2" xfId="0" applyNumberFormat="1" applyFont="1" applyFill="1" applyBorder="1" applyAlignment="1">
      <alignment wrapText="1"/>
    </xf>
    <xf numFmtId="0" fontId="3" fillId="0" borderId="0" xfId="0" applyFont="1"/>
    <xf numFmtId="10" fontId="1" fillId="2" borderId="3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4" fillId="5" borderId="2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6" borderId="0" xfId="0" applyNumberFormat="1" applyFont="1" applyFill="1"/>
    <xf numFmtId="164" fontId="1" fillId="6" borderId="0" xfId="0" applyNumberFormat="1" applyFont="1" applyFill="1" applyAlignment="1">
      <alignment horizontal="center" wrapText="1"/>
    </xf>
    <xf numFmtId="2" fontId="1" fillId="6" borderId="0" xfId="0" applyNumberFormat="1" applyFont="1" applyFill="1" applyAlignment="1">
      <alignment wrapText="1"/>
    </xf>
    <xf numFmtId="0" fontId="3" fillId="6" borderId="0" xfId="0" applyFont="1" applyFill="1"/>
    <xf numFmtId="10" fontId="1" fillId="6" borderId="3" xfId="0" applyNumberFormat="1" applyFont="1" applyFill="1" applyBorder="1" applyAlignment="1">
      <alignment horizontal="center" vertical="center"/>
    </xf>
    <xf numFmtId="2" fontId="1" fillId="6" borderId="0" xfId="0" applyNumberFormat="1" applyFont="1" applyFill="1" applyAlignment="1">
      <alignment horizontal="center"/>
    </xf>
    <xf numFmtId="2" fontId="4" fillId="6" borderId="3" xfId="0" applyNumberFormat="1" applyFont="1" applyFill="1" applyBorder="1" applyAlignment="1">
      <alignment horizontal="center"/>
    </xf>
    <xf numFmtId="2" fontId="1" fillId="2" borderId="0" xfId="0" applyNumberFormat="1" applyFont="1" applyFill="1"/>
    <xf numFmtId="164" fontId="1" fillId="2" borderId="0" xfId="0" applyNumberFormat="1" applyFont="1" applyFill="1" applyAlignment="1">
      <alignment horizontal="center" wrapText="1"/>
    </xf>
    <xf numFmtId="2" fontId="1" fillId="2" borderId="0" xfId="0" applyNumberFormat="1" applyFont="1" applyFill="1" applyAlignment="1">
      <alignment wrapText="1"/>
    </xf>
    <xf numFmtId="2" fontId="1" fillId="5" borderId="0" xfId="0" applyNumberFormat="1" applyFont="1" applyFill="1" applyAlignment="1">
      <alignment horizontal="center"/>
    </xf>
    <xf numFmtId="2" fontId="4" fillId="5" borderId="3" xfId="0" applyNumberFormat="1" applyFont="1" applyFill="1" applyBorder="1" applyAlignment="1">
      <alignment horizontal="center"/>
    </xf>
    <xf numFmtId="2" fontId="1" fillId="2" borderId="0" xfId="0" applyNumberFormat="1" applyFont="1" applyFill="1" applyBorder="1"/>
    <xf numFmtId="164" fontId="1" fillId="2" borderId="0" xfId="0" applyNumberFormat="1" applyFont="1" applyFill="1" applyBorder="1" applyAlignment="1">
      <alignment horizontal="center" wrapText="1"/>
    </xf>
    <xf numFmtId="2" fontId="1" fillId="2" borderId="0" xfId="0" applyNumberFormat="1" applyFont="1" applyFill="1" applyBorder="1" applyAlignment="1">
      <alignment wrapText="1"/>
    </xf>
    <xf numFmtId="2" fontId="1" fillId="5" borderId="0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/>
    </xf>
    <xf numFmtId="2" fontId="1" fillId="2" borderId="4" xfId="0" applyNumberFormat="1" applyFont="1" applyFill="1" applyBorder="1"/>
    <xf numFmtId="2" fontId="1" fillId="2" borderId="5" xfId="0" applyNumberFormat="1" applyFont="1" applyFill="1" applyBorder="1"/>
    <xf numFmtId="164" fontId="1" fillId="2" borderId="5" xfId="0" applyNumberFormat="1" applyFont="1" applyFill="1" applyBorder="1" applyAlignment="1">
      <alignment horizontal="center" wrapText="1"/>
    </xf>
    <xf numFmtId="0" fontId="5" fillId="0" borderId="0" xfId="0" applyFont="1"/>
    <xf numFmtId="2" fontId="1" fillId="5" borderId="6" xfId="0" applyNumberFormat="1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4" fillId="5" borderId="7" xfId="0" applyNumberFormat="1" applyFont="1" applyFill="1" applyBorder="1" applyAlignment="1">
      <alignment horizontal="center"/>
    </xf>
    <xf numFmtId="164" fontId="1" fillId="7" borderId="0" xfId="0" applyNumberFormat="1" applyFont="1" applyFill="1" applyAlignment="1">
      <alignment horizontal="center" wrapText="1"/>
    </xf>
    <xf numFmtId="2" fontId="1" fillId="6" borderId="1" xfId="0" applyNumberFormat="1" applyFont="1" applyFill="1" applyBorder="1"/>
    <xf numFmtId="164" fontId="1" fillId="6" borderId="1" xfId="0" applyNumberFormat="1" applyFont="1" applyFill="1" applyBorder="1" applyAlignment="1">
      <alignment horizontal="center" wrapText="1"/>
    </xf>
    <xf numFmtId="2" fontId="1" fillId="6" borderId="2" xfId="0" applyNumberFormat="1" applyFont="1" applyFill="1" applyBorder="1" applyAlignment="1">
      <alignment wrapText="1"/>
    </xf>
    <xf numFmtId="2" fontId="1" fillId="6" borderId="1" xfId="0" applyNumberFormat="1" applyFont="1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/>
    </xf>
    <xf numFmtId="2" fontId="1" fillId="2" borderId="8" xfId="0" applyNumberFormat="1" applyFont="1" applyFill="1" applyBorder="1"/>
    <xf numFmtId="164" fontId="1" fillId="3" borderId="8" xfId="0" applyNumberFormat="1" applyFont="1" applyFill="1" applyBorder="1" applyAlignment="1">
      <alignment horizontal="center" wrapText="1"/>
    </xf>
    <xf numFmtId="2" fontId="1" fillId="0" borderId="8" xfId="0" applyNumberFormat="1" applyFont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4" fillId="5" borderId="9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wrapText="1"/>
    </xf>
    <xf numFmtId="0" fontId="5" fillId="6" borderId="0" xfId="0" applyFont="1" applyFill="1"/>
    <xf numFmtId="0" fontId="3" fillId="4" borderId="0" xfId="0" applyFont="1" applyFill="1"/>
    <xf numFmtId="2" fontId="1" fillId="4" borderId="0" xfId="0" applyNumberFormat="1" applyFont="1" applyFill="1" applyAlignment="1">
      <alignment horizontal="center"/>
    </xf>
    <xf numFmtId="2" fontId="4" fillId="4" borderId="3" xfId="0" applyNumberFormat="1" applyFont="1" applyFill="1" applyBorder="1" applyAlignment="1">
      <alignment horizontal="center"/>
    </xf>
    <xf numFmtId="2" fontId="1" fillId="6" borderId="0" xfId="0" applyNumberFormat="1" applyFont="1" applyFill="1" applyBorder="1"/>
    <xf numFmtId="164" fontId="1" fillId="6" borderId="0" xfId="0" applyNumberFormat="1" applyFont="1" applyFill="1" applyBorder="1" applyAlignment="1">
      <alignment horizontal="center" wrapText="1"/>
    </xf>
    <xf numFmtId="2" fontId="1" fillId="6" borderId="0" xfId="0" applyNumberFormat="1" applyFont="1" applyFill="1" applyBorder="1" applyAlignment="1">
      <alignment wrapText="1"/>
    </xf>
    <xf numFmtId="2" fontId="1" fillId="6" borderId="0" xfId="0" applyNumberFormat="1" applyFont="1" applyFill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8" borderId="0" xfId="0" applyFill="1"/>
  </cellXfs>
  <cellStyles count="1"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zoomScale="85" zoomScaleNormal="85" workbookViewId="0">
      <selection activeCell="T7" sqref="T7"/>
    </sheetView>
  </sheetViews>
  <sheetFormatPr defaultRowHeight="18.75" x14ac:dyDescent="0.3"/>
  <cols>
    <col min="2" max="2" width="9.140625" style="3"/>
    <col min="3" max="3" width="11.28515625" style="3" bestFit="1" customWidth="1"/>
    <col min="4" max="4" width="12.28515625" style="3" bestFit="1" customWidth="1"/>
    <col min="5" max="5" width="12.140625" style="3" customWidth="1"/>
    <col min="6" max="7" width="11" style="4" customWidth="1"/>
    <col min="8" max="8" width="20.42578125" customWidth="1"/>
    <col min="9" max="9" width="8.140625" customWidth="1"/>
    <col min="10" max="10" width="2" customWidth="1"/>
    <col min="11" max="11" width="2.140625" customWidth="1"/>
    <col min="12" max="12" width="10.7109375" customWidth="1"/>
    <col min="15" max="15" width="10" customWidth="1"/>
    <col min="16" max="17" width="9.140625" customWidth="1"/>
  </cols>
  <sheetData>
    <row r="1" spans="1:17" ht="19.5" thickBot="1" x14ac:dyDescent="0.35">
      <c r="B1" s="1" t="s">
        <v>0</v>
      </c>
      <c r="C1" s="1">
        <v>122</v>
      </c>
      <c r="D1" s="2">
        <v>116</v>
      </c>
      <c r="E1" s="3">
        <v>179.10000610351563</v>
      </c>
      <c r="F1" s="4">
        <f t="shared" ref="F1:F56" si="0">(E1/D1)*100</f>
        <v>154.39655698578935</v>
      </c>
      <c r="H1" s="5" t="s">
        <v>1</v>
      </c>
      <c r="I1" s="1">
        <f>13458.5440217057/75216.72375</f>
        <v>0.1789302079473476</v>
      </c>
      <c r="J1" s="6">
        <v>208</v>
      </c>
      <c r="K1" s="6">
        <v>185</v>
      </c>
      <c r="L1" s="7">
        <f t="shared" ref="L1:L56" si="1">((J1/K1)-1)</f>
        <v>0.12432432432432439</v>
      </c>
      <c r="M1" s="8">
        <v>15.8</v>
      </c>
      <c r="N1" s="9">
        <f>425/996</f>
        <v>0.42670682730923692</v>
      </c>
      <c r="O1" s="10">
        <v>14</v>
      </c>
      <c r="P1" s="11">
        <f t="shared" ref="P1:P56" si="2">(M1+L1)/(N1*O1)+I1+Q1</f>
        <v>8.3845818091283597</v>
      </c>
      <c r="Q1" s="11">
        <v>5.54</v>
      </c>
    </row>
    <row r="2" spans="1:17" x14ac:dyDescent="0.3">
      <c r="B2" s="12" t="s">
        <v>2</v>
      </c>
      <c r="C2" s="12">
        <v>10198</v>
      </c>
      <c r="D2" s="13">
        <v>998</v>
      </c>
      <c r="E2" s="3">
        <v>14345</v>
      </c>
      <c r="F2" s="4">
        <f t="shared" si="0"/>
        <v>1437.374749498998</v>
      </c>
      <c r="H2" s="14" t="s">
        <v>3</v>
      </c>
      <c r="I2" s="12">
        <f>124182/118441</f>
        <v>1.0484713908190575</v>
      </c>
      <c r="J2" s="15">
        <v>124182</v>
      </c>
      <c r="K2" s="15">
        <v>93671</v>
      </c>
      <c r="L2" s="16">
        <f t="shared" si="1"/>
        <v>0.32572514438833799</v>
      </c>
      <c r="M2" s="17">
        <v>60.24</v>
      </c>
      <c r="N2" s="17">
        <f>403/258</f>
        <v>1.5620155038759691</v>
      </c>
      <c r="O2" s="18">
        <v>20.5</v>
      </c>
      <c r="P2" s="11">
        <f t="shared" si="2"/>
        <v>26.199890272045494</v>
      </c>
      <c r="Q2" s="11">
        <v>23.26</v>
      </c>
    </row>
    <row r="3" spans="1:17" ht="37.5" x14ac:dyDescent="0.3">
      <c r="B3" s="12" t="s">
        <v>4</v>
      </c>
      <c r="C3" s="12">
        <v>18406</v>
      </c>
      <c r="D3" s="13">
        <v>930</v>
      </c>
      <c r="E3" s="3">
        <v>25390</v>
      </c>
      <c r="F3" s="4">
        <f t="shared" si="0"/>
        <v>2730.1075268817203</v>
      </c>
      <c r="H3" s="14" t="s">
        <v>5</v>
      </c>
      <c r="I3" s="12">
        <f>375610/265365</f>
        <v>1.4154466489552127</v>
      </c>
      <c r="J3" s="15">
        <v>375610</v>
      </c>
      <c r="K3" s="15">
        <v>167836</v>
      </c>
      <c r="L3" s="16">
        <f t="shared" si="1"/>
        <v>1.2379584832812984</v>
      </c>
      <c r="M3" s="17">
        <v>36</v>
      </c>
      <c r="N3" s="17">
        <f>969/878</f>
        <v>1.1036446469248291</v>
      </c>
      <c r="O3" s="18">
        <v>20.29</v>
      </c>
      <c r="P3" s="11">
        <f t="shared" si="2"/>
        <v>22.368378896501039</v>
      </c>
      <c r="Q3" s="11">
        <v>19.29</v>
      </c>
    </row>
    <row r="4" spans="1:17" x14ac:dyDescent="0.3">
      <c r="B4" s="19" t="s">
        <v>6</v>
      </c>
      <c r="C4" s="19">
        <v>1226</v>
      </c>
      <c r="D4" s="20">
        <v>250</v>
      </c>
      <c r="E4" s="3">
        <v>1644.300048828125</v>
      </c>
      <c r="F4" s="4">
        <f t="shared" si="0"/>
        <v>657.72001953125005</v>
      </c>
      <c r="H4" s="21" t="s">
        <v>7</v>
      </c>
      <c r="I4" s="19">
        <f>376.252514938832/1472.73070391687</f>
        <v>0.25547950751495302</v>
      </c>
      <c r="J4" s="6">
        <v>480</v>
      </c>
      <c r="K4" s="6">
        <v>395</v>
      </c>
      <c r="L4" s="7">
        <f t="shared" si="1"/>
        <v>0.21518987341772156</v>
      </c>
      <c r="M4" s="22">
        <v>40</v>
      </c>
      <c r="N4" s="11">
        <v>1.26</v>
      </c>
      <c r="O4" s="23">
        <v>15.45</v>
      </c>
      <c r="P4" s="11">
        <f t="shared" si="2"/>
        <v>27.321292928864814</v>
      </c>
      <c r="Q4" s="11">
        <v>25</v>
      </c>
    </row>
    <row r="5" spans="1:17" x14ac:dyDescent="0.3">
      <c r="A5" s="59"/>
      <c r="B5" s="19" t="s">
        <v>8</v>
      </c>
      <c r="C5" s="19">
        <v>60425</v>
      </c>
      <c r="D5" s="20">
        <v>64800</v>
      </c>
      <c r="E5" s="3">
        <v>61400</v>
      </c>
      <c r="F5" s="4">
        <f t="shared" si="0"/>
        <v>94.753086419753089</v>
      </c>
      <c r="H5" s="21" t="s">
        <v>9</v>
      </c>
      <c r="I5" s="19">
        <f>20410.67/38818.861</f>
        <v>0.52579260375516945</v>
      </c>
      <c r="J5" s="6">
        <v>20410.669999999998</v>
      </c>
      <c r="K5" s="6">
        <v>17882.009999999998</v>
      </c>
      <c r="L5" s="7">
        <f t="shared" si="1"/>
        <v>0.14140804081867753</v>
      </c>
      <c r="M5" s="22">
        <v>52.35</v>
      </c>
      <c r="N5" s="22">
        <v>8.1219973222020944E-2</v>
      </c>
      <c r="O5" s="23">
        <v>2.0499999999999998</v>
      </c>
      <c r="P5" s="11">
        <f t="shared" si="2"/>
        <v>349.48771503711498</v>
      </c>
      <c r="Q5" s="11">
        <v>33.700000000000003</v>
      </c>
    </row>
    <row r="6" spans="1:17" x14ac:dyDescent="0.3">
      <c r="B6" s="24" t="s">
        <v>10</v>
      </c>
      <c r="C6" s="24">
        <v>79</v>
      </c>
      <c r="D6" s="25">
        <v>33.220999999999997</v>
      </c>
      <c r="E6" s="3">
        <v>104.69999694824219</v>
      </c>
      <c r="F6" s="4">
        <f t="shared" si="0"/>
        <v>315.16208707818009</v>
      </c>
      <c r="G6" s="4" t="s">
        <v>11</v>
      </c>
      <c r="H6" s="26" t="s">
        <v>9</v>
      </c>
      <c r="I6" s="24">
        <f>62026/253966</f>
        <v>0.24422954253719001</v>
      </c>
      <c r="J6" s="6">
        <v>62026</v>
      </c>
      <c r="K6" s="6">
        <v>42000</v>
      </c>
      <c r="L6" s="7">
        <f t="shared" si="1"/>
        <v>0.47680952380952379</v>
      </c>
      <c r="M6" s="27">
        <v>33.270000000000003</v>
      </c>
      <c r="N6" s="27">
        <v>0.74369747899159666</v>
      </c>
      <c r="O6" s="23">
        <v>11.66</v>
      </c>
      <c r="P6" s="11">
        <f t="shared" si="2"/>
        <v>10.935916156033844</v>
      </c>
      <c r="Q6" s="11">
        <v>6.8</v>
      </c>
    </row>
    <row r="7" spans="1:17" ht="37.5" x14ac:dyDescent="0.3">
      <c r="B7" s="19" t="s">
        <v>12</v>
      </c>
      <c r="C7" s="19">
        <v>8.3520000000000003</v>
      </c>
      <c r="D7" s="20">
        <v>5.35</v>
      </c>
      <c r="E7" s="3">
        <v>8.1599998474121094</v>
      </c>
      <c r="F7" s="4">
        <f t="shared" si="0"/>
        <v>152.52336163387122</v>
      </c>
      <c r="H7" s="21" t="s">
        <v>13</v>
      </c>
      <c r="I7" s="19">
        <f>60798.32557267/102597.101865</f>
        <v>0.59259301157132149</v>
      </c>
      <c r="J7" s="28">
        <v>939.63</v>
      </c>
      <c r="K7" s="28">
        <v>626.53</v>
      </c>
      <c r="L7" s="7">
        <f t="shared" si="1"/>
        <v>0.49973664469378964</v>
      </c>
      <c r="M7" s="22">
        <v>58</v>
      </c>
      <c r="N7" s="11">
        <v>1.5831408775981524</v>
      </c>
      <c r="O7" s="23">
        <v>3.81</v>
      </c>
      <c r="P7" s="11">
        <f t="shared" si="2"/>
        <v>46.051200257332276</v>
      </c>
      <c r="Q7" s="11">
        <v>35.76</v>
      </c>
    </row>
    <row r="8" spans="1:17" x14ac:dyDescent="0.3">
      <c r="A8" s="59"/>
      <c r="B8" s="19" t="s">
        <v>14</v>
      </c>
      <c r="C8" s="19">
        <v>34.93</v>
      </c>
      <c r="D8" s="20">
        <v>136</v>
      </c>
      <c r="E8" s="3">
        <v>33.619998931884766</v>
      </c>
      <c r="F8" s="4">
        <f t="shared" si="0"/>
        <v>24.720587449915268</v>
      </c>
      <c r="G8" s="4" t="s">
        <v>11</v>
      </c>
      <c r="H8" s="21" t="s">
        <v>15</v>
      </c>
      <c r="I8" s="19">
        <f>106162/4449378</f>
        <v>2.3859964246687963E-2</v>
      </c>
      <c r="J8" s="6">
        <v>106162</v>
      </c>
      <c r="K8" s="6">
        <v>62100</v>
      </c>
      <c r="L8" s="7">
        <f t="shared" si="1"/>
        <v>0.70953301127214163</v>
      </c>
      <c r="M8" s="22">
        <v>17.37</v>
      </c>
      <c r="N8" s="11">
        <f>819/1571</f>
        <v>0.52132399745385105</v>
      </c>
      <c r="O8" s="23">
        <v>2.2599999999999998</v>
      </c>
      <c r="P8" s="11">
        <f t="shared" si="2"/>
        <v>25.76900694940479</v>
      </c>
      <c r="Q8" s="11">
        <v>10.4</v>
      </c>
    </row>
    <row r="9" spans="1:17" x14ac:dyDescent="0.3">
      <c r="B9" s="19" t="s">
        <v>16</v>
      </c>
      <c r="C9" s="19">
        <v>1166</v>
      </c>
      <c r="D9" s="20">
        <v>517</v>
      </c>
      <c r="E9" s="3">
        <v>1373</v>
      </c>
      <c r="F9" s="4">
        <f t="shared" si="0"/>
        <v>265.57059961315281</v>
      </c>
      <c r="H9" s="21" t="s">
        <v>15</v>
      </c>
      <c r="I9" s="19">
        <f>865477/1667076</f>
        <v>0.51915869462460018</v>
      </c>
      <c r="J9" s="6">
        <v>865477</v>
      </c>
      <c r="K9" s="6">
        <v>257795</v>
      </c>
      <c r="L9" s="7">
        <f t="shared" si="1"/>
        <v>2.3572295816443298</v>
      </c>
      <c r="M9" s="22">
        <v>12</v>
      </c>
      <c r="N9" s="22">
        <v>0.44135429262394194</v>
      </c>
      <c r="O9" s="23">
        <v>7.09</v>
      </c>
      <c r="P9" s="11">
        <f t="shared" si="2"/>
        <v>8.9673028544560669</v>
      </c>
      <c r="Q9" s="11">
        <v>3.86</v>
      </c>
    </row>
    <row r="10" spans="1:17" x14ac:dyDescent="0.3">
      <c r="A10" s="59"/>
      <c r="B10" s="19" t="s">
        <v>17</v>
      </c>
      <c r="C10" s="19">
        <v>359</v>
      </c>
      <c r="D10" s="20">
        <v>431</v>
      </c>
      <c r="E10" s="3">
        <v>339</v>
      </c>
      <c r="F10" s="4">
        <f t="shared" si="0"/>
        <v>78.654292343387468</v>
      </c>
      <c r="H10" s="21" t="s">
        <v>15</v>
      </c>
      <c r="I10" s="19">
        <f>400201/2213197</f>
        <v>0.18082484297602067</v>
      </c>
      <c r="J10" s="6">
        <v>400201</v>
      </c>
      <c r="K10" s="6">
        <v>200179</v>
      </c>
      <c r="L10" s="7">
        <f t="shared" si="1"/>
        <v>0.99921570194675757</v>
      </c>
      <c r="M10" s="22">
        <v>8.1999999999999993</v>
      </c>
      <c r="N10" s="11">
        <f>1768277/3825483</f>
        <v>0.46223627186423255</v>
      </c>
      <c r="O10" s="23">
        <v>12.85</v>
      </c>
      <c r="P10" s="11">
        <f t="shared" si="2"/>
        <v>4.7295831644244739</v>
      </c>
      <c r="Q10" s="11">
        <v>3</v>
      </c>
    </row>
    <row r="11" spans="1:17" x14ac:dyDescent="0.3">
      <c r="A11" s="59"/>
      <c r="B11" s="24" t="s">
        <v>18</v>
      </c>
      <c r="C11" s="24">
        <v>203.8</v>
      </c>
      <c r="D11" s="25">
        <v>583</v>
      </c>
      <c r="E11" s="3">
        <v>226.47999572753906</v>
      </c>
      <c r="F11" s="4">
        <f t="shared" si="0"/>
        <v>38.847340605066734</v>
      </c>
      <c r="G11" s="4" t="s">
        <v>11</v>
      </c>
      <c r="H11" s="26" t="s">
        <v>15</v>
      </c>
      <c r="I11" s="24">
        <f>1202887/14615687</f>
        <v>8.2301091970565593E-2</v>
      </c>
      <c r="J11" s="6">
        <v>1202887</v>
      </c>
      <c r="K11" s="6">
        <v>951637</v>
      </c>
      <c r="L11" s="7">
        <f t="shared" si="1"/>
        <v>0.26401873823737421</v>
      </c>
      <c r="M11" s="27">
        <v>7.54</v>
      </c>
      <c r="N11" s="29">
        <f>7777515/7659623</f>
        <v>1.0153913580342009</v>
      </c>
      <c r="O11" s="23">
        <v>4.25</v>
      </c>
      <c r="P11" s="11">
        <f t="shared" si="2"/>
        <v>1.6907069727037236</v>
      </c>
      <c r="Q11" s="11">
        <v>-0.2</v>
      </c>
    </row>
    <row r="12" spans="1:17" x14ac:dyDescent="0.3">
      <c r="B12" s="19" t="s">
        <v>19</v>
      </c>
      <c r="C12" s="19">
        <v>406.1</v>
      </c>
      <c r="D12" s="20">
        <v>376</v>
      </c>
      <c r="E12" s="3">
        <v>505</v>
      </c>
      <c r="F12" s="4">
        <f t="shared" si="0"/>
        <v>134.30851063829786</v>
      </c>
      <c r="H12" s="21" t="s">
        <v>15</v>
      </c>
      <c r="I12" s="19">
        <f>708000/5152000</f>
        <v>0.1374223602484472</v>
      </c>
      <c r="J12" s="6">
        <v>708000</v>
      </c>
      <c r="K12" s="6">
        <v>181000</v>
      </c>
      <c r="L12" s="7">
        <f t="shared" si="1"/>
        <v>2.9116022099447512</v>
      </c>
      <c r="M12" s="22">
        <v>7.61</v>
      </c>
      <c r="N12" s="11">
        <f>8433000/8676000</f>
        <v>0.97199170124481327</v>
      </c>
      <c r="O12" s="23">
        <v>6.73</v>
      </c>
      <c r="P12" s="11">
        <f t="shared" si="2"/>
        <v>3.0258601093777289</v>
      </c>
      <c r="Q12" s="11">
        <v>1.28</v>
      </c>
    </row>
    <row r="13" spans="1:17" x14ac:dyDescent="0.3">
      <c r="B13" s="24" t="s">
        <v>20</v>
      </c>
      <c r="C13" s="24">
        <v>483.44</v>
      </c>
      <c r="D13" s="25">
        <v>211.2</v>
      </c>
      <c r="E13" s="3">
        <v>206.80000305175781</v>
      </c>
      <c r="F13" s="4">
        <f t="shared" si="0"/>
        <v>97.916668111627757</v>
      </c>
      <c r="H13" s="26" t="s">
        <v>15</v>
      </c>
      <c r="I13" s="24">
        <f>24364/62118</f>
        <v>0.39222125631861943</v>
      </c>
      <c r="J13" s="6">
        <v>24364</v>
      </c>
      <c r="K13" s="6">
        <v>14945</v>
      </c>
      <c r="L13" s="7">
        <f t="shared" si="1"/>
        <v>0.6302442288390766</v>
      </c>
      <c r="M13" s="27">
        <v>18.5</v>
      </c>
      <c r="N13" s="29">
        <f>218147/187127</f>
        <v>1.1657697713317694</v>
      </c>
      <c r="O13" s="23">
        <v>2.83</v>
      </c>
      <c r="P13" s="11">
        <f t="shared" si="2"/>
        <v>14.390796395823569</v>
      </c>
      <c r="Q13" s="11">
        <v>8.1999999999999993</v>
      </c>
    </row>
    <row r="14" spans="1:17" x14ac:dyDescent="0.3">
      <c r="A14" s="59"/>
      <c r="B14" s="30" t="s">
        <v>21</v>
      </c>
      <c r="C14" s="31">
        <v>17.809999999999999</v>
      </c>
      <c r="D14" s="32">
        <v>80.3</v>
      </c>
      <c r="E14" s="3">
        <v>21.5</v>
      </c>
      <c r="F14" s="4">
        <f t="shared" si="0"/>
        <v>26.774595267745955</v>
      </c>
      <c r="H14" s="21" t="s">
        <v>15</v>
      </c>
      <c r="I14" s="24">
        <f>7229.934/51336.409</f>
        <v>0.14083443195257386</v>
      </c>
      <c r="J14" s="6">
        <v>7229</v>
      </c>
      <c r="K14" s="33">
        <v>5300</v>
      </c>
      <c r="L14" s="7">
        <f t="shared" si="1"/>
        <v>0.36396226415094346</v>
      </c>
      <c r="M14" s="34">
        <v>28.45</v>
      </c>
      <c r="N14" s="35">
        <v>1.5118227880992594</v>
      </c>
      <c r="O14" s="36">
        <v>2.4700000000000002</v>
      </c>
      <c r="P14" s="11">
        <f t="shared" si="2"/>
        <v>8.8570640447693521</v>
      </c>
      <c r="Q14" s="11">
        <v>1</v>
      </c>
    </row>
    <row r="15" spans="1:17" x14ac:dyDescent="0.3">
      <c r="B15" s="19" t="s">
        <v>22</v>
      </c>
      <c r="C15" s="19">
        <v>641</v>
      </c>
      <c r="D15" s="20">
        <v>357</v>
      </c>
      <c r="E15" s="3">
        <v>526.5</v>
      </c>
      <c r="F15" s="4">
        <f t="shared" si="0"/>
        <v>147.47899159663865</v>
      </c>
      <c r="G15" s="4" t="s">
        <v>11</v>
      </c>
      <c r="H15" s="21" t="s">
        <v>15</v>
      </c>
      <c r="I15" s="19">
        <f>192260/752130</f>
        <v>0.25562070386768243</v>
      </c>
      <c r="J15" s="6">
        <v>192260</v>
      </c>
      <c r="K15" s="6">
        <v>107389</v>
      </c>
      <c r="L15" s="7">
        <f t="shared" si="1"/>
        <v>0.79031371928223559</v>
      </c>
      <c r="M15" s="22">
        <v>17.3</v>
      </c>
      <c r="N15" s="11">
        <f>493/955</f>
        <v>0.5162303664921466</v>
      </c>
      <c r="O15" s="23">
        <v>11.6</v>
      </c>
      <c r="P15" s="11">
        <f t="shared" si="2"/>
        <v>10.906577828074603</v>
      </c>
      <c r="Q15" s="11">
        <v>7.63</v>
      </c>
    </row>
    <row r="16" spans="1:17" x14ac:dyDescent="0.3">
      <c r="A16" s="59"/>
      <c r="B16" s="12" t="s">
        <v>23</v>
      </c>
      <c r="C16" s="12">
        <v>5350</v>
      </c>
      <c r="D16" s="13">
        <v>6465</v>
      </c>
      <c r="E16" s="3">
        <v>5724.5</v>
      </c>
      <c r="F16" s="4">
        <f t="shared" si="0"/>
        <v>88.546017014694513</v>
      </c>
      <c r="H16" s="14" t="s">
        <v>15</v>
      </c>
      <c r="I16" s="12">
        <f>640178/3973449</f>
        <v>0.16111393401551147</v>
      </c>
      <c r="J16" s="15">
        <v>640178</v>
      </c>
      <c r="K16" s="15">
        <v>206794</v>
      </c>
      <c r="L16" s="16">
        <f t="shared" si="1"/>
        <v>2.0957281159027823</v>
      </c>
      <c r="M16" s="17">
        <v>4.5</v>
      </c>
      <c r="N16" s="17">
        <f>1981686/7841246</f>
        <v>0.25272590606135809</v>
      </c>
      <c r="O16" s="18">
        <v>33</v>
      </c>
      <c r="P16" s="11">
        <f t="shared" si="2"/>
        <v>2.7219729008767297</v>
      </c>
      <c r="Q16" s="11">
        <v>1.77</v>
      </c>
    </row>
    <row r="17" spans="1:17" x14ac:dyDescent="0.3">
      <c r="B17" s="12" t="s">
        <v>24</v>
      </c>
      <c r="C17" s="12">
        <v>156.30000000000001</v>
      </c>
      <c r="D17" s="13">
        <v>0.72</v>
      </c>
      <c r="E17" s="3">
        <v>207.72000122070313</v>
      </c>
      <c r="F17" s="4">
        <f t="shared" si="0"/>
        <v>28850.000169542102</v>
      </c>
      <c r="H17" s="14" t="s">
        <v>25</v>
      </c>
      <c r="I17" s="12">
        <f>86639.3771397307/369375.60375</f>
        <v>0.23455630599353219</v>
      </c>
      <c r="J17" s="15">
        <v>1339</v>
      </c>
      <c r="K17" s="15">
        <v>935.1</v>
      </c>
      <c r="L17" s="16">
        <f t="shared" si="1"/>
        <v>0.43193241364559931</v>
      </c>
      <c r="M17" s="17">
        <v>17.71</v>
      </c>
      <c r="N17" s="17">
        <f>4.5/10.5</f>
        <v>0.42857142857142855</v>
      </c>
      <c r="O17" s="18">
        <v>20</v>
      </c>
      <c r="P17" s="11">
        <f t="shared" si="2"/>
        <v>14.511115087585519</v>
      </c>
      <c r="Q17" s="11">
        <v>12.16</v>
      </c>
    </row>
    <row r="18" spans="1:17" ht="19.5" thickBot="1" x14ac:dyDescent="0.35">
      <c r="B18" s="19" t="s">
        <v>26</v>
      </c>
      <c r="C18" s="19">
        <v>997</v>
      </c>
      <c r="D18" s="37">
        <v>3.08</v>
      </c>
      <c r="E18" s="3">
        <v>1285</v>
      </c>
      <c r="F18" s="4">
        <f t="shared" si="0"/>
        <v>41720.779220779215</v>
      </c>
      <c r="H18" s="21" t="s">
        <v>25</v>
      </c>
      <c r="I18" s="19">
        <f>114268.215107367/216022.9275</f>
        <v>0.52896336712855163</v>
      </c>
      <c r="J18" s="6">
        <v>1766</v>
      </c>
      <c r="K18" s="6">
        <v>1621</v>
      </c>
      <c r="L18" s="7">
        <f t="shared" si="1"/>
        <v>8.9450956199876641E-2</v>
      </c>
      <c r="M18" s="22">
        <v>24.66</v>
      </c>
      <c r="N18" s="11">
        <f>4.7/8.1</f>
        <v>0.58024691358024694</v>
      </c>
      <c r="O18" s="23">
        <v>15.3</v>
      </c>
      <c r="P18" s="11">
        <f t="shared" si="2"/>
        <v>16.316761347176097</v>
      </c>
      <c r="Q18" s="11">
        <v>13</v>
      </c>
    </row>
    <row r="19" spans="1:17" ht="19.5" thickBot="1" x14ac:dyDescent="0.35">
      <c r="B19" s="1" t="s">
        <v>27</v>
      </c>
      <c r="C19" s="1">
        <v>2148</v>
      </c>
      <c r="D19" s="2">
        <v>980</v>
      </c>
      <c r="E19" s="3">
        <v>2275</v>
      </c>
      <c r="F19" s="4">
        <f t="shared" si="0"/>
        <v>232.14285714285717</v>
      </c>
      <c r="H19" s="5" t="s">
        <v>28</v>
      </c>
      <c r="I19" s="1">
        <f>15515/71614</f>
        <v>0.21664758287485686</v>
      </c>
      <c r="J19" s="6">
        <v>15515</v>
      </c>
      <c r="K19" s="6">
        <v>13165</v>
      </c>
      <c r="L19" s="7">
        <f t="shared" si="1"/>
        <v>0.17850360805165222</v>
      </c>
      <c r="M19" s="8">
        <v>38.270000000000003</v>
      </c>
      <c r="N19" s="8">
        <v>0.92610118298514976</v>
      </c>
      <c r="O19" s="10">
        <v>10.8</v>
      </c>
      <c r="P19" s="11">
        <f t="shared" si="2"/>
        <v>13.060770337258855</v>
      </c>
      <c r="Q19" s="11">
        <v>9</v>
      </c>
    </row>
    <row r="20" spans="1:17" x14ac:dyDescent="0.3">
      <c r="B20" s="19" t="s">
        <v>29</v>
      </c>
      <c r="C20" s="19">
        <v>84.5</v>
      </c>
      <c r="D20" s="20">
        <v>77.22</v>
      </c>
      <c r="E20" s="3">
        <v>104.5</v>
      </c>
      <c r="F20" s="4">
        <f t="shared" si="0"/>
        <v>135.32763532763533</v>
      </c>
      <c r="G20" s="4" t="s">
        <v>11</v>
      </c>
      <c r="H20" s="21" t="s">
        <v>30</v>
      </c>
      <c r="I20" s="19">
        <f>14777/262188</f>
        <v>5.6360321601293728E-2</v>
      </c>
      <c r="J20" s="6">
        <v>11688</v>
      </c>
      <c r="K20" s="6">
        <v>959</v>
      </c>
      <c r="L20" s="7">
        <f t="shared" si="1"/>
        <v>11.18769551616267</v>
      </c>
      <c r="M20" s="22">
        <v>13.5</v>
      </c>
      <c r="N20" s="11">
        <f>650/337</f>
        <v>1.9287833827893175</v>
      </c>
      <c r="O20" s="23">
        <v>11.6</v>
      </c>
      <c r="P20" s="11">
        <f t="shared" si="2"/>
        <v>4.5997758904271322</v>
      </c>
      <c r="Q20" s="11">
        <v>3.44</v>
      </c>
    </row>
    <row r="21" spans="1:17" ht="19.5" thickBot="1" x14ac:dyDescent="0.35">
      <c r="B21" s="19" t="s">
        <v>31</v>
      </c>
      <c r="C21" s="19">
        <v>0.27100000000000002</v>
      </c>
      <c r="D21" s="20">
        <v>0.32</v>
      </c>
      <c r="E21" s="3">
        <v>0.51099997758865356</v>
      </c>
      <c r="F21" s="4">
        <f t="shared" si="0"/>
        <v>159.68749299645424</v>
      </c>
      <c r="G21" s="4" t="s">
        <v>11</v>
      </c>
      <c r="H21" s="21" t="s">
        <v>30</v>
      </c>
      <c r="I21" s="19">
        <f>810.0896302206/6302.206</f>
        <v>0.12854064596120787</v>
      </c>
      <c r="J21" s="6">
        <v>810.09</v>
      </c>
      <c r="K21" s="6">
        <v>155.43</v>
      </c>
      <c r="L21" s="7">
        <f t="shared" si="1"/>
        <v>4.2119281991893454</v>
      </c>
      <c r="M21" s="22">
        <v>16.2</v>
      </c>
      <c r="N21" s="11">
        <f>6500/9500</f>
        <v>0.68421052631578949</v>
      </c>
      <c r="O21" s="23">
        <v>8.9</v>
      </c>
      <c r="P21" s="11">
        <f t="shared" si="2"/>
        <v>16.480542683857472</v>
      </c>
      <c r="Q21" s="11">
        <v>13</v>
      </c>
    </row>
    <row r="22" spans="1:17" ht="19.5" thickBot="1" x14ac:dyDescent="0.35">
      <c r="B22" s="1" t="s">
        <v>32</v>
      </c>
      <c r="C22" s="1">
        <v>301.16000000000003</v>
      </c>
      <c r="D22" s="2">
        <v>15.15</v>
      </c>
      <c r="E22" s="3">
        <v>325</v>
      </c>
      <c r="F22" s="4">
        <f t="shared" si="0"/>
        <v>2145.2145214521452</v>
      </c>
      <c r="G22" s="4" t="s">
        <v>11</v>
      </c>
      <c r="H22" s="5" t="s">
        <v>33</v>
      </c>
      <c r="I22" s="1">
        <f>54241/36394</f>
        <v>1.4903830301698082</v>
      </c>
      <c r="J22" s="6">
        <v>54241</v>
      </c>
      <c r="K22" s="6">
        <v>48474</v>
      </c>
      <c r="L22" s="7">
        <f t="shared" si="1"/>
        <v>0.11897099476007766</v>
      </c>
      <c r="M22" s="8">
        <v>22.8</v>
      </c>
      <c r="N22" s="9">
        <f>791/476</f>
        <v>1.661764705882353</v>
      </c>
      <c r="O22" s="10">
        <v>11.4</v>
      </c>
      <c r="P22" s="11">
        <f t="shared" si="2"/>
        <v>9.5002029553706198</v>
      </c>
      <c r="Q22" s="11">
        <v>6.8</v>
      </c>
    </row>
    <row r="23" spans="1:17" ht="19.5" thickBot="1" x14ac:dyDescent="0.35">
      <c r="A23" s="59"/>
      <c r="B23" s="1" t="s">
        <v>34</v>
      </c>
      <c r="C23" s="1">
        <v>4.8140000000000001</v>
      </c>
      <c r="D23" s="2">
        <v>7.5</v>
      </c>
      <c r="E23" s="3">
        <v>5.2795000076293945</v>
      </c>
      <c r="F23" s="4">
        <f t="shared" si="0"/>
        <v>70.393333435058594</v>
      </c>
      <c r="H23" s="5" t="s">
        <v>35</v>
      </c>
      <c r="I23" s="1">
        <f>81631/552779</f>
        <v>0.14767384433923864</v>
      </c>
      <c r="J23" s="6">
        <v>81631</v>
      </c>
      <c r="K23" s="6">
        <v>60761</v>
      </c>
      <c r="L23" s="7">
        <f t="shared" si="1"/>
        <v>0.34347690130182196</v>
      </c>
      <c r="M23" s="8">
        <v>8</v>
      </c>
      <c r="N23" s="9">
        <f>200/1032</f>
        <v>0.19379844961240311</v>
      </c>
      <c r="O23" s="10">
        <v>5.22</v>
      </c>
      <c r="P23" s="11">
        <f t="shared" si="2"/>
        <v>17.735248712292762</v>
      </c>
      <c r="Q23" s="11">
        <v>9.34</v>
      </c>
    </row>
    <row r="24" spans="1:17" ht="19.5" thickBot="1" x14ac:dyDescent="0.35">
      <c r="A24" s="59"/>
      <c r="B24" s="38" t="s">
        <v>36</v>
      </c>
      <c r="C24" s="38">
        <v>1.37</v>
      </c>
      <c r="D24" s="39">
        <v>6.2</v>
      </c>
      <c r="E24" s="3">
        <v>1.7417000532150269</v>
      </c>
      <c r="F24" s="4">
        <f t="shared" si="0"/>
        <v>28.091936342177853</v>
      </c>
      <c r="G24" s="4" t="s">
        <v>11</v>
      </c>
      <c r="H24" s="40" t="s">
        <v>35</v>
      </c>
      <c r="I24" s="38">
        <f>76773/1190009</f>
        <v>6.4514638124585619E-2</v>
      </c>
      <c r="J24" s="15">
        <v>76773</v>
      </c>
      <c r="K24" s="15">
        <v>74615</v>
      </c>
      <c r="L24" s="16">
        <f t="shared" si="1"/>
        <v>2.892179856597199E-2</v>
      </c>
      <c r="M24" s="41">
        <v>13.06</v>
      </c>
      <c r="N24" s="41">
        <f>1460/1030</f>
        <v>1.4174757281553398</v>
      </c>
      <c r="O24" s="42">
        <v>5.5</v>
      </c>
      <c r="P24" s="11">
        <f t="shared" si="2"/>
        <v>4.9534174342046544</v>
      </c>
      <c r="Q24" s="11">
        <v>3.21</v>
      </c>
    </row>
    <row r="25" spans="1:17" ht="38.25" thickBot="1" x14ac:dyDescent="0.35">
      <c r="A25" s="59"/>
      <c r="B25" s="1" t="s">
        <v>37</v>
      </c>
      <c r="C25" s="1">
        <v>0.19</v>
      </c>
      <c r="D25" s="2">
        <v>0.76</v>
      </c>
      <c r="E25" s="3">
        <v>0.2173600047826767</v>
      </c>
      <c r="F25" s="4">
        <f t="shared" si="0"/>
        <v>28.600000629299565</v>
      </c>
      <c r="G25" s="4" t="s">
        <v>11</v>
      </c>
      <c r="H25" s="5" t="s">
        <v>38</v>
      </c>
      <c r="I25" s="1">
        <f>86598/901784</f>
        <v>9.602964789794452E-2</v>
      </c>
      <c r="J25" s="6">
        <v>86598</v>
      </c>
      <c r="K25" s="6">
        <v>68159</v>
      </c>
      <c r="L25" s="7">
        <f t="shared" si="1"/>
        <v>0.27052920377352963</v>
      </c>
      <c r="M25" s="8">
        <v>34.65</v>
      </c>
      <c r="N25" s="9">
        <v>1.5582329317269077</v>
      </c>
      <c r="O25" s="10">
        <v>3.04</v>
      </c>
      <c r="P25" s="11">
        <f t="shared" si="2"/>
        <v>13.267851890623467</v>
      </c>
      <c r="Q25" s="11">
        <v>5.8</v>
      </c>
    </row>
    <row r="26" spans="1:17" ht="38.25" thickBot="1" x14ac:dyDescent="0.35">
      <c r="B26" s="43" t="s">
        <v>39</v>
      </c>
      <c r="C26" s="43">
        <v>2.72</v>
      </c>
      <c r="D26" s="44">
        <v>1.911</v>
      </c>
      <c r="E26" s="3">
        <v>2.869999885559082</v>
      </c>
      <c r="F26" s="4">
        <f t="shared" si="0"/>
        <v>150.18314419461444</v>
      </c>
      <c r="H26" s="5" t="s">
        <v>38</v>
      </c>
      <c r="I26" s="43">
        <f>18856.25/120645.55</f>
        <v>0.15629461675130163</v>
      </c>
      <c r="J26" s="6">
        <v>18856.25</v>
      </c>
      <c r="K26" s="6">
        <v>5166.45</v>
      </c>
      <c r="L26" s="7">
        <f t="shared" si="1"/>
        <v>2.6497498282186029</v>
      </c>
      <c r="M26" s="45">
        <v>23.3</v>
      </c>
      <c r="N26" s="46">
        <v>0.42443361818811065</v>
      </c>
      <c r="O26" s="47">
        <v>9.5399999999999991</v>
      </c>
      <c r="P26" s="11">
        <f t="shared" si="2"/>
        <v>16.685069619820908</v>
      </c>
      <c r="Q26" s="11">
        <v>10.119999999999999</v>
      </c>
    </row>
    <row r="27" spans="1:17" x14ac:dyDescent="0.3">
      <c r="A27" s="59"/>
      <c r="B27" s="24" t="s">
        <v>40</v>
      </c>
      <c r="C27" s="24">
        <v>0.61</v>
      </c>
      <c r="D27" s="25">
        <v>1.3</v>
      </c>
      <c r="E27" s="3">
        <v>0.79500001668930054</v>
      </c>
      <c r="F27" s="4">
        <f t="shared" si="0"/>
        <v>61.153847437638497</v>
      </c>
      <c r="G27" s="4" t="s">
        <v>11</v>
      </c>
      <c r="H27" s="26" t="s">
        <v>35</v>
      </c>
      <c r="I27" s="24">
        <f>12022/137341</f>
        <v>8.7533948347543702E-2</v>
      </c>
      <c r="J27" s="6">
        <v>12025</v>
      </c>
      <c r="K27" s="6">
        <v>3169.47</v>
      </c>
      <c r="L27" s="7">
        <f t="shared" si="1"/>
        <v>2.7940097240232595</v>
      </c>
      <c r="M27" s="27">
        <v>13.24</v>
      </c>
      <c r="N27" s="29">
        <f>88.57/134.58</f>
        <v>0.65812156338237471</v>
      </c>
      <c r="O27" s="23">
        <v>6.8</v>
      </c>
      <c r="P27" s="11">
        <f t="shared" si="2"/>
        <v>9.1703714325890715</v>
      </c>
      <c r="Q27" s="11">
        <v>5.5</v>
      </c>
    </row>
    <row r="28" spans="1:17" ht="19.5" thickBot="1" x14ac:dyDescent="0.35">
      <c r="A28" s="59"/>
      <c r="B28" s="24" t="s">
        <v>41</v>
      </c>
      <c r="C28" s="24">
        <v>13.47</v>
      </c>
      <c r="D28" s="25">
        <v>14.7</v>
      </c>
      <c r="E28" s="3">
        <v>11.819999694824219</v>
      </c>
      <c r="F28" s="4">
        <f t="shared" si="0"/>
        <v>80.408161189280406</v>
      </c>
      <c r="H28" s="26" t="s">
        <v>35</v>
      </c>
      <c r="I28" s="24">
        <f>11373/84707</f>
        <v>0.13426281181012195</v>
      </c>
      <c r="J28" s="6">
        <v>11373</v>
      </c>
      <c r="K28" s="6">
        <v>10650</v>
      </c>
      <c r="L28" s="7">
        <f t="shared" si="1"/>
        <v>6.7887323943661926E-2</v>
      </c>
      <c r="M28" s="27">
        <v>13.2</v>
      </c>
      <c r="N28" s="29">
        <f>113.8/117.25</f>
        <v>0.97057569296375268</v>
      </c>
      <c r="O28" s="23">
        <v>8</v>
      </c>
      <c r="P28" s="11">
        <f t="shared" si="2"/>
        <v>11.843027957605809</v>
      </c>
      <c r="Q28" s="11">
        <v>10</v>
      </c>
    </row>
    <row r="29" spans="1:17" ht="19.5" thickBot="1" x14ac:dyDescent="0.35">
      <c r="A29" s="59"/>
      <c r="B29" s="1" t="s">
        <v>42</v>
      </c>
      <c r="C29" s="1">
        <v>6.04</v>
      </c>
      <c r="D29" s="2">
        <v>16.93</v>
      </c>
      <c r="E29" s="3">
        <v>6.130000114440918</v>
      </c>
      <c r="F29" s="4">
        <f t="shared" si="0"/>
        <v>36.207915619851846</v>
      </c>
      <c r="G29" s="4" t="s">
        <v>11</v>
      </c>
      <c r="H29" s="5" t="s">
        <v>35</v>
      </c>
      <c r="I29" s="1">
        <f>11961.995/138375.313</f>
        <v>8.6446019457242354E-2</v>
      </c>
      <c r="J29" s="6">
        <v>11962</v>
      </c>
      <c r="K29" s="6">
        <v>7656.71</v>
      </c>
      <c r="L29" s="7">
        <f t="shared" si="1"/>
        <v>0.56228980854701294</v>
      </c>
      <c r="M29" s="8">
        <v>18.670000000000002</v>
      </c>
      <c r="N29" s="9">
        <f>76.3/82.66</f>
        <v>0.92305831115412529</v>
      </c>
      <c r="O29" s="10">
        <v>4</v>
      </c>
      <c r="P29" s="11">
        <f t="shared" si="2"/>
        <v>10.355296201549301</v>
      </c>
      <c r="Q29" s="11">
        <v>5.0599999999999996</v>
      </c>
    </row>
    <row r="30" spans="1:17" ht="19.5" thickBot="1" x14ac:dyDescent="0.35">
      <c r="A30" s="59"/>
      <c r="B30" s="19" t="s">
        <v>43</v>
      </c>
      <c r="C30" s="19">
        <v>1.0999999999999999E-2</v>
      </c>
      <c r="D30" s="20">
        <v>3.3000000000000002E-2</v>
      </c>
      <c r="E30" s="3">
        <v>1.1509999632835388E-2</v>
      </c>
      <c r="F30" s="4">
        <f t="shared" si="0"/>
        <v>34.878786766167842</v>
      </c>
      <c r="G30" s="4" t="s">
        <v>11</v>
      </c>
      <c r="H30" s="21" t="s">
        <v>35</v>
      </c>
      <c r="I30" s="19">
        <f>8927.941/131673.271</f>
        <v>6.7803745833883017E-2</v>
      </c>
      <c r="J30" s="6">
        <v>8927.94</v>
      </c>
      <c r="K30" s="6">
        <v>5386.68</v>
      </c>
      <c r="L30" s="7">
        <f t="shared" si="1"/>
        <v>0.65741050145915492</v>
      </c>
      <c r="M30" s="22">
        <v>6.3</v>
      </c>
      <c r="N30" s="11">
        <f>59.7/97</f>
        <v>0.61546391752577323</v>
      </c>
      <c r="O30" s="23">
        <v>10.220000000000001</v>
      </c>
      <c r="P30" s="11">
        <f t="shared" si="2"/>
        <v>3.1739030922750544</v>
      </c>
      <c r="Q30" s="11">
        <v>2</v>
      </c>
    </row>
    <row r="31" spans="1:17" ht="19.5" thickBot="1" x14ac:dyDescent="0.35">
      <c r="A31" s="59"/>
      <c r="B31" s="1" t="s">
        <v>44</v>
      </c>
      <c r="C31" s="1">
        <v>0.23</v>
      </c>
      <c r="D31" s="2">
        <v>0.54300000000000004</v>
      </c>
      <c r="E31" s="3">
        <v>0.24979999661445618</v>
      </c>
      <c r="F31" s="4">
        <f t="shared" si="0"/>
        <v>46.003682617763566</v>
      </c>
      <c r="G31" s="4" t="s">
        <v>11</v>
      </c>
      <c r="H31" s="5" t="s">
        <v>35</v>
      </c>
      <c r="I31" s="1">
        <f>6686.587/54947.695</f>
        <v>0.12169003631544509</v>
      </c>
      <c r="J31" s="6">
        <v>6686.59</v>
      </c>
      <c r="K31" s="6">
        <v>3611.35</v>
      </c>
      <c r="L31" s="7">
        <f t="shared" si="1"/>
        <v>0.8515485898625168</v>
      </c>
      <c r="M31" s="8">
        <v>11.64</v>
      </c>
      <c r="N31" s="9">
        <f>54/96</f>
        <v>0.5625</v>
      </c>
      <c r="O31" s="10">
        <v>3.7</v>
      </c>
      <c r="P31" s="11">
        <f t="shared" si="2"/>
        <v>12.723635304717856</v>
      </c>
      <c r="Q31" s="11">
        <v>6.6</v>
      </c>
    </row>
    <row r="32" spans="1:17" x14ac:dyDescent="0.3">
      <c r="A32" s="59"/>
      <c r="B32" s="24" t="s">
        <v>45</v>
      </c>
      <c r="C32" s="24">
        <v>66.400000000000006</v>
      </c>
      <c r="D32" s="25">
        <v>100.18</v>
      </c>
      <c r="E32" s="3">
        <v>73.800003051757813</v>
      </c>
      <c r="F32" s="4">
        <f t="shared" si="0"/>
        <v>73.66740172864624</v>
      </c>
      <c r="H32" s="48" t="s">
        <v>35</v>
      </c>
      <c r="I32" s="24">
        <f>3020.69/34662.92</f>
        <v>8.7144706793311127E-2</v>
      </c>
      <c r="J32" s="6">
        <v>3020.69</v>
      </c>
      <c r="K32" s="6">
        <v>2855.49</v>
      </c>
      <c r="L32" s="7">
        <f t="shared" si="1"/>
        <v>5.7853468231372052E-2</v>
      </c>
      <c r="M32" s="27">
        <v>7.85</v>
      </c>
      <c r="N32" s="29">
        <f>35.7/51</f>
        <v>0.70000000000000007</v>
      </c>
      <c r="O32" s="23">
        <v>16.399999999999999</v>
      </c>
      <c r="P32" s="11">
        <f t="shared" si="2"/>
        <v>2.6859821169179949</v>
      </c>
      <c r="Q32" s="11">
        <v>1.91</v>
      </c>
    </row>
    <row r="33" spans="1:17" x14ac:dyDescent="0.3">
      <c r="A33" s="59"/>
      <c r="B33" s="19" t="s">
        <v>46</v>
      </c>
      <c r="C33" s="19">
        <v>0.16</v>
      </c>
      <c r="D33" s="20">
        <v>0.53600000000000003</v>
      </c>
      <c r="E33" s="3">
        <v>0.15539999306201935</v>
      </c>
      <c r="F33" s="4">
        <f t="shared" si="0"/>
        <v>28.992536019033459</v>
      </c>
      <c r="H33" s="21" t="s">
        <v>35</v>
      </c>
      <c r="I33" s="19">
        <f>2657.425/47540.408</f>
        <v>5.5898237137552542E-2</v>
      </c>
      <c r="J33" s="6">
        <v>2657.43</v>
      </c>
      <c r="K33" s="6">
        <v>1358.83</v>
      </c>
      <c r="L33" s="7">
        <f t="shared" si="1"/>
        <v>0.95567510284583057</v>
      </c>
      <c r="M33" s="22">
        <v>2.71</v>
      </c>
      <c r="N33" s="11">
        <f>44/106</f>
        <v>0.41509433962264153</v>
      </c>
      <c r="O33" s="23">
        <v>14</v>
      </c>
      <c r="P33" s="11">
        <f t="shared" si="2"/>
        <v>2.1266799918480364</v>
      </c>
      <c r="Q33" s="11">
        <v>1.44</v>
      </c>
    </row>
    <row r="34" spans="1:17" x14ac:dyDescent="0.3">
      <c r="A34" s="59"/>
      <c r="B34" s="19" t="s">
        <v>47</v>
      </c>
      <c r="C34" s="19">
        <v>5.3999999999999999E-2</v>
      </c>
      <c r="D34" s="20">
        <v>0.21</v>
      </c>
      <c r="E34" s="3">
        <v>5.6600000709295273E-2</v>
      </c>
      <c r="F34" s="4">
        <f t="shared" si="0"/>
        <v>26.952381290140607</v>
      </c>
      <c r="H34" s="21" t="s">
        <v>35</v>
      </c>
      <c r="I34" s="19">
        <f>1080.736/19811.352</f>
        <v>5.4551350155203952E-2</v>
      </c>
      <c r="J34" s="6">
        <v>1080.74</v>
      </c>
      <c r="K34" s="6">
        <v>584.64</v>
      </c>
      <c r="L34" s="7">
        <f t="shared" si="1"/>
        <v>0.84855637657361793</v>
      </c>
      <c r="M34" s="22">
        <v>3.9</v>
      </c>
      <c r="N34" s="11">
        <f>29512.7/49135.51</f>
        <v>0.60063892691863785</v>
      </c>
      <c r="O34" s="23">
        <v>8.3000000000000007</v>
      </c>
      <c r="P34" s="11">
        <f t="shared" si="2"/>
        <v>2.2570624187072177</v>
      </c>
      <c r="Q34" s="11">
        <v>1.25</v>
      </c>
    </row>
    <row r="35" spans="1:17" x14ac:dyDescent="0.3">
      <c r="B35" s="12" t="s">
        <v>48</v>
      </c>
      <c r="C35" s="12">
        <v>2623</v>
      </c>
      <c r="D35" s="13">
        <v>850</v>
      </c>
      <c r="E35" s="3">
        <v>3689</v>
      </c>
      <c r="F35" s="4">
        <f t="shared" si="0"/>
        <v>434</v>
      </c>
      <c r="H35" s="14" t="s">
        <v>49</v>
      </c>
      <c r="I35" s="12">
        <f>49349/125637</f>
        <v>0.39279034042519323</v>
      </c>
      <c r="J35" s="15">
        <v>49349</v>
      </c>
      <c r="K35" s="49">
        <v>15000</v>
      </c>
      <c r="L35" s="16">
        <f t="shared" si="1"/>
        <v>2.2899333333333334</v>
      </c>
      <c r="M35" s="17">
        <v>19.91</v>
      </c>
      <c r="N35" s="17">
        <f>177/248</f>
        <v>0.71370967741935487</v>
      </c>
      <c r="O35" s="18">
        <v>38.700000000000003</v>
      </c>
      <c r="P35" s="11">
        <f t="shared" si="2"/>
        <v>6.6065368866034833</v>
      </c>
      <c r="Q35" s="11">
        <v>5.41</v>
      </c>
    </row>
    <row r="36" spans="1:17" ht="19.5" thickBot="1" x14ac:dyDescent="0.35">
      <c r="B36" s="19" t="s">
        <v>50</v>
      </c>
      <c r="C36" s="19">
        <v>5324</v>
      </c>
      <c r="D36" s="20">
        <v>923</v>
      </c>
      <c r="E36" s="3">
        <v>6032</v>
      </c>
      <c r="F36" s="4">
        <f t="shared" si="0"/>
        <v>653.52112676056345</v>
      </c>
      <c r="H36" s="21" t="s">
        <v>49</v>
      </c>
      <c r="I36" s="19">
        <f>24219/81965</f>
        <v>0.29547977795400476</v>
      </c>
      <c r="J36" s="6">
        <v>24219</v>
      </c>
      <c r="K36" s="6">
        <v>12000</v>
      </c>
      <c r="L36" s="7">
        <f t="shared" si="1"/>
        <v>1.0182500000000001</v>
      </c>
      <c r="M36" s="22">
        <v>19.57</v>
      </c>
      <c r="N36" s="11">
        <f>139/115</f>
        <v>1.2086956521739129</v>
      </c>
      <c r="O36" s="23">
        <v>2.17</v>
      </c>
      <c r="P36" s="11">
        <f t="shared" si="2"/>
        <v>7.1449932547301884</v>
      </c>
      <c r="Q36" s="11">
        <v>-1</v>
      </c>
    </row>
    <row r="37" spans="1:17" ht="38.25" thickBot="1" x14ac:dyDescent="0.35">
      <c r="A37" s="59"/>
      <c r="B37" s="1" t="s">
        <v>51</v>
      </c>
      <c r="C37" s="1">
        <v>41.14</v>
      </c>
      <c r="D37" s="2">
        <v>100.2</v>
      </c>
      <c r="E37" s="3">
        <v>29.850000381469727</v>
      </c>
      <c r="F37" s="4">
        <f t="shared" si="0"/>
        <v>29.790419542384956</v>
      </c>
      <c r="H37" s="5" t="s">
        <v>52</v>
      </c>
      <c r="I37" s="1">
        <f>1687.39/14466.29</f>
        <v>0.11664289876671904</v>
      </c>
      <c r="J37" s="6">
        <v>1687.39</v>
      </c>
      <c r="K37" s="6">
        <v>1182.67</v>
      </c>
      <c r="L37" s="7">
        <f t="shared" si="1"/>
        <v>0.42676317146794962</v>
      </c>
      <c r="M37" s="8">
        <v>20.9</v>
      </c>
      <c r="N37" s="9">
        <f>135/137</f>
        <v>0.98540145985401462</v>
      </c>
      <c r="O37" s="10">
        <v>3.2</v>
      </c>
      <c r="P37" s="11">
        <f t="shared" si="2"/>
        <v>10.809991404533175</v>
      </c>
      <c r="Q37" s="11">
        <v>3.93</v>
      </c>
    </row>
    <row r="38" spans="1:17" x14ac:dyDescent="0.3">
      <c r="B38" s="24" t="s">
        <v>53</v>
      </c>
      <c r="C38" s="24">
        <v>1809</v>
      </c>
      <c r="D38" s="25">
        <v>1420</v>
      </c>
      <c r="E38" s="3">
        <v>2099</v>
      </c>
      <c r="F38" s="4">
        <f t="shared" si="0"/>
        <v>147.81690140845069</v>
      </c>
      <c r="H38" s="26" t="s">
        <v>54</v>
      </c>
      <c r="I38" s="24">
        <f>6751/61284</f>
        <v>0.11015925853403825</v>
      </c>
      <c r="J38" s="6">
        <v>6751</v>
      </c>
      <c r="K38" s="6">
        <v>1919.23</v>
      </c>
      <c r="L38" s="7">
        <f t="shared" si="1"/>
        <v>2.5175565200627337</v>
      </c>
      <c r="M38" s="27">
        <v>14</v>
      </c>
      <c r="N38" s="29">
        <f>84/120</f>
        <v>0.7</v>
      </c>
      <c r="O38" s="23">
        <v>6.31</v>
      </c>
      <c r="P38" s="11">
        <f t="shared" si="2"/>
        <v>8.4497011467076248</v>
      </c>
      <c r="Q38" s="11">
        <v>4.5999999999999996</v>
      </c>
    </row>
    <row r="39" spans="1:17" x14ac:dyDescent="0.3">
      <c r="B39" s="19" t="s">
        <v>55</v>
      </c>
      <c r="C39" s="19">
        <v>47633</v>
      </c>
      <c r="D39" s="20">
        <v>174.3</v>
      </c>
      <c r="E39" s="3">
        <v>51000</v>
      </c>
      <c r="F39" s="4">
        <f t="shared" si="0"/>
        <v>29259.896729776243</v>
      </c>
      <c r="H39" s="21" t="s">
        <v>56</v>
      </c>
      <c r="I39" s="19">
        <f>5921.388/41940.15</f>
        <v>0.14118661950422209</v>
      </c>
      <c r="J39" s="6">
        <v>5921.39</v>
      </c>
      <c r="K39" s="6">
        <v>2463.5700000000002</v>
      </c>
      <c r="L39" s="7">
        <f t="shared" si="1"/>
        <v>1.4035809820707348</v>
      </c>
      <c r="M39" s="22">
        <v>19.5</v>
      </c>
      <c r="N39" s="11">
        <f>2950/15761</f>
        <v>0.18717086479284309</v>
      </c>
      <c r="O39" s="23">
        <v>6.5</v>
      </c>
      <c r="P39" s="11">
        <f t="shared" si="2"/>
        <v>24.323003561273026</v>
      </c>
      <c r="Q39" s="11">
        <v>7</v>
      </c>
    </row>
    <row r="40" spans="1:17" x14ac:dyDescent="0.3">
      <c r="B40" s="19" t="s">
        <v>57</v>
      </c>
      <c r="C40" s="19">
        <v>754</v>
      </c>
      <c r="D40" s="20">
        <v>833</v>
      </c>
      <c r="E40" s="3">
        <v>931.5999755859375</v>
      </c>
      <c r="F40" s="4">
        <f t="shared" si="0"/>
        <v>111.83673176301771</v>
      </c>
      <c r="G40" s="4" t="s">
        <v>11</v>
      </c>
      <c r="H40" s="21" t="s">
        <v>58</v>
      </c>
      <c r="I40" s="19">
        <f>7469/83910</f>
        <v>8.9012036705994516E-2</v>
      </c>
      <c r="J40" s="6">
        <v>7469</v>
      </c>
      <c r="K40" s="6">
        <v>6300</v>
      </c>
      <c r="L40" s="7">
        <f t="shared" si="1"/>
        <v>0.18555555555555547</v>
      </c>
      <c r="M40" s="22">
        <v>15.73</v>
      </c>
      <c r="N40" s="11">
        <f>196/110</f>
        <v>1.7818181818181817</v>
      </c>
      <c r="O40" s="23">
        <v>10.199999999999999</v>
      </c>
      <c r="P40" s="11">
        <f t="shared" si="2"/>
        <v>3.9647178745967064</v>
      </c>
      <c r="Q40" s="11">
        <v>3</v>
      </c>
    </row>
    <row r="41" spans="1:17" x14ac:dyDescent="0.3">
      <c r="A41" s="59"/>
      <c r="B41" s="19" t="s">
        <v>59</v>
      </c>
      <c r="C41" s="19">
        <v>57.12</v>
      </c>
      <c r="D41" s="20">
        <v>72.55</v>
      </c>
      <c r="E41" s="3">
        <v>58.259998321533203</v>
      </c>
      <c r="F41" s="4">
        <f t="shared" si="0"/>
        <v>80.303236831885883</v>
      </c>
      <c r="H41" s="21" t="s">
        <v>60</v>
      </c>
      <c r="I41" s="19">
        <f>4148.72560376793/53776.10658375</f>
        <v>7.7148121486013022E-2</v>
      </c>
      <c r="J41" s="6">
        <v>4721.8100000000004</v>
      </c>
      <c r="K41" s="6">
        <v>166.63</v>
      </c>
      <c r="L41" s="7">
        <f t="shared" si="1"/>
        <v>27.33709416071536</v>
      </c>
      <c r="M41" s="22">
        <v>13.32</v>
      </c>
      <c r="N41" s="11">
        <f>301635/351025.08</f>
        <v>0.8592975749766939</v>
      </c>
      <c r="O41" s="23">
        <v>2.61</v>
      </c>
      <c r="P41" s="11">
        <f t="shared" si="2"/>
        <v>24.505246194310505</v>
      </c>
      <c r="Q41" s="11">
        <v>6.3</v>
      </c>
    </row>
    <row r="42" spans="1:17" x14ac:dyDescent="0.3">
      <c r="B42" s="19" t="s">
        <v>61</v>
      </c>
      <c r="C42" s="19">
        <v>185</v>
      </c>
      <c r="D42" s="20">
        <v>24.94</v>
      </c>
      <c r="E42" s="3">
        <v>245</v>
      </c>
      <c r="F42" s="4">
        <f t="shared" si="0"/>
        <v>982.35765838011218</v>
      </c>
      <c r="H42" s="21" t="s">
        <v>60</v>
      </c>
      <c r="I42" s="19">
        <f>9942/5748</f>
        <v>1.7296450939457202</v>
      </c>
      <c r="J42" s="6">
        <v>9942</v>
      </c>
      <c r="K42" s="6">
        <v>6889</v>
      </c>
      <c r="L42" s="7">
        <f t="shared" si="1"/>
        <v>0.44317027144723475</v>
      </c>
      <c r="M42" s="22">
        <v>13</v>
      </c>
      <c r="N42" s="11">
        <f>142/192</f>
        <v>0.73958333333333337</v>
      </c>
      <c r="O42" s="23">
        <v>7.4</v>
      </c>
      <c r="P42" s="11">
        <f t="shared" si="2"/>
        <v>9.2859533277845756</v>
      </c>
      <c r="Q42" s="11">
        <v>5.0999999999999996</v>
      </c>
    </row>
    <row r="43" spans="1:17" x14ac:dyDescent="0.3">
      <c r="B43" s="24" t="s">
        <v>62</v>
      </c>
      <c r="C43" s="24">
        <v>1147</v>
      </c>
      <c r="D43" s="25">
        <v>300</v>
      </c>
      <c r="E43" s="3">
        <v>873</v>
      </c>
      <c r="F43" s="4">
        <f t="shared" si="0"/>
        <v>291</v>
      </c>
      <c r="H43" s="26" t="s">
        <v>63</v>
      </c>
      <c r="I43" s="24">
        <f>74.6779145187684/441.739620439132</f>
        <v>0.1690541465230837</v>
      </c>
      <c r="J43" s="6">
        <v>5000</v>
      </c>
      <c r="K43" s="6">
        <v>2000</v>
      </c>
      <c r="L43" s="7">
        <f t="shared" si="1"/>
        <v>1.5</v>
      </c>
      <c r="M43" s="27">
        <v>26</v>
      </c>
      <c r="N43" s="29">
        <f>54/39</f>
        <v>1.3846153846153846</v>
      </c>
      <c r="O43" s="23">
        <v>5.4</v>
      </c>
      <c r="P43" s="11">
        <f t="shared" si="2"/>
        <v>11.847037685617734</v>
      </c>
      <c r="Q43" s="11">
        <v>8</v>
      </c>
    </row>
    <row r="44" spans="1:17" ht="37.5" x14ac:dyDescent="0.3">
      <c r="B44" s="19" t="s">
        <v>64</v>
      </c>
      <c r="C44" s="19">
        <v>460</v>
      </c>
      <c r="D44" s="20">
        <v>280</v>
      </c>
      <c r="E44" s="3">
        <v>502.85000610351563</v>
      </c>
      <c r="F44" s="4">
        <f t="shared" si="0"/>
        <v>179.58928789411272</v>
      </c>
      <c r="H44" s="21" t="s">
        <v>65</v>
      </c>
      <c r="I44" s="19">
        <f>321.582672476518/910.095430731326</f>
        <v>0.35335049668154422</v>
      </c>
      <c r="J44" s="6">
        <v>321</v>
      </c>
      <c r="K44" s="6">
        <v>181</v>
      </c>
      <c r="L44" s="7">
        <f t="shared" si="1"/>
        <v>0.77348066298342544</v>
      </c>
      <c r="M44" s="22">
        <f>2327/456</f>
        <v>5.1030701754385968</v>
      </c>
      <c r="N44" s="11">
        <v>0.5</v>
      </c>
      <c r="O44" s="23">
        <v>4.9000000000000004</v>
      </c>
      <c r="P44" s="11">
        <f t="shared" si="2"/>
        <v>20.751942675629309</v>
      </c>
      <c r="Q44" s="11">
        <v>18</v>
      </c>
    </row>
    <row r="45" spans="1:17" x14ac:dyDescent="0.3">
      <c r="B45" s="19" t="s">
        <v>66</v>
      </c>
      <c r="C45" s="19">
        <v>494</v>
      </c>
      <c r="D45" s="20">
        <v>195</v>
      </c>
      <c r="E45" s="3">
        <v>780.70001220703125</v>
      </c>
      <c r="F45" s="4">
        <f t="shared" si="0"/>
        <v>400.35898061899042</v>
      </c>
      <c r="H45" s="21" t="s">
        <v>67</v>
      </c>
      <c r="I45" s="19">
        <f>7134/32127</f>
        <v>0.22205621439910356</v>
      </c>
      <c r="J45" s="6">
        <v>7134</v>
      </c>
      <c r="K45" s="6">
        <v>5546</v>
      </c>
      <c r="L45" s="7">
        <f t="shared" si="1"/>
        <v>0.28633249188604393</v>
      </c>
      <c r="M45" s="22">
        <v>7</v>
      </c>
      <c r="N45" s="11">
        <f>317/365</f>
        <v>0.86849315068493149</v>
      </c>
      <c r="O45" s="23">
        <v>15.6</v>
      </c>
      <c r="P45" s="11">
        <f t="shared" si="2"/>
        <v>2.5098527361855645</v>
      </c>
      <c r="Q45" s="11">
        <v>1.75</v>
      </c>
    </row>
    <row r="46" spans="1:17" ht="37.5" x14ac:dyDescent="0.3">
      <c r="B46" s="19" t="s">
        <v>68</v>
      </c>
      <c r="C46" s="19">
        <v>1695</v>
      </c>
      <c r="D46" s="20">
        <v>976</v>
      </c>
      <c r="E46" s="3">
        <v>3531.800048828125</v>
      </c>
      <c r="F46" s="4">
        <f t="shared" si="0"/>
        <v>361.86475910124233</v>
      </c>
      <c r="H46" s="21" t="s">
        <v>69</v>
      </c>
      <c r="I46" s="19">
        <f>558.272331596683/1546.97775700545</f>
        <v>0.3608793527046919</v>
      </c>
      <c r="J46" s="50">
        <v>558.27233159668299</v>
      </c>
      <c r="K46" s="50">
        <v>180.69806096480701</v>
      </c>
      <c r="L46" s="7">
        <f t="shared" si="1"/>
        <v>2.0895313907403401</v>
      </c>
      <c r="M46" s="51">
        <f>667.370509680427/2545.11413405534*100</f>
        <v>26.221633865081351</v>
      </c>
      <c r="N46" s="51">
        <f>7782.64316178123/2545.11413405534</f>
        <v>3.0578758954831247</v>
      </c>
      <c r="O46" s="52">
        <v>7.2</v>
      </c>
      <c r="P46" s="11">
        <f t="shared" si="2"/>
        <v>46.646774012896437</v>
      </c>
      <c r="Q46" s="11">
        <v>45</v>
      </c>
    </row>
    <row r="47" spans="1:17" x14ac:dyDescent="0.3">
      <c r="A47" s="59"/>
      <c r="B47" s="19" t="s">
        <v>70</v>
      </c>
      <c r="C47" s="19">
        <v>940.7</v>
      </c>
      <c r="D47" s="20">
        <v>2034</v>
      </c>
      <c r="E47" s="3">
        <v>2158</v>
      </c>
      <c r="F47" s="4">
        <f t="shared" si="0"/>
        <v>106.09636184857423</v>
      </c>
      <c r="H47" s="21" t="s">
        <v>71</v>
      </c>
      <c r="I47" s="19">
        <f>1353/18832</f>
        <v>7.1845794392523366E-2</v>
      </c>
      <c r="J47" s="6">
        <v>1353</v>
      </c>
      <c r="K47" s="6">
        <v>237</v>
      </c>
      <c r="L47" s="7">
        <f t="shared" si="1"/>
        <v>4.7088607594936711</v>
      </c>
      <c r="M47" s="22">
        <v>8.33</v>
      </c>
      <c r="N47" s="11">
        <f>38596/53074</f>
        <v>0.72721106379771638</v>
      </c>
      <c r="O47" s="23">
        <v>12.15</v>
      </c>
      <c r="P47" s="11">
        <f t="shared" si="2"/>
        <v>3.647562154580315</v>
      </c>
      <c r="Q47" s="11">
        <v>2.1</v>
      </c>
    </row>
    <row r="48" spans="1:17" x14ac:dyDescent="0.3">
      <c r="B48" s="19" t="s">
        <v>72</v>
      </c>
      <c r="C48" s="19">
        <v>437.2</v>
      </c>
      <c r="D48" s="20">
        <v>192</v>
      </c>
      <c r="E48" s="3">
        <v>755</v>
      </c>
      <c r="F48" s="4">
        <f t="shared" si="0"/>
        <v>393.22916666666663</v>
      </c>
      <c r="H48" s="21" t="s">
        <v>58</v>
      </c>
      <c r="I48" s="19">
        <f>44900/110288</f>
        <v>0.40711591469606845</v>
      </c>
      <c r="J48" s="6">
        <v>44900</v>
      </c>
      <c r="K48" s="6">
        <v>18678</v>
      </c>
      <c r="L48" s="7">
        <f t="shared" si="1"/>
        <v>1.4038976335796125</v>
      </c>
      <c r="M48" s="22">
        <v>21.8</v>
      </c>
      <c r="N48" s="11">
        <f>363216/280635</f>
        <v>1.2942647923459298</v>
      </c>
      <c r="O48" s="23">
        <v>7.04</v>
      </c>
      <c r="P48" s="11">
        <f t="shared" si="2"/>
        <v>15.293741772155892</v>
      </c>
      <c r="Q48" s="11">
        <v>12.34</v>
      </c>
    </row>
    <row r="49" spans="1:17" ht="37.5" x14ac:dyDescent="0.3">
      <c r="B49" s="19" t="s">
        <v>73</v>
      </c>
      <c r="C49" s="19">
        <v>461.45</v>
      </c>
      <c r="D49" s="20">
        <v>252</v>
      </c>
      <c r="E49" s="3">
        <v>492.89999389648438</v>
      </c>
      <c r="F49" s="4">
        <f t="shared" si="0"/>
        <v>195.59523567320809</v>
      </c>
      <c r="H49" s="21" t="s">
        <v>74</v>
      </c>
      <c r="I49" s="19">
        <f>40.765193404795/287.880997128481</f>
        <v>0.14160432196433423</v>
      </c>
      <c r="J49" s="6">
        <v>40.765193404794999</v>
      </c>
      <c r="K49" s="6">
        <v>19.9614242037186</v>
      </c>
      <c r="L49" s="7">
        <f t="shared" si="1"/>
        <v>1.0421986421790925</v>
      </c>
      <c r="M49" s="22">
        <v>19.7</v>
      </c>
      <c r="N49" s="11">
        <f>173.731775081383/249.753703525505</f>
        <v>0.69561240786021583</v>
      </c>
      <c r="O49" s="23">
        <v>9.1999999999999993</v>
      </c>
      <c r="P49" s="11">
        <f t="shared" si="2"/>
        <v>13.752758136152151</v>
      </c>
      <c r="Q49" s="11">
        <v>10.37</v>
      </c>
    </row>
    <row r="50" spans="1:17" x14ac:dyDescent="0.3">
      <c r="B50" s="12" t="s">
        <v>75</v>
      </c>
      <c r="C50" s="12">
        <v>228.5</v>
      </c>
      <c r="D50" s="13">
        <v>209</v>
      </c>
      <c r="E50" s="3">
        <v>264.89999389648438</v>
      </c>
      <c r="F50" s="4">
        <f t="shared" si="0"/>
        <v>126.7464085629112</v>
      </c>
      <c r="G50" s="4" t="s">
        <v>11</v>
      </c>
      <c r="H50" s="14" t="s">
        <v>76</v>
      </c>
      <c r="I50" s="12">
        <f>918200/4486700</f>
        <v>0.20464929681057348</v>
      </c>
      <c r="J50" s="15">
        <v>844900</v>
      </c>
      <c r="K50" s="15">
        <v>540500</v>
      </c>
      <c r="L50" s="16">
        <f t="shared" si="1"/>
        <v>0.56318223866790018</v>
      </c>
      <c r="M50" s="17">
        <v>38.39</v>
      </c>
      <c r="N50" s="17">
        <f>25480/3202</f>
        <v>7.9575265459088067</v>
      </c>
      <c r="O50" s="18">
        <v>7.8</v>
      </c>
      <c r="P50" s="11">
        <f t="shared" si="2"/>
        <v>3.1122309572793903</v>
      </c>
      <c r="Q50" s="11">
        <v>2.2799999999999998</v>
      </c>
    </row>
    <row r="51" spans="1:17" x14ac:dyDescent="0.3">
      <c r="B51" s="12" t="s">
        <v>77</v>
      </c>
      <c r="C51" s="12">
        <v>5.8140000000000001</v>
      </c>
      <c r="D51" s="13">
        <v>5.91</v>
      </c>
      <c r="E51" s="3">
        <v>6.4109997749328613</v>
      </c>
      <c r="F51" s="4">
        <f t="shared" si="0"/>
        <v>108.47715355216347</v>
      </c>
      <c r="H51" s="14" t="s">
        <v>76</v>
      </c>
      <c r="I51" s="12">
        <f>11957/210432</f>
        <v>5.682120590024331E-2</v>
      </c>
      <c r="J51" s="15">
        <v>11957</v>
      </c>
      <c r="K51" s="15">
        <v>10873.62</v>
      </c>
      <c r="L51" s="16">
        <f t="shared" si="1"/>
        <v>9.9633792610004601E-2</v>
      </c>
      <c r="M51" s="17">
        <v>26.63</v>
      </c>
      <c r="N51" s="17">
        <f>2213/168</f>
        <v>13.172619047619047</v>
      </c>
      <c r="O51" s="18">
        <v>10.5</v>
      </c>
      <c r="P51" s="11">
        <f t="shared" si="2"/>
        <v>0.92007657900542184</v>
      </c>
      <c r="Q51" s="11">
        <v>0.67</v>
      </c>
    </row>
    <row r="52" spans="1:17" x14ac:dyDescent="0.3">
      <c r="B52" s="53" t="s">
        <v>78</v>
      </c>
      <c r="C52" s="53">
        <v>734</v>
      </c>
      <c r="D52" s="54">
        <v>325</v>
      </c>
      <c r="E52" s="3">
        <v>1040</v>
      </c>
      <c r="F52" s="4">
        <f t="shared" si="0"/>
        <v>320</v>
      </c>
      <c r="H52" s="55" t="s">
        <v>76</v>
      </c>
      <c r="I52" s="53">
        <f>7143.006/28377.733</f>
        <v>0.25171165011666014</v>
      </c>
      <c r="J52" s="15">
        <v>7143.01</v>
      </c>
      <c r="K52" s="15">
        <v>2500</v>
      </c>
      <c r="L52" s="16">
        <f t="shared" si="1"/>
        <v>1.8572040000000003</v>
      </c>
      <c r="M52" s="56">
        <v>34</v>
      </c>
      <c r="N52" s="56">
        <f>91.67/23.7</f>
        <v>3.8679324894514768</v>
      </c>
      <c r="O52" s="18">
        <v>18.8</v>
      </c>
      <c r="P52" s="11">
        <f t="shared" si="2"/>
        <v>10.744816969381645</v>
      </c>
      <c r="Q52" s="11">
        <v>10</v>
      </c>
    </row>
    <row r="53" spans="1:17" x14ac:dyDescent="0.3">
      <c r="A53" s="59"/>
      <c r="B53" s="12" t="s">
        <v>79</v>
      </c>
      <c r="C53" s="12">
        <v>49.5</v>
      </c>
      <c r="D53" s="13">
        <v>177</v>
      </c>
      <c r="E53" s="3">
        <v>55.099998474121094</v>
      </c>
      <c r="F53" s="4">
        <f t="shared" si="0"/>
        <v>31.129942640746382</v>
      </c>
      <c r="H53" s="14" t="s">
        <v>76</v>
      </c>
      <c r="I53" s="12">
        <f>7905.891/80070.268</f>
        <v>9.8736911933403296E-2</v>
      </c>
      <c r="J53" s="15">
        <v>7905.89</v>
      </c>
      <c r="K53" s="15">
        <v>4277.8100000000004</v>
      </c>
      <c r="L53" s="16">
        <f t="shared" si="1"/>
        <v>0.84811620899478934</v>
      </c>
      <c r="M53" s="17">
        <v>28.5</v>
      </c>
      <c r="N53" s="17">
        <f>593.6/59.4</f>
        <v>9.9932659932659931</v>
      </c>
      <c r="O53" s="18">
        <v>2.7</v>
      </c>
      <c r="P53" s="11">
        <f t="shared" si="2"/>
        <v>2.4564366366602992</v>
      </c>
      <c r="Q53" s="11">
        <v>1.27</v>
      </c>
    </row>
    <row r="54" spans="1:17" ht="19.5" thickBot="1" x14ac:dyDescent="0.35">
      <c r="B54" s="53" t="s">
        <v>80</v>
      </c>
      <c r="C54" s="53">
        <v>3.7999999999999999E-2</v>
      </c>
      <c r="D54" s="54">
        <v>2.3699999999999999E-2</v>
      </c>
      <c r="E54" s="3">
        <v>3.7450000643730164E-2</v>
      </c>
      <c r="F54" s="4">
        <f t="shared" si="0"/>
        <v>158.01688035329184</v>
      </c>
      <c r="H54" s="55" t="s">
        <v>76</v>
      </c>
      <c r="I54" s="53">
        <f>202000/1660400</f>
        <v>0.12165743194410986</v>
      </c>
      <c r="J54" s="15">
        <v>202000</v>
      </c>
      <c r="K54" s="15">
        <v>52300</v>
      </c>
      <c r="L54" s="16">
        <f t="shared" si="1"/>
        <v>2.8623326959847035</v>
      </c>
      <c r="M54" s="56">
        <v>16</v>
      </c>
      <c r="N54" s="56">
        <f>13855700/1549900</f>
        <v>8.9397380476159753</v>
      </c>
      <c r="O54" s="18">
        <v>3.94</v>
      </c>
      <c r="P54" s="11">
        <f t="shared" si="2"/>
        <v>1.1071758173572031</v>
      </c>
      <c r="Q54" s="11">
        <v>0.45</v>
      </c>
    </row>
    <row r="55" spans="1:17" ht="38.25" thickBot="1" x14ac:dyDescent="0.35">
      <c r="B55" s="38" t="s">
        <v>81</v>
      </c>
      <c r="C55" s="38">
        <v>483.5</v>
      </c>
      <c r="D55" s="39">
        <v>139</v>
      </c>
      <c r="E55" s="3">
        <v>491.79998779296875</v>
      </c>
      <c r="F55" s="4">
        <f t="shared" si="0"/>
        <v>353.8129408582509</v>
      </c>
      <c r="H55" s="40" t="s">
        <v>82</v>
      </c>
      <c r="I55" s="38">
        <f>9196.51/88233.6</f>
        <v>0.10422911453233236</v>
      </c>
      <c r="J55" s="15">
        <v>9196.51</v>
      </c>
      <c r="K55" s="15">
        <v>3310.01</v>
      </c>
      <c r="L55" s="16">
        <f t="shared" si="1"/>
        <v>1.7783934187510004</v>
      </c>
      <c r="M55" s="41">
        <v>47.18</v>
      </c>
      <c r="N55" s="41">
        <f>340/13</f>
        <v>26.153846153846153</v>
      </c>
      <c r="O55" s="42">
        <v>6.35</v>
      </c>
      <c r="P55" s="11">
        <f t="shared" si="2"/>
        <v>10.39902259042106</v>
      </c>
      <c r="Q55" s="11">
        <v>10</v>
      </c>
    </row>
    <row r="56" spans="1:17" ht="38.25" thickBot="1" x14ac:dyDescent="0.35">
      <c r="B56" s="38" t="s">
        <v>83</v>
      </c>
      <c r="C56" s="38">
        <v>226.17</v>
      </c>
      <c r="D56" s="39">
        <v>97.53</v>
      </c>
      <c r="E56" s="3">
        <v>254</v>
      </c>
      <c r="F56" s="4">
        <f t="shared" si="0"/>
        <v>260.43268737824258</v>
      </c>
      <c r="H56" s="40" t="s">
        <v>84</v>
      </c>
      <c r="I56" s="38">
        <f>3257.98/9064.66</f>
        <v>0.35941557653568917</v>
      </c>
      <c r="J56" s="15">
        <v>3257.98</v>
      </c>
      <c r="K56" s="15">
        <v>3885.57</v>
      </c>
      <c r="L56" s="16">
        <f t="shared" si="1"/>
        <v>-0.16151812990114711</v>
      </c>
      <c r="M56" s="41">
        <v>20.3</v>
      </c>
      <c r="N56" s="41">
        <f>5/8.8</f>
        <v>0.56818181818181812</v>
      </c>
      <c r="O56" s="42">
        <v>11.85</v>
      </c>
      <c r="P56" s="11">
        <f t="shared" si="2"/>
        <v>46.350447482980755</v>
      </c>
      <c r="Q56" s="11">
        <v>43</v>
      </c>
    </row>
    <row r="57" spans="1:17" x14ac:dyDescent="0.3">
      <c r="C57" s="3" t="s">
        <v>85</v>
      </c>
    </row>
    <row r="58" spans="1:17" x14ac:dyDescent="0.3">
      <c r="B58" s="57"/>
      <c r="C58" s="57" t="s">
        <v>86</v>
      </c>
      <c r="D58" s="57"/>
      <c r="H58" s="58"/>
      <c r="I58" s="58"/>
      <c r="L58" s="58"/>
      <c r="M58" s="58"/>
      <c r="N58" s="58"/>
      <c r="O58" s="58"/>
      <c r="P58" t="s">
        <v>87</v>
      </c>
      <c r="Q58" t="s">
        <v>88</v>
      </c>
    </row>
    <row r="59" spans="1:17" x14ac:dyDescent="0.3">
      <c r="C59" s="3" t="s">
        <v>89</v>
      </c>
    </row>
    <row r="60" spans="1:17" x14ac:dyDescent="0.3">
      <c r="C60" s="3" t="s">
        <v>90</v>
      </c>
    </row>
  </sheetData>
  <conditionalFormatting sqref="F1:G1048576">
    <cfRule type="cellIs" dxfId="0" priority="1" operator="less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2021-03-27T18:49:30Z</dcterms:modified>
</cp:coreProperties>
</file>