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1" sheetId="1" r:id="rId4"/>
    <sheet state="visible" name="Midterm Exam" sheetId="2" r:id="rId5"/>
  </sheets>
  <definedNames/>
  <calcPr/>
</workbook>
</file>

<file path=xl/sharedStrings.xml><?xml version="1.0" encoding="utf-8"?>
<sst xmlns="http://schemas.openxmlformats.org/spreadsheetml/2006/main" count="207" uniqueCount="170">
  <si>
    <t>case 1</t>
  </si>
  <si>
    <t>case 2</t>
  </si>
  <si>
    <t>case 3</t>
  </si>
  <si>
    <t>case 4</t>
  </si>
  <si>
    <t>批改助教</t>
  </si>
  <si>
    <t>correctness</t>
  </si>
  <si>
    <t>runtime</t>
  </si>
  <si>
    <t>runtim_PR</t>
  </si>
  <si>
    <t>cutsize</t>
  </si>
  <si>
    <t>cutsize_PR</t>
  </si>
  <si>
    <t>total</t>
  </si>
  <si>
    <t>total_PR</t>
  </si>
  <si>
    <t>score</t>
  </si>
  <si>
    <t xml:space="preserve">Penalty </t>
  </si>
  <si>
    <t>total score</t>
  </si>
  <si>
    <t>張馨文</t>
  </si>
  <si>
    <t>2023PDA001</t>
  </si>
  <si>
    <t>楊豐兢</t>
  </si>
  <si>
    <t>2023PDA002</t>
  </si>
  <si>
    <t>何祁恩</t>
  </si>
  <si>
    <t>2023PDA003</t>
  </si>
  <si>
    <t>鄭文洋</t>
  </si>
  <si>
    <t>遲交兩天</t>
  </si>
  <si>
    <t>2023PDA004</t>
  </si>
  <si>
    <t>机長興</t>
  </si>
  <si>
    <t>2023PDA005</t>
  </si>
  <si>
    <t>王品棠</t>
  </si>
  <si>
    <t>資料夾名稱錯誤</t>
  </si>
  <si>
    <t>2023PDA006</t>
  </si>
  <si>
    <t>黎柏麟</t>
  </si>
  <si>
    <t>沒有makefile</t>
  </si>
  <si>
    <t>2023PDA007</t>
  </si>
  <si>
    <t>黃思嘉</t>
  </si>
  <si>
    <t>OVERTIME</t>
  </si>
  <si>
    <t>未交</t>
  </si>
  <si>
    <t>2023PDA008</t>
  </si>
  <si>
    <t>李秉叡</t>
  </si>
  <si>
    <t>2023PDA009</t>
  </si>
  <si>
    <t>許凱博</t>
  </si>
  <si>
    <t>2023PDA010</t>
  </si>
  <si>
    <t>鄭適其</t>
  </si>
  <si>
    <t>2023PDA011</t>
  </si>
  <si>
    <t>葉憶嬅</t>
  </si>
  <si>
    <t>2023PDA012</t>
  </si>
  <si>
    <t>李函倫</t>
  </si>
  <si>
    <t>2023PDA013</t>
  </si>
  <si>
    <t>蔡孟霖</t>
  </si>
  <si>
    <t>2023PDA014</t>
  </si>
  <si>
    <t>陳亭維</t>
  </si>
  <si>
    <t>2023PDA015</t>
  </si>
  <si>
    <t>郭紘如</t>
  </si>
  <si>
    <t>2023PDA016</t>
  </si>
  <si>
    <t>蘇正</t>
  </si>
  <si>
    <t>W</t>
  </si>
  <si>
    <t>2023PDA017</t>
  </si>
  <si>
    <t>許賀捷</t>
  </si>
  <si>
    <t>2023PDA018</t>
  </si>
  <si>
    <t>陳煥沅</t>
  </si>
  <si>
    <t>沒有設資料夾</t>
  </si>
  <si>
    <t>2023PDA019</t>
  </si>
  <si>
    <t>陳柏翰</t>
  </si>
  <si>
    <t>2023PDA020</t>
  </si>
  <si>
    <t>翁敬堯</t>
  </si>
  <si>
    <t>2023PDA021</t>
  </si>
  <si>
    <t>胡奕晨</t>
  </si>
  <si>
    <t>遲交一天</t>
  </si>
  <si>
    <t>2023PDA022</t>
  </si>
  <si>
    <t>張峻維</t>
  </si>
  <si>
    <t>2023PDA023</t>
  </si>
  <si>
    <t>古蔓妲</t>
  </si>
  <si>
    <t>旁聽</t>
  </si>
  <si>
    <t>2023PDA024</t>
  </si>
  <si>
    <t>黃義珊</t>
  </si>
  <si>
    <t>G00686</t>
  </si>
  <si>
    <t>2023PDA025</t>
  </si>
  <si>
    <t>許博濟</t>
  </si>
  <si>
    <t>2023PDA026</t>
  </si>
  <si>
    <t>陳宥嘉</t>
  </si>
  <si>
    <t>2023PDA027</t>
  </si>
  <si>
    <t>劉韋廷</t>
  </si>
  <si>
    <t>2023PDA028</t>
  </si>
  <si>
    <t>郭婕榆</t>
  </si>
  <si>
    <t>2023PDA029</t>
  </si>
  <si>
    <t>曹邦煒</t>
  </si>
  <si>
    <t>2023PDA030</t>
  </si>
  <si>
    <t>許世平</t>
  </si>
  <si>
    <t>E00246</t>
  </si>
  <si>
    <t>執行檔名稱錯誤</t>
  </si>
  <si>
    <t>2023PDA031</t>
  </si>
  <si>
    <t>蔡伯俋</t>
  </si>
  <si>
    <t>執行檔名稱錯誤/cutsize error</t>
  </si>
  <si>
    <t>2023PDA032</t>
  </si>
  <si>
    <t>陳弘洋</t>
  </si>
  <si>
    <t>林禹丞</t>
  </si>
  <si>
    <t>2023PDA033</t>
  </si>
  <si>
    <t>呂宗霖</t>
  </si>
  <si>
    <t>makefile 錯誤</t>
  </si>
  <si>
    <t>2023PDA034</t>
  </si>
  <si>
    <t>陳柏文</t>
  </si>
  <si>
    <t>2023PDA035</t>
  </si>
  <si>
    <t>楊辰彬</t>
  </si>
  <si>
    <t>2023PDA036</t>
  </si>
  <si>
    <t>賴奕廷</t>
  </si>
  <si>
    <t>2023PDA037</t>
  </si>
  <si>
    <t>廖晊程</t>
  </si>
  <si>
    <t>2023PDA038</t>
  </si>
  <si>
    <t>鄧長軒</t>
  </si>
  <si>
    <t>2023PDA039</t>
  </si>
  <si>
    <t>羅時弘</t>
  </si>
  <si>
    <t>2023PDA040</t>
  </si>
  <si>
    <t>林楷恩</t>
  </si>
  <si>
    <t>2023PDA041</t>
  </si>
  <si>
    <t>蔡葆錡</t>
  </si>
  <si>
    <t>2023PDA042</t>
  </si>
  <si>
    <t>吳孟宸</t>
  </si>
  <si>
    <t>2023PDA043</t>
  </si>
  <si>
    <t>陳彥潔</t>
  </si>
  <si>
    <t>2023PDA044</t>
  </si>
  <si>
    <t>周承霖</t>
  </si>
  <si>
    <t>2023PDA045</t>
  </si>
  <si>
    <t>呂瑋宸</t>
  </si>
  <si>
    <t>2023PDA046</t>
  </si>
  <si>
    <t>李元中</t>
  </si>
  <si>
    <t>2023PDA047</t>
  </si>
  <si>
    <t>陳薔</t>
  </si>
  <si>
    <t>2023PDA048</t>
  </si>
  <si>
    <t>彭庭緯</t>
  </si>
  <si>
    <t>2023PDA049</t>
  </si>
  <si>
    <t>張志廉</t>
  </si>
  <si>
    <t>2023PDA050</t>
  </si>
  <si>
    <t>戴珮珊</t>
  </si>
  <si>
    <t>執行檔名稱錯誤，Abort (core dumped)</t>
  </si>
  <si>
    <t>2023PDA051</t>
  </si>
  <si>
    <t>郭金和</t>
  </si>
  <si>
    <t>2023PDA052</t>
  </si>
  <si>
    <t>張理為</t>
  </si>
  <si>
    <t>2023PDA053</t>
  </si>
  <si>
    <t>欉家新</t>
  </si>
  <si>
    <t>2023PDA054</t>
  </si>
  <si>
    <t>李品賢</t>
  </si>
  <si>
    <t>2023PDA055</t>
  </si>
  <si>
    <t>林彥明</t>
  </si>
  <si>
    <t>2023PDA056</t>
  </si>
  <si>
    <t>林煜睿</t>
  </si>
  <si>
    <t>2023PDA057</t>
  </si>
  <si>
    <t>王則惟</t>
  </si>
  <si>
    <t>2023PDA058</t>
  </si>
  <si>
    <t>潘柏元</t>
  </si>
  <si>
    <t>2023PDA059</t>
  </si>
  <si>
    <t>何浩文</t>
  </si>
  <si>
    <t>2023PDA060</t>
  </si>
  <si>
    <t>陳昱凱</t>
  </si>
  <si>
    <t>2023PDA061</t>
  </si>
  <si>
    <t>康培新</t>
  </si>
  <si>
    <t>2023PDA062</t>
  </si>
  <si>
    <t>洪丞玄</t>
  </si>
  <si>
    <t>A121094</t>
  </si>
  <si>
    <t>2023PDA063</t>
  </si>
  <si>
    <t>邱烱南</t>
  </si>
  <si>
    <t>A121101</t>
  </si>
  <si>
    <t>average</t>
  </si>
  <si>
    <t>NO.1</t>
  </si>
  <si>
    <t>NO.2</t>
  </si>
  <si>
    <t>NO.3</t>
  </si>
  <si>
    <t>NO.4</t>
  </si>
  <si>
    <t>NO.5</t>
  </si>
  <si>
    <t>NO.6</t>
  </si>
  <si>
    <t>NO.7</t>
  </si>
  <si>
    <t>Total Score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</si>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</sst>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Calibri"/>
    </font>
    <font/>
    <font>
      <color theme="1"/>
      <name val="Arial"/>
    </font>
    <font>
      <sz val="12.0"/>
      <color theme="1"/>
      <name val="Calibri"/>
    </font>
    <font>
      <sz val="12.0"/>
      <color rgb="FF1F1F1F"/>
      <name val="Calibri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b/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2">
    <border/>
    <border>
      <left style="thick">
        <color rgb="FF134F5C"/>
      </left>
    </border>
    <border>
      <right style="thick">
        <color rgb="FF134F5C"/>
      </right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4A86E8"/>
      </left>
      <right style="thick">
        <color rgb="FF4A86E8"/>
      </right>
      <top style="thick">
        <color rgb="FF4A86E8"/>
      </top>
    </border>
    <border>
      <left style="thick">
        <color rgb="FF38761D"/>
      </left>
      <top style="thick">
        <color rgb="FF38761D"/>
      </top>
    </border>
    <border>
      <top style="thick">
        <color rgb="FF38761D"/>
      </top>
    </border>
    <border>
      <left style="thick">
        <color rgb="FF134F5C"/>
      </left>
      <top style="thick">
        <color rgb="FF38761D"/>
      </top>
    </border>
    <border>
      <right style="thick">
        <color rgb="FF134F5C"/>
      </right>
      <top style="thick">
        <color rgb="FF38761D"/>
      </top>
    </border>
    <border>
      <left style="thick">
        <color rgb="FF4A86E8"/>
      </left>
      <right style="thick">
        <color rgb="FF4A86E8"/>
      </right>
    </border>
    <border>
      <left style="thick">
        <color rgb="FF38761D"/>
      </left>
    </border>
    <border>
      <bottom style="thick">
        <color rgb="FFBF9000"/>
      </bottom>
    </border>
    <border>
      <left style="thick">
        <color rgb="FF4A86E8"/>
      </left>
      <right style="thick">
        <color rgb="FF4A86E8"/>
      </right>
      <bottom style="thick">
        <color rgb="FFBF9000"/>
      </bottom>
    </border>
    <border>
      <left style="thick">
        <color rgb="FFBF9000"/>
      </left>
      <top style="thick">
        <color rgb="FFBF9000"/>
      </top>
    </border>
    <border>
      <top style="thick">
        <color rgb="FFBF9000"/>
      </top>
    </border>
    <border>
      <left style="thick">
        <color rgb="FF134F5C"/>
      </left>
      <top style="thick">
        <color rgb="FFBF9000"/>
      </top>
    </border>
    <border>
      <right style="thick">
        <color rgb="FF134F5C"/>
      </right>
      <top style="thick">
        <color rgb="FFBF9000"/>
      </top>
    </border>
    <border>
      <left style="thick">
        <color rgb="FFBF9000"/>
      </left>
    </border>
    <border>
      <left style="thick">
        <color rgb="FFBF9000"/>
      </left>
      <bottom style="thick">
        <color rgb="FFBF9000"/>
      </bottom>
    </border>
    <border>
      <left style="thick">
        <color rgb="FF134F5C"/>
      </left>
      <bottom style="thick">
        <color rgb="FFBF9000"/>
      </bottom>
    </border>
    <border>
      <right style="thick">
        <color rgb="FF134F5C"/>
      </right>
      <bottom style="thick">
        <color rgb="FFBF9000"/>
      </bottom>
    </border>
    <border>
      <left style="thick">
        <color rgb="FF4A86E8"/>
      </left>
      <right style="thick">
        <color rgb="FF4A86E8"/>
      </right>
      <bottom style="thick">
        <color rgb="FF4A86E8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5" numFmtId="0" xfId="0" applyFont="1"/>
    <xf borderId="1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vertical="bottom"/>
    </xf>
    <xf borderId="3" fillId="6" fontId="5" numFmtId="0" xfId="0" applyAlignment="1" applyBorder="1" applyFill="1" applyFont="1">
      <alignment horizontal="center" readingOrder="0" vertical="bottom"/>
    </xf>
    <xf borderId="4" fillId="0" fontId="5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0" fillId="0" fontId="2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10" fillId="7" fontId="6" numFmtId="0" xfId="0" applyAlignment="1" applyBorder="1" applyFill="1" applyFont="1">
      <alignment readingOrder="0"/>
    </xf>
    <xf borderId="10" fillId="8" fontId="2" numFmtId="0" xfId="0" applyAlignment="1" applyBorder="1" applyFill="1" applyFont="1">
      <alignment horizontal="left" readingOrder="0" shrinkToFit="0" vertical="bottom" wrapText="0"/>
    </xf>
    <xf borderId="0" fillId="8" fontId="2" numFmtId="0" xfId="0" applyAlignment="1" applyFont="1">
      <alignment horizontal="center" readingOrder="0" shrinkToFit="0" vertical="bottom" wrapText="0"/>
    </xf>
    <xf borderId="1" fillId="8" fontId="5" numFmtId="0" xfId="0" applyAlignment="1" applyBorder="1" applyFont="1">
      <alignment horizontal="center"/>
    </xf>
    <xf borderId="0" fillId="8" fontId="5" numFmtId="0" xfId="0" applyAlignment="1" applyFont="1">
      <alignment horizontal="center"/>
    </xf>
    <xf borderId="2" fillId="8" fontId="5" numFmtId="0" xfId="0" applyAlignment="1" applyBorder="1" applyFont="1">
      <alignment horizontal="center"/>
    </xf>
    <xf borderId="9" fillId="8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0" fillId="7" fontId="2" numFmtId="0" xfId="0" applyAlignment="1" applyBorder="1" applyFont="1">
      <alignment horizontal="left" readingOrder="0" shrinkToFit="0" vertical="bottom" wrapText="0"/>
    </xf>
    <xf borderId="0" fillId="7" fontId="2" numFmtId="0" xfId="0" applyAlignment="1" applyFont="1">
      <alignment horizontal="center" readingOrder="0" shrinkToFit="0" vertical="bottom" wrapText="0"/>
    </xf>
    <xf borderId="1" fillId="7" fontId="5" numFmtId="0" xfId="0" applyAlignment="1" applyBorder="1" applyFont="1">
      <alignment horizontal="center"/>
    </xf>
    <xf borderId="0" fillId="7" fontId="5" numFmtId="0" xfId="0" applyAlignment="1" applyFont="1">
      <alignment horizontal="center"/>
    </xf>
    <xf borderId="2" fillId="7" fontId="5" numFmtId="0" xfId="0" applyAlignment="1" applyBorder="1" applyFont="1">
      <alignment horizontal="center"/>
    </xf>
    <xf borderId="9" fillId="7" fontId="5" numFmtId="0" xfId="0" applyAlignment="1" applyBorder="1" applyFont="1">
      <alignment horizontal="center"/>
    </xf>
    <xf borderId="10" fillId="9" fontId="2" numFmtId="0" xfId="0" applyAlignment="1" applyBorder="1" applyFill="1" applyFont="1">
      <alignment horizontal="left" readingOrder="0" shrinkToFit="0" vertical="bottom" wrapText="0"/>
    </xf>
    <xf borderId="0" fillId="9" fontId="2" numFmtId="0" xfId="0" applyAlignment="1" applyFont="1">
      <alignment horizontal="center" readingOrder="0" shrinkToFit="0" vertical="bottom" wrapText="0"/>
    </xf>
    <xf borderId="1" fillId="9" fontId="5" numFmtId="0" xfId="0" applyAlignment="1" applyBorder="1" applyFont="1">
      <alignment horizontal="center"/>
    </xf>
    <xf borderId="0" fillId="9" fontId="5" numFmtId="0" xfId="0" applyAlignment="1" applyFont="1">
      <alignment horizontal="center"/>
    </xf>
    <xf borderId="2" fillId="9" fontId="5" numFmtId="0" xfId="0" applyAlignment="1" applyBorder="1" applyFont="1">
      <alignment horizontal="center"/>
    </xf>
    <xf borderId="11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13" fillId="0" fontId="2" numFmtId="0" xfId="0" applyAlignment="1" applyBorder="1" applyFont="1">
      <alignment horizontal="left" readingOrder="0" shrinkToFit="0" vertical="bottom" wrapText="0"/>
    </xf>
    <xf borderId="14" fillId="0" fontId="2" numFmtId="0" xfId="0" applyAlignment="1" applyBorder="1" applyFont="1">
      <alignment horizontal="center" readingOrder="0" shrinkToFit="0" vertical="bottom" wrapText="0"/>
    </xf>
    <xf borderId="15" fillId="0" fontId="5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/>
    </xf>
    <xf borderId="16" fillId="0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 readingOrder="0"/>
    </xf>
    <xf borderId="17" fillId="7" fontId="2" numFmtId="0" xfId="0" applyAlignment="1" applyBorder="1" applyFont="1">
      <alignment horizontal="left" readingOrder="0"/>
    </xf>
    <xf borderId="17" fillId="0" fontId="2" numFmtId="0" xfId="0" applyAlignment="1" applyBorder="1" applyFont="1">
      <alignment horizontal="left" readingOrder="0" shrinkToFit="0" vertical="bottom" wrapText="0"/>
    </xf>
    <xf borderId="18" fillId="0" fontId="2" numFmtId="0" xfId="0" applyAlignment="1" applyBorder="1" applyFont="1">
      <alignment horizontal="left" readingOrder="0" shrinkToFit="0" vertical="bottom" wrapText="0"/>
    </xf>
    <xf borderId="11" fillId="0" fontId="5" numFmtId="0" xfId="0" applyAlignment="1" applyBorder="1" applyFont="1">
      <alignment readingOrder="0"/>
    </xf>
    <xf borderId="11" fillId="0" fontId="2" numFmtId="0" xfId="0" applyAlignment="1" applyBorder="1" applyFont="1">
      <alignment horizontal="left" readingOrder="0" shrinkToFit="0" vertical="bottom" wrapText="0"/>
    </xf>
    <xf borderId="19" fillId="0" fontId="5" numFmtId="0" xfId="0" applyAlignment="1" applyBorder="1" applyFont="1">
      <alignment horizontal="center"/>
    </xf>
    <xf borderId="20" fillId="0" fontId="5" numFmtId="0" xfId="0" applyAlignment="1" applyBorder="1" applyFont="1">
      <alignment horizontal="center"/>
    </xf>
    <xf borderId="21" fillId="0" fontId="5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0" fontId="7" numFmtId="0" xfId="0" applyFont="1"/>
    <xf borderId="0" fillId="7" fontId="8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7" fontId="1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619125</xdr:colOff>
      <xdr:row>9</xdr:row>
      <xdr:rowOff>152400</xdr:rowOff>
    </xdr:from>
    <xdr:ext cx="6267450" cy="3762375"/>
    <xdr:pic>
      <xdr:nvPicPr>
        <xdr:cNvPr id="0" name="image1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75"/>
  <cols>
    <col customWidth="1" min="1" max="1" width="11.38"/>
    <col customWidth="1" min="2" max="2" width="18.5"/>
  </cols>
  <sheetData>
    <row r="1">
      <c r="A1" s="1"/>
      <c r="B1" s="2"/>
      <c r="C1" s="2"/>
      <c r="D1" s="1"/>
      <c r="E1" s="1"/>
      <c r="F1" s="3" t="s">
        <v>0</v>
      </c>
      <c r="M1" s="4"/>
      <c r="N1" s="5" t="s">
        <v>1</v>
      </c>
      <c r="V1" s="6" t="s">
        <v>2</v>
      </c>
      <c r="AD1" s="7" t="s">
        <v>3</v>
      </c>
      <c r="AK1" s="4"/>
      <c r="AL1" s="8"/>
      <c r="AM1" s="8"/>
    </row>
    <row r="2">
      <c r="A2" s="9" t="s">
        <v>4</v>
      </c>
      <c r="B2" s="10"/>
      <c r="C2" s="10"/>
      <c r="D2" s="11"/>
      <c r="E2" s="11"/>
      <c r="F2" s="12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4" t="s">
        <v>12</v>
      </c>
      <c r="N2" s="12" t="s">
        <v>5</v>
      </c>
      <c r="O2" s="13" t="s">
        <v>6</v>
      </c>
      <c r="P2" s="13" t="s">
        <v>7</v>
      </c>
      <c r="Q2" s="13" t="s">
        <v>8</v>
      </c>
      <c r="R2" s="13" t="s">
        <v>9</v>
      </c>
      <c r="S2" s="13" t="s">
        <v>10</v>
      </c>
      <c r="T2" s="13" t="s">
        <v>11</v>
      </c>
      <c r="U2" s="13" t="s">
        <v>12</v>
      </c>
      <c r="V2" s="12" t="s">
        <v>5</v>
      </c>
      <c r="W2" s="13" t="s">
        <v>6</v>
      </c>
      <c r="X2" s="13" t="s">
        <v>7</v>
      </c>
      <c r="Y2" s="13" t="s">
        <v>8</v>
      </c>
      <c r="Z2" s="13" t="s">
        <v>9</v>
      </c>
      <c r="AA2" s="13" t="s">
        <v>10</v>
      </c>
      <c r="AB2" s="13" t="s">
        <v>11</v>
      </c>
      <c r="AC2" s="13" t="s">
        <v>12</v>
      </c>
      <c r="AD2" s="12" t="s">
        <v>5</v>
      </c>
      <c r="AE2" s="13" t="s">
        <v>6</v>
      </c>
      <c r="AF2" s="13" t="s">
        <v>7</v>
      </c>
      <c r="AG2" s="13" t="s">
        <v>8</v>
      </c>
      <c r="AH2" s="13" t="s">
        <v>9</v>
      </c>
      <c r="AI2" s="13" t="s">
        <v>10</v>
      </c>
      <c r="AJ2" s="13" t="s">
        <v>11</v>
      </c>
      <c r="AK2" s="15" t="s">
        <v>12</v>
      </c>
      <c r="AL2" s="16" t="s">
        <v>13</v>
      </c>
      <c r="AM2" s="17" t="s">
        <v>14</v>
      </c>
    </row>
    <row r="3">
      <c r="A3" s="18" t="s">
        <v>15</v>
      </c>
      <c r="B3" s="18"/>
      <c r="C3" s="19" t="s">
        <v>16</v>
      </c>
      <c r="D3" s="19" t="s">
        <v>17</v>
      </c>
      <c r="E3" s="19">
        <v>1.0951107E8</v>
      </c>
      <c r="F3" s="20">
        <v>1.0</v>
      </c>
      <c r="G3" s="21">
        <v>0.45</v>
      </c>
      <c r="H3" s="22">
        <f>IFERROR(__xludf.DUMMYFUNCTION("IF(F3=1, RANK(G3, FILTER($G$3:$G$65,$F$3:$F$65=1),0)/COUNTIF($F$3:$F$65,""=1""),0)*100"),43.63636363636363)</f>
        <v>43.63636364</v>
      </c>
      <c r="I3" s="21">
        <v>1027.0</v>
      </c>
      <c r="J3" s="22">
        <f>IFERROR(__xludf.DUMMYFUNCTION("IF(F3=1, RANK(I3,FILTER($I$3:$I$65,$F$3:$F$65=1),0)/COUNTIF($F$3:$F$65,""=1""),0)*100"),63.63636363636363)</f>
        <v>63.63636364</v>
      </c>
      <c r="K3" s="22">
        <f t="shared" ref="K3:K65" si="1">H3*J3</f>
        <v>2776.859504</v>
      </c>
      <c r="L3" s="22">
        <f>IFERROR(__xludf.DUMMYFUNCTION("IF(F3=1, RANK(K3,FILTER($K$3:$K$65,$F$3:$F$65=1),1)/COUNTIF($F$3:$F$65,""=1""),0)*100"),54.54545454545454)</f>
        <v>54.54545455</v>
      </c>
      <c r="M3" s="23">
        <f t="shared" ref="M3:M65" si="2">IF(F3=1,L3*0.3+70,0)</f>
        <v>86.36363636</v>
      </c>
      <c r="N3" s="21">
        <v>1.0</v>
      </c>
      <c r="O3" s="21">
        <v>0.71</v>
      </c>
      <c r="P3" s="22">
        <f>IFERROR(__xludf.DUMMYFUNCTION("IF(N3=1, RANK(O3, FILTER($O$3:$O$65,$N$3:$N$65=1),0)/COUNTIF($N$3:$N$65,""=1""),0)*100"),53.57142857142857)</f>
        <v>53.57142857</v>
      </c>
      <c r="Q3" s="21">
        <v>3428.0</v>
      </c>
      <c r="R3" s="22">
        <f>IFERROR(__xludf.DUMMYFUNCTION("IF(N3=1, RANK(Q3, FILTER($Q$3:$Q$65,$N$3:$N$65=1),0)/COUNTIF($N$3:$N$65,""=1""),0)*100"),55.35714285714286)</f>
        <v>55.35714286</v>
      </c>
      <c r="S3" s="22">
        <f t="shared" ref="S3:S65" si="3">P3*R3</f>
        <v>2965.561224</v>
      </c>
      <c r="T3" s="22">
        <f>IFERROR(__xludf.DUMMYFUNCTION("IF(N3=1, RANK(S3,FILTER($S$3:$S$65,$N$3:$N$65=1),1)/COUNTIF($N$3:$N$65,""=1""),0)*100"),60.71428571428571)</f>
        <v>60.71428571</v>
      </c>
      <c r="U3" s="23">
        <f t="shared" ref="U3:U65" si="4">IF(N3=1,T3*0.3+70,0)</f>
        <v>88.21428571</v>
      </c>
      <c r="V3" s="21">
        <v>1.0</v>
      </c>
      <c r="W3" s="21">
        <v>39.28</v>
      </c>
      <c r="X3" s="22">
        <f>IFERROR(__xludf.DUMMYFUNCTION("IF(V3=1, RANK(W3, FILTER($W$3:$W$65,$V$3:$V$65=1),0)/COUNTIF($V$3:$V$65,""=1""),0)*100"),22.641509433962266)</f>
        <v>22.64150943</v>
      </c>
      <c r="Y3" s="21">
        <v>12154.0</v>
      </c>
      <c r="Z3" s="22">
        <f>IFERROR(__xludf.DUMMYFUNCTION("IF(V3=1, RANK(Y3, FILTER($Y$3:$Y$65,$V$3:$V$65=1),0)/COUNTIF($V$3:$V$65,""=1""),0)*100"),33.9622641509434)</f>
        <v>33.96226415</v>
      </c>
      <c r="AA3" s="22">
        <f t="shared" ref="AA3:AA65" si="5">X3*Z3</f>
        <v>768.9569242</v>
      </c>
      <c r="AB3" s="22">
        <f>IFERROR(__xludf.DUMMYFUNCTION("IF(V3=1, RANK(AA3,FILTER($AA$3:$AA$65,$V$3:$V$65=1),1)/COUNTIF($V$3:$V$65,""=1""),0)*100"),20.754716981132077)</f>
        <v>20.75471698</v>
      </c>
      <c r="AC3" s="23">
        <f t="shared" ref="AC3:AC65" si="6">IF(V3=1,AB3*0.3+70,0)</f>
        <v>76.22641509</v>
      </c>
      <c r="AD3" s="20">
        <v>1.0</v>
      </c>
      <c r="AE3" s="21">
        <v>590.79</v>
      </c>
      <c r="AF3" s="22">
        <f>IFERROR(__xludf.DUMMYFUNCTION("IF(AD3=1, RANK(AE3, FILTER($AE$3:$AE$65,$AD$3:$AD$65=1),0)/COUNTIF($AD$3:$AD$65,""=1""),0)*100"),9.433962264150944)</f>
        <v>9.433962264</v>
      </c>
      <c r="AG3" s="21">
        <v>14212.0</v>
      </c>
      <c r="AH3" s="22">
        <f>IFERROR(__xludf.DUMMYFUNCTION("IF(AD3=1, RANK(AG3, FILTER($AG$3:$AG$65,$AD$3:$AD$65=1),0)/COUNTIF($AD$3:$AD$65,""=1""),0)*100"),56.60377358490566)</f>
        <v>56.60377358</v>
      </c>
      <c r="AI3" s="22">
        <f t="shared" ref="AI3:AI65" si="7">AF3*AH3</f>
        <v>533.997864</v>
      </c>
      <c r="AJ3" s="22">
        <f>IFERROR(__xludf.DUMMYFUNCTION("IF(AD3=1, RANK(AI3,FILTER($AI$3:$AI$65,$AD$3:$AD$65=1),1)/COUNTIF($AD$3:$AD$65,""=1""),0)*100"),16.9811320754717)</f>
        <v>16.98113208</v>
      </c>
      <c r="AK3" s="23">
        <f t="shared" ref="AK3:AK65" si="8">IF(AD3=1,AJ3*0.3+70,0)</f>
        <v>75.09433962</v>
      </c>
      <c r="AL3" s="22"/>
      <c r="AM3" s="24">
        <f t="shared" ref="AM3:AM13" si="9">M3*0.25+U3*0.25+AC3*0.25+AK3*0.25-AL3</f>
        <v>81.4746692</v>
      </c>
    </row>
    <row r="4">
      <c r="A4" s="9"/>
      <c r="B4" s="25"/>
      <c r="C4" s="26" t="s">
        <v>18</v>
      </c>
      <c r="D4" s="26" t="s">
        <v>19</v>
      </c>
      <c r="E4" s="26">
        <v>811562.0</v>
      </c>
      <c r="F4" s="12">
        <v>1.0</v>
      </c>
      <c r="G4" s="13">
        <v>1.31</v>
      </c>
      <c r="H4" s="27">
        <f>IFERROR(__xludf.DUMMYFUNCTION("IF(F4=1, RANK(G4, FILTER($G$3:$G$65,$F$3:$F$65=1),0)/COUNTIF($F$3:$F$65,""=1""),0)*100"),21.818181818181817)</f>
        <v>21.81818182</v>
      </c>
      <c r="I4" s="13">
        <v>1398.0</v>
      </c>
      <c r="J4" s="27">
        <f>IFERROR(__xludf.DUMMYFUNCTION("IF(F4=1, RANK(I4,FILTER($I$3:$I$65,$F$3:$F$65=1),0)/COUNTIF($F$3:$F$65,""=1""),0)*100"),43.63636363636363)</f>
        <v>43.63636364</v>
      </c>
      <c r="K4" s="27">
        <f t="shared" si="1"/>
        <v>952.0661157</v>
      </c>
      <c r="L4" s="27">
        <f>IFERROR(__xludf.DUMMYFUNCTION("IF(F4=1, RANK(K4,FILTER($K$3:$K$65,$F$3:$F$65=1),1)/COUNTIF($F$3:$F$65,""=1""),0)*100"),30.909090909090907)</f>
        <v>30.90909091</v>
      </c>
      <c r="M4" s="28">
        <f t="shared" si="2"/>
        <v>79.27272727</v>
      </c>
      <c r="N4" s="13">
        <v>1.0</v>
      </c>
      <c r="O4" s="13">
        <v>12.15</v>
      </c>
      <c r="P4" s="27">
        <f>IFERROR(__xludf.DUMMYFUNCTION("IF(N4=1, RANK(O4, FILTER($O$3:$O$65,$N$3:$N$65=1),0)/COUNTIF($N$3:$N$65,""=1""),0)*100"),12.5)</f>
        <v>12.5</v>
      </c>
      <c r="Q4" s="13">
        <v>2370.0</v>
      </c>
      <c r="R4" s="27">
        <f>IFERROR(__xludf.DUMMYFUNCTION("IF(N4=1, RANK(Q4, FILTER($Q$3:$Q$65,$N$3:$N$65=1),0)/COUNTIF($N$3:$N$65,""=1""),0)*100"),91.07142857142857)</f>
        <v>91.07142857</v>
      </c>
      <c r="S4" s="27">
        <f t="shared" si="3"/>
        <v>1138.392857</v>
      </c>
      <c r="T4" s="27">
        <f>IFERROR(__xludf.DUMMYFUNCTION("IF(N4=1, RANK(S4,FILTER($S$3:$S$65,$N$3:$N$65=1),1)/COUNTIF($N$3:$N$65,""=1""),0)*100"),30.357142857142854)</f>
        <v>30.35714286</v>
      </c>
      <c r="U4" s="28">
        <f t="shared" si="4"/>
        <v>79.10714286</v>
      </c>
      <c r="V4" s="12">
        <v>1.0</v>
      </c>
      <c r="W4" s="13">
        <v>16.77</v>
      </c>
      <c r="X4" s="27">
        <f>IFERROR(__xludf.DUMMYFUNCTION("IF(V4=1, RANK(W4, FILTER($W$3:$W$65,$V$3:$V$65=1),0)/COUNTIF($V$3:$V$65,""=1""),0)*100"),35.84905660377358)</f>
        <v>35.8490566</v>
      </c>
      <c r="Y4" s="13">
        <v>2581.0</v>
      </c>
      <c r="Z4" s="27">
        <f>IFERROR(__xludf.DUMMYFUNCTION("IF(V4=1, RANK(Y4, FILTER($Y$3:$Y$65,$V$3:$V$65=1),0)/COUNTIF($V$3:$V$65,""=1""),0)*100"),86.79245283018868)</f>
        <v>86.79245283</v>
      </c>
      <c r="AA4" s="27">
        <f t="shared" si="5"/>
        <v>3111.427554</v>
      </c>
      <c r="AB4" s="27">
        <f>IFERROR(__xludf.DUMMYFUNCTION("IF(V4=1, RANK(AA4,FILTER($AA$3:$AA$65,$V$3:$V$65=1),1)/COUNTIF($V$3:$V$65,""=1""),0)*100"),67.9245283018868)</f>
        <v>67.9245283</v>
      </c>
      <c r="AC4" s="28">
        <f t="shared" si="6"/>
        <v>90.37735849</v>
      </c>
      <c r="AD4" s="12">
        <v>1.0</v>
      </c>
      <c r="AE4" s="13">
        <v>37.4</v>
      </c>
      <c r="AF4" s="27">
        <f>IFERROR(__xludf.DUMMYFUNCTION("IF(AD4=1, RANK(AE4, FILTER($AE$3:$AE$65,$AD$3:$AD$65=1),0)/COUNTIF($AD$3:$AD$65,""=1""),0)*100"),45.28301886792453)</f>
        <v>45.28301887</v>
      </c>
      <c r="AG4" s="13">
        <v>2825.0</v>
      </c>
      <c r="AH4" s="27">
        <f>IFERROR(__xludf.DUMMYFUNCTION("IF(AD4=1, RANK(AG4, FILTER($AG$3:$AG$65,$AD$3:$AD$65=1),0)/COUNTIF($AD$3:$AD$65,""=1""),0)*100"),100.0)</f>
        <v>100</v>
      </c>
      <c r="AI4" s="27">
        <f t="shared" si="7"/>
        <v>4528.301887</v>
      </c>
      <c r="AJ4" s="27">
        <f>IFERROR(__xludf.DUMMYFUNCTION("IF(AD4=1, RANK(AI4,FILTER($AI$3:$AI$65,$AD$3:$AD$65=1),1)/COUNTIF($AD$3:$AD$65,""=1""),0)*100"),75.47169811320755)</f>
        <v>75.47169811</v>
      </c>
      <c r="AK4" s="28">
        <f t="shared" si="8"/>
        <v>92.64150943</v>
      </c>
      <c r="AL4" s="27"/>
      <c r="AM4" s="24">
        <f t="shared" si="9"/>
        <v>85.34968451</v>
      </c>
    </row>
    <row r="5">
      <c r="A5" s="9"/>
      <c r="B5" s="25"/>
      <c r="C5" s="26" t="s">
        <v>20</v>
      </c>
      <c r="D5" s="26" t="s">
        <v>21</v>
      </c>
      <c r="E5" s="26">
        <v>1.09511272E8</v>
      </c>
      <c r="F5" s="12">
        <v>1.0</v>
      </c>
      <c r="G5" s="13">
        <v>0.96</v>
      </c>
      <c r="H5" s="27">
        <f>IFERROR(__xludf.DUMMYFUNCTION("IF(F5=1, RANK(G5, FILTER($G$3:$G$65,$F$3:$F$65=1),0)/COUNTIF($F$3:$F$65,""=1""),0)*100"),34.54545454545455)</f>
        <v>34.54545455</v>
      </c>
      <c r="I5" s="13">
        <v>570.0</v>
      </c>
      <c r="J5" s="27">
        <f>IFERROR(__xludf.DUMMYFUNCTION("IF(F5=1, RANK(I5,FILTER($I$3:$I$65,$F$3:$F$65=1),0)/COUNTIF($F$3:$F$65,""=1""),0)*100"),90.9090909090909)</f>
        <v>90.90909091</v>
      </c>
      <c r="K5" s="27">
        <f t="shared" si="1"/>
        <v>3140.495868</v>
      </c>
      <c r="L5" s="27">
        <f>IFERROR(__xludf.DUMMYFUNCTION("IF(F5=1, RANK(K5,FILTER($K$3:$K$65,$F$3:$F$65=1),1)/COUNTIF($F$3:$F$65,""=1""),0)*100"),61.81818181818181)</f>
        <v>61.81818182</v>
      </c>
      <c r="M5" s="28">
        <f t="shared" si="2"/>
        <v>88.54545455</v>
      </c>
      <c r="N5" s="13">
        <v>1.0</v>
      </c>
      <c r="O5" s="13">
        <v>3.0</v>
      </c>
      <c r="P5" s="27">
        <f>IFERROR(__xludf.DUMMYFUNCTION("IF(N5=1, RANK(O5, FILTER($O$3:$O$65,$N$3:$N$65=1),0)/COUNTIF($N$3:$N$65,""=1""),0)*100"),32.142857142857146)</f>
        <v>32.14285714</v>
      </c>
      <c r="Q5" s="13">
        <v>2916.0</v>
      </c>
      <c r="R5" s="27">
        <f>IFERROR(__xludf.DUMMYFUNCTION("IF(N5=1, RANK(Q5, FILTER($Q$3:$Q$65,$N$3:$N$65=1),0)/COUNTIF($N$3:$N$65,""=1""),0)*100"),73.21428571428571)</f>
        <v>73.21428571</v>
      </c>
      <c r="S5" s="27">
        <f t="shared" si="3"/>
        <v>2353.316327</v>
      </c>
      <c r="T5" s="27">
        <f>IFERROR(__xludf.DUMMYFUNCTION("IF(N5=1, RANK(S5,FILTER($S$3:$S$65,$N$3:$N$65=1),1)/COUNTIF($N$3:$N$65,""=1""),0)*100"),51.78571428571429)</f>
        <v>51.78571429</v>
      </c>
      <c r="U5" s="28">
        <f t="shared" si="4"/>
        <v>85.53571429</v>
      </c>
      <c r="V5" s="12">
        <v>1.0</v>
      </c>
      <c r="W5" s="13">
        <v>17.17</v>
      </c>
      <c r="X5" s="27">
        <f>IFERROR(__xludf.DUMMYFUNCTION("IF(V5=1, RANK(W5, FILTER($W$3:$W$65,$V$3:$V$65=1),0)/COUNTIF($V$3:$V$65,""=1""),0)*100"),32.075471698113205)</f>
        <v>32.0754717</v>
      </c>
      <c r="Y5" s="13">
        <v>6644.0</v>
      </c>
      <c r="Z5" s="27">
        <f>IFERROR(__xludf.DUMMYFUNCTION("IF(V5=1, RANK(Y5, FILTER($Y$3:$Y$65,$V$3:$V$65=1),0)/COUNTIF($V$3:$V$65,""=1""),0)*100"),66.0377358490566)</f>
        <v>66.03773585</v>
      </c>
      <c r="AA5" s="27">
        <f t="shared" si="5"/>
        <v>2118.191527</v>
      </c>
      <c r="AB5" s="27">
        <f>IFERROR(__xludf.DUMMYFUNCTION("IF(V5=1, RANK(AA5,FILTER($AA$3:$AA$65,$V$3:$V$65=1),1)/COUNTIF($V$3:$V$65,""=1""),0)*100"),52.83018867924528)</f>
        <v>52.83018868</v>
      </c>
      <c r="AC5" s="28">
        <f t="shared" si="6"/>
        <v>85.8490566</v>
      </c>
      <c r="AD5" s="12">
        <v>1.0</v>
      </c>
      <c r="AE5" s="13">
        <v>94.91</v>
      </c>
      <c r="AF5" s="27">
        <f>IFERROR(__xludf.DUMMYFUNCTION("IF(AD5=1, RANK(AE5, FILTER($AE$3:$AE$65,$AD$3:$AD$65=1),0)/COUNTIF($AD$3:$AD$65,""=1""),0)*100"),33.9622641509434)</f>
        <v>33.96226415</v>
      </c>
      <c r="AG5" s="13">
        <v>5358.0</v>
      </c>
      <c r="AH5" s="27">
        <f>IFERROR(__xludf.DUMMYFUNCTION("IF(AD5=1, RANK(AG5, FILTER($AG$3:$AG$65,$AD$3:$AD$65=1),0)/COUNTIF($AD$3:$AD$65,""=1""),0)*100"),96.22641509433963)</f>
        <v>96.22641509</v>
      </c>
      <c r="AI5" s="27">
        <f t="shared" si="7"/>
        <v>3268.066928</v>
      </c>
      <c r="AJ5" s="27">
        <f>IFERROR(__xludf.DUMMYFUNCTION("IF(AD5=1, RANK(AI5,FILTER($AI$3:$AI$65,$AD$3:$AD$65=1),1)/COUNTIF($AD$3:$AD$65,""=1""),0)*100"),69.81132075471697)</f>
        <v>69.81132075</v>
      </c>
      <c r="AK5" s="28">
        <f t="shared" si="8"/>
        <v>90.94339623</v>
      </c>
      <c r="AL5" s="27"/>
      <c r="AM5" s="24">
        <f t="shared" si="9"/>
        <v>87.71840542</v>
      </c>
    </row>
    <row r="6">
      <c r="A6" s="9"/>
      <c r="B6" s="29" t="s">
        <v>22</v>
      </c>
      <c r="C6" s="26" t="s">
        <v>23</v>
      </c>
      <c r="D6" s="26" t="s">
        <v>24</v>
      </c>
      <c r="E6" s="26">
        <v>5.1066102E8</v>
      </c>
      <c r="F6" s="12">
        <v>1.0</v>
      </c>
      <c r="G6" s="13">
        <v>0.12</v>
      </c>
      <c r="H6" s="27">
        <f>IFERROR(__xludf.DUMMYFUNCTION("IF(F6=1, RANK(G6, FILTER($G$3:$G$65,$F$3:$F$65=1),0)/COUNTIF($F$3:$F$65,""=1""),0)*100"),70.9090909090909)</f>
        <v>70.90909091</v>
      </c>
      <c r="I6" s="13">
        <v>1178.0</v>
      </c>
      <c r="J6" s="27">
        <f>IFERROR(__xludf.DUMMYFUNCTION("IF(F6=1, RANK(I6,FILTER($I$3:$I$65,$F$3:$F$65=1),0)/COUNTIF($F$3:$F$65,""=1""),0)*100"),52.72727272727272)</f>
        <v>52.72727273</v>
      </c>
      <c r="K6" s="27">
        <f t="shared" si="1"/>
        <v>3738.842975</v>
      </c>
      <c r="L6" s="27">
        <f>IFERROR(__xludf.DUMMYFUNCTION("IF(F6=1, RANK(K6,FILTER($K$3:$K$65,$F$3:$F$65=1),1)/COUNTIF($F$3:$F$65,""=1""),0)*100"),70.9090909090909)</f>
        <v>70.90909091</v>
      </c>
      <c r="M6" s="28">
        <f t="shared" si="2"/>
        <v>91.27272727</v>
      </c>
      <c r="N6" s="13">
        <v>1.0</v>
      </c>
      <c r="O6" s="13">
        <v>0.23</v>
      </c>
      <c r="P6" s="27">
        <f>IFERROR(__xludf.DUMMYFUNCTION("IF(N6=1, RANK(O6, FILTER($O$3:$O$65,$N$3:$N$65=1),0)/COUNTIF($N$3:$N$65,""=1""),0)*100"),87.5)</f>
        <v>87.5</v>
      </c>
      <c r="Q6" s="13">
        <v>3981.0</v>
      </c>
      <c r="R6" s="27">
        <f>IFERROR(__xludf.DUMMYFUNCTION("IF(N6=1, RANK(Q6, FILTER($Q$3:$Q$65,$N$3:$N$65=1),0)/COUNTIF($N$3:$N$65,""=1""),0)*100"),42.857142857142854)</f>
        <v>42.85714286</v>
      </c>
      <c r="S6" s="27">
        <f t="shared" si="3"/>
        <v>3750</v>
      </c>
      <c r="T6" s="27">
        <f>IFERROR(__xludf.DUMMYFUNCTION("IF(N6=1, RANK(S6,FILTER($S$3:$S$65,$N$3:$N$65=1),1)/COUNTIF($N$3:$N$65,""=1""),0)*100"),71.42857142857143)</f>
        <v>71.42857143</v>
      </c>
      <c r="U6" s="28">
        <f t="shared" si="4"/>
        <v>91.42857143</v>
      </c>
      <c r="V6" s="12">
        <v>1.0</v>
      </c>
      <c r="W6" s="13">
        <v>2.87</v>
      </c>
      <c r="X6" s="27">
        <f>IFERROR(__xludf.DUMMYFUNCTION("IF(V6=1, RANK(W6, FILTER($W$3:$W$65,$V$3:$V$65=1),0)/COUNTIF($V$3:$V$65,""=1""),0)*100"),73.58490566037736)</f>
        <v>73.58490566</v>
      </c>
      <c r="Y6" s="13">
        <v>10319.0</v>
      </c>
      <c r="Z6" s="27">
        <f>IFERROR(__xludf.DUMMYFUNCTION("IF(V6=1, RANK(Y6, FILTER($Y$3:$Y$65,$V$3:$V$65=1),0)/COUNTIF($V$3:$V$65,""=1""),0)*100"),43.39622641509434)</f>
        <v>43.39622642</v>
      </c>
      <c r="AA6" s="27">
        <f t="shared" si="5"/>
        <v>3193.307227</v>
      </c>
      <c r="AB6" s="27">
        <f>IFERROR(__xludf.DUMMYFUNCTION("IF(V6=1, RANK(AA6,FILTER($AA$3:$AA$65,$V$3:$V$65=1),1)/COUNTIF($V$3:$V$65,""=1""),0)*100"),71.69811320754717)</f>
        <v>71.69811321</v>
      </c>
      <c r="AC6" s="28">
        <f t="shared" si="6"/>
        <v>91.50943396</v>
      </c>
      <c r="AD6" s="12">
        <v>1.0</v>
      </c>
      <c r="AE6" s="13">
        <v>34.9</v>
      </c>
      <c r="AF6" s="27">
        <f>IFERROR(__xludf.DUMMYFUNCTION("IF(AD6=1, RANK(AE6, FILTER($AE$3:$AE$65,$AD$3:$AD$65=1),0)/COUNTIF($AD$3:$AD$65,""=1""),0)*100"),49.056603773584904)</f>
        <v>49.05660377</v>
      </c>
      <c r="AG6" s="13">
        <v>12921.0</v>
      </c>
      <c r="AH6" s="27">
        <f>IFERROR(__xludf.DUMMYFUNCTION("IF(AD6=1, RANK(AG6, FILTER($AG$3:$AG$65,$AD$3:$AD$65=1),0)/COUNTIF($AD$3:$AD$65,""=1""),0)*100"),64.15094339622641)</f>
        <v>64.1509434</v>
      </c>
      <c r="AI6" s="27">
        <f t="shared" si="7"/>
        <v>3147.027412</v>
      </c>
      <c r="AJ6" s="27">
        <f>IFERROR(__xludf.DUMMYFUNCTION("IF(AD6=1, RANK(AI6,FILTER($AI$3:$AI$65,$AD$3:$AD$65=1),1)/COUNTIF($AD$3:$AD$65,""=1""),0)*100"),66.0377358490566)</f>
        <v>66.03773585</v>
      </c>
      <c r="AK6" s="28">
        <f t="shared" si="8"/>
        <v>89.81132075</v>
      </c>
      <c r="AL6" s="13">
        <v>50.0</v>
      </c>
      <c r="AM6" s="24">
        <f t="shared" si="9"/>
        <v>41.00551335</v>
      </c>
    </row>
    <row r="7">
      <c r="A7" s="9"/>
      <c r="B7" s="25"/>
      <c r="C7" s="26" t="s">
        <v>25</v>
      </c>
      <c r="D7" s="26" t="s">
        <v>26</v>
      </c>
      <c r="E7" s="26">
        <v>3.10511082E8</v>
      </c>
      <c r="F7" s="12">
        <v>1.0</v>
      </c>
      <c r="G7" s="13">
        <v>0.01</v>
      </c>
      <c r="H7" s="27">
        <f>IFERROR(__xludf.DUMMYFUNCTION("IF(F7=1, RANK(G7, FILTER($G$3:$G$65,$F$3:$F$65=1),0)/COUNTIF($F$3:$F$65,""=1""),0)*100"),100.0)</f>
        <v>100</v>
      </c>
      <c r="I7" s="13">
        <v>8938.0</v>
      </c>
      <c r="J7" s="27">
        <f>IFERROR(__xludf.DUMMYFUNCTION("IF(F7=1, RANK(I7,FILTER($I$3:$I$65,$F$3:$F$65=1),0)/COUNTIF($F$3:$F$65,""=1""),0)*100"),7.2727272727272725)</f>
        <v>7.272727273</v>
      </c>
      <c r="K7" s="27">
        <f t="shared" si="1"/>
        <v>727.2727273</v>
      </c>
      <c r="L7" s="27">
        <f>IFERROR(__xludf.DUMMYFUNCTION("IF(F7=1, RANK(K7,FILTER($K$3:$K$65,$F$3:$F$65=1),1)/COUNTIF($F$3:$F$65,""=1""),0)*100"),29.09090909090909)</f>
        <v>29.09090909</v>
      </c>
      <c r="M7" s="28">
        <f t="shared" si="2"/>
        <v>78.72727273</v>
      </c>
      <c r="N7" s="13">
        <v>1.0</v>
      </c>
      <c r="O7" s="13">
        <v>0.02</v>
      </c>
      <c r="P7" s="27">
        <f>IFERROR(__xludf.DUMMYFUNCTION("IF(N7=1, RANK(O7, FILTER($O$3:$O$65,$N$3:$N$65=1),0)/COUNTIF($N$3:$N$65,""=1""),0)*100"),100.0)</f>
        <v>100</v>
      </c>
      <c r="Q7" s="13">
        <v>21753.0</v>
      </c>
      <c r="R7" s="27">
        <f>IFERROR(__xludf.DUMMYFUNCTION("IF(N7=1, RANK(Q7, FILTER($Q$3:$Q$65,$N$3:$N$65=1),0)/COUNTIF($N$3:$N$65,""=1""),0)*100"),3.571428571428571)</f>
        <v>3.571428571</v>
      </c>
      <c r="S7" s="27">
        <f t="shared" si="3"/>
        <v>357.1428571</v>
      </c>
      <c r="T7" s="27">
        <f>IFERROR(__xludf.DUMMYFUNCTION("IF(N7=1, RANK(S7,FILTER($S$3:$S$65,$N$3:$N$65=1),1)/COUNTIF($N$3:$N$65,""=1""),0)*100"),17.857142857142858)</f>
        <v>17.85714286</v>
      </c>
      <c r="U7" s="28">
        <f t="shared" si="4"/>
        <v>75.35714286</v>
      </c>
      <c r="V7" s="12">
        <v>1.0</v>
      </c>
      <c r="W7" s="13">
        <v>0.09</v>
      </c>
      <c r="X7" s="27">
        <f>IFERROR(__xludf.DUMMYFUNCTION("IF(V7=1, RANK(W7, FILTER($W$3:$W$65,$V$3:$V$65=1),0)/COUNTIF($V$3:$V$65,""=1""),0)*100"),100.0)</f>
        <v>100</v>
      </c>
      <c r="Y7" s="13">
        <v>110586.0</v>
      </c>
      <c r="Z7" s="27">
        <f>IFERROR(__xludf.DUMMYFUNCTION("IF(V7=1, RANK(Y7, FILTER($Y$3:$Y$65,$V$3:$V$65=1),0)/COUNTIF($V$3:$V$65,""=1""),0)*100"),5.660377358490567)</f>
        <v>5.660377358</v>
      </c>
      <c r="AA7" s="27">
        <f t="shared" si="5"/>
        <v>566.0377358</v>
      </c>
      <c r="AB7" s="27">
        <f>IFERROR(__xludf.DUMMYFUNCTION("IF(V7=1, RANK(AA7,FILTER($AA$3:$AA$65,$V$3:$V$65=1),1)/COUNTIF($V$3:$V$65,""=1""),0)*100"),16.9811320754717)</f>
        <v>16.98113208</v>
      </c>
      <c r="AC7" s="28">
        <f t="shared" si="6"/>
        <v>75.09433962</v>
      </c>
      <c r="AD7" s="12">
        <v>1.0</v>
      </c>
      <c r="AE7" s="13">
        <v>0.25</v>
      </c>
      <c r="AF7" s="27">
        <f>IFERROR(__xludf.DUMMYFUNCTION("IF(AD7=1, RANK(AE7, FILTER($AE$3:$AE$65,$AD$3:$AD$65=1),0)/COUNTIF($AD$3:$AD$65,""=1""),0)*100"),100.0)</f>
        <v>100</v>
      </c>
      <c r="AG7" s="13">
        <v>305819.0</v>
      </c>
      <c r="AH7" s="27">
        <f>IFERROR(__xludf.DUMMYFUNCTION("IF(AD7=1, RANK(AG7, FILTER($AG$3:$AG$65,$AD$3:$AD$65=1),0)/COUNTIF($AD$3:$AD$65,""=1""),0)*100"),3.7735849056603774)</f>
        <v>3.773584906</v>
      </c>
      <c r="AI7" s="27">
        <f t="shared" si="7"/>
        <v>377.3584906</v>
      </c>
      <c r="AJ7" s="27">
        <f>IFERROR(__xludf.DUMMYFUNCTION("IF(AD7=1, RANK(AI7,FILTER($AI$3:$AI$65,$AD$3:$AD$65=1),1)/COUNTIF($AD$3:$AD$65,""=1""),0)*100"),15.09433962264151)</f>
        <v>15.09433962</v>
      </c>
      <c r="AK7" s="28">
        <f t="shared" si="8"/>
        <v>74.52830189</v>
      </c>
      <c r="AL7" s="27"/>
      <c r="AM7" s="24">
        <f t="shared" si="9"/>
        <v>75.92676427</v>
      </c>
    </row>
    <row r="8">
      <c r="A8" s="9"/>
      <c r="B8" s="25" t="s">
        <v>27</v>
      </c>
      <c r="C8" s="26" t="s">
        <v>28</v>
      </c>
      <c r="D8" s="26" t="s">
        <v>29</v>
      </c>
      <c r="E8" s="26">
        <v>3.10581042E8</v>
      </c>
      <c r="F8" s="12">
        <v>1.0</v>
      </c>
      <c r="G8" s="13">
        <v>1.18</v>
      </c>
      <c r="H8" s="27">
        <f>IFERROR(__xludf.DUMMYFUNCTION("IF(F8=1, RANK(G8, FILTER($G$3:$G$65,$F$3:$F$65=1),0)/COUNTIF($F$3:$F$65,""=1""),0)*100"),29.09090909090909)</f>
        <v>29.09090909</v>
      </c>
      <c r="I8" s="13">
        <v>2547.0</v>
      </c>
      <c r="J8" s="27">
        <f>IFERROR(__xludf.DUMMYFUNCTION("IF(F8=1, RANK(I8,FILTER($I$3:$I$65,$F$3:$F$65=1),0)/COUNTIF($F$3:$F$65,""=1""),0)*100"),23.636363636363637)</f>
        <v>23.63636364</v>
      </c>
      <c r="K8" s="27">
        <f t="shared" si="1"/>
        <v>687.6033058</v>
      </c>
      <c r="L8" s="27">
        <f>IFERROR(__xludf.DUMMYFUNCTION("IF(F8=1, RANK(K8,FILTER($K$3:$K$65,$F$3:$F$65=1),1)/COUNTIF($F$3:$F$65,""=1""),0)*100"),25.454545454545453)</f>
        <v>25.45454545</v>
      </c>
      <c r="M8" s="28">
        <f t="shared" si="2"/>
        <v>77.63636364</v>
      </c>
      <c r="N8" s="13">
        <v>1.0</v>
      </c>
      <c r="O8" s="13">
        <v>4.34</v>
      </c>
      <c r="P8" s="27">
        <f>IFERROR(__xludf.DUMMYFUNCTION("IF(N8=1, RANK(O8, FILTER($O$3:$O$65,$N$3:$N$65=1),0)/COUNTIF($N$3:$N$65,""=1""),0)*100"),28.57142857142857)</f>
        <v>28.57142857</v>
      </c>
      <c r="Q8" s="13">
        <v>6534.0</v>
      </c>
      <c r="R8" s="27">
        <f>IFERROR(__xludf.DUMMYFUNCTION("IF(N8=1, RANK(Q8, FILTER($Q$3:$Q$65,$N$3:$N$65=1),0)/COUNTIF($N$3:$N$65,""=1""),0)*100"),19.642857142857142)</f>
        <v>19.64285714</v>
      </c>
      <c r="S8" s="27">
        <f t="shared" si="3"/>
        <v>561.2244898</v>
      </c>
      <c r="T8" s="27">
        <f>IFERROR(__xludf.DUMMYFUNCTION("IF(N8=1, RANK(S8,FILTER($S$3:$S$65,$N$3:$N$65=1),1)/COUNTIF($N$3:$N$65,""=1""),0)*100"),21.428571428571427)</f>
        <v>21.42857143</v>
      </c>
      <c r="U8" s="28">
        <f t="shared" si="4"/>
        <v>76.42857143</v>
      </c>
      <c r="V8" s="12">
        <v>1.0</v>
      </c>
      <c r="W8" s="13">
        <v>120.04</v>
      </c>
      <c r="X8" s="27">
        <f>IFERROR(__xludf.DUMMYFUNCTION("IF(V8=1, RANK(W8, FILTER($W$3:$W$65,$V$3:$V$65=1),0)/COUNTIF($V$3:$V$65,""=1""),0)*100"),13.20754716981132)</f>
        <v>13.20754717</v>
      </c>
      <c r="Y8" s="13">
        <v>69736.0</v>
      </c>
      <c r="Z8" s="27">
        <f>IFERROR(__xludf.DUMMYFUNCTION("IF(V8=1, RANK(Y8, FILTER($Y$3:$Y$65,$V$3:$V$65=1),0)/COUNTIF($V$3:$V$65,""=1""),0)*100"),15.09433962264151)</f>
        <v>15.09433962</v>
      </c>
      <c r="AA8" s="27">
        <f t="shared" si="5"/>
        <v>199.3592026</v>
      </c>
      <c r="AB8" s="27">
        <f>IFERROR(__xludf.DUMMYFUNCTION("IF(V8=1, RANK(AA8,FILTER($AA$3:$AA$65,$V$3:$V$65=1),1)/COUNTIF($V$3:$V$65,""=1""),0)*100"),13.20754716981132)</f>
        <v>13.20754717</v>
      </c>
      <c r="AC8" s="28">
        <f t="shared" si="6"/>
        <v>73.96226415</v>
      </c>
      <c r="AD8" s="12">
        <v>1.0</v>
      </c>
      <c r="AE8" s="13">
        <v>120.18</v>
      </c>
      <c r="AF8" s="27">
        <f>IFERROR(__xludf.DUMMYFUNCTION("IF(AD8=1, RANK(AE8, FILTER($AE$3:$AE$65,$AD$3:$AD$65=1),0)/COUNTIF($AD$3:$AD$65,""=1""),0)*100"),28.30188679245283)</f>
        <v>28.30188679</v>
      </c>
      <c r="AG8" s="13">
        <v>296715.0</v>
      </c>
      <c r="AH8" s="27">
        <f>IFERROR(__xludf.DUMMYFUNCTION("IF(AD8=1, RANK(AG8, FILTER($AG$3:$AG$65,$AD$3:$AD$65=1),0)/COUNTIF($AD$3:$AD$65,""=1""),0)*100"),13.20754716981132)</f>
        <v>13.20754717</v>
      </c>
      <c r="AI8" s="27">
        <f t="shared" si="7"/>
        <v>373.7985048</v>
      </c>
      <c r="AJ8" s="27">
        <f>IFERROR(__xludf.DUMMYFUNCTION("IF(AD8=1, RANK(AI8,FILTER($AI$3:$AI$65,$AD$3:$AD$65=1),1)/COUNTIF($AD$3:$AD$65,""=1""),0)*100"),13.20754716981132)</f>
        <v>13.20754717</v>
      </c>
      <c r="AK8" s="28">
        <f t="shared" si="8"/>
        <v>73.96226415</v>
      </c>
      <c r="AL8" s="13">
        <v>5.0</v>
      </c>
      <c r="AM8" s="24">
        <f t="shared" si="9"/>
        <v>70.49736584</v>
      </c>
    </row>
    <row r="9">
      <c r="A9" s="9"/>
      <c r="B9" s="25" t="s">
        <v>30</v>
      </c>
      <c r="C9" s="26" t="s">
        <v>31</v>
      </c>
      <c r="D9" s="26" t="s">
        <v>32</v>
      </c>
      <c r="E9" s="26">
        <v>4.10513009E8</v>
      </c>
      <c r="F9" s="12">
        <v>0.0</v>
      </c>
      <c r="G9" s="13"/>
      <c r="H9" s="27">
        <f>IFERROR(__xludf.DUMMYFUNCTION("IF(F9=1, RANK(G9, FILTER($G$3:$G$65,$F$3:$F$65=1),0)/COUNTIF($F$3:$F$65,""=1""),0)*100"),0.0)</f>
        <v>0</v>
      </c>
      <c r="I9" s="27"/>
      <c r="J9" s="27">
        <f>IFERROR(__xludf.DUMMYFUNCTION("IF(F9=1, RANK(I9,FILTER($I$3:$I$65,$F$3:$F$65=1),0)/COUNTIF($F$3:$F$65,""=1""),0)*100"),0.0)</f>
        <v>0</v>
      </c>
      <c r="K9" s="27">
        <f t="shared" si="1"/>
        <v>0</v>
      </c>
      <c r="L9" s="27">
        <f>IFERROR(__xludf.DUMMYFUNCTION("IF(F9=1, RANK(K9,FILTER($K$3:$K$65,$F$3:$F$65=1),1)/COUNTIF($F$3:$F$65,""=1""),0)*100"),0.0)</f>
        <v>0</v>
      </c>
      <c r="M9" s="28">
        <f t="shared" si="2"/>
        <v>0</v>
      </c>
      <c r="N9" s="13">
        <v>0.0</v>
      </c>
      <c r="O9" s="13" t="s">
        <v>33</v>
      </c>
      <c r="P9" s="27">
        <f>IFERROR(__xludf.DUMMYFUNCTION("IF(N9=1, RANK(O9, FILTER($O$3:$O$65,$N$3:$N$65=1),0)/COUNTIF($N$3:$N$65,""=1""),0)*100"),0.0)</f>
        <v>0</v>
      </c>
      <c r="Q9" s="27"/>
      <c r="R9" s="27">
        <f>IFERROR(__xludf.DUMMYFUNCTION("IF(N9=1, RANK(Q9, FILTER($Q$3:$Q$65,$N$3:$N$65=1),0)/COUNTIF($N$3:$N$65,""=1""),0)*100"),0.0)</f>
        <v>0</v>
      </c>
      <c r="S9" s="27">
        <f t="shared" si="3"/>
        <v>0</v>
      </c>
      <c r="T9" s="27">
        <f>IFERROR(__xludf.DUMMYFUNCTION("IF(N9=1, RANK(S9,FILTER($S$3:$S$65,$N$3:$N$65=1),1)/COUNTIF($N$3:$N$65,""=1""),0)*100"),0.0)</f>
        <v>0</v>
      </c>
      <c r="U9" s="28">
        <f t="shared" si="4"/>
        <v>0</v>
      </c>
      <c r="V9" s="12">
        <v>0.0</v>
      </c>
      <c r="W9" s="13" t="s">
        <v>33</v>
      </c>
      <c r="X9" s="27">
        <f>IFERROR(__xludf.DUMMYFUNCTION("IF(V9=1, RANK(W9, FILTER($W$3:$W$65,$V$3:$V$65=1),0)/COUNTIF($V$3:$V$65,""=1""),0)*100"),0.0)</f>
        <v>0</v>
      </c>
      <c r="Y9" s="27"/>
      <c r="Z9" s="27">
        <f>IFERROR(__xludf.DUMMYFUNCTION("IF(V9=1, RANK(Y9, FILTER($Y$3:$Y$65,$V$3:$V$65=1),0)/COUNTIF($V$3:$V$65,""=1""),0)*100"),0.0)</f>
        <v>0</v>
      </c>
      <c r="AA9" s="27">
        <f t="shared" si="5"/>
        <v>0</v>
      </c>
      <c r="AB9" s="27">
        <f>IFERROR(__xludf.DUMMYFUNCTION("IF(V9=1, RANK(AA9,FILTER($AA$3:$AA$65,$V$3:$V$65=1),1)/COUNTIF($V$3:$V$65,""=1""),0)*100"),0.0)</f>
        <v>0</v>
      </c>
      <c r="AC9" s="28">
        <f t="shared" si="6"/>
        <v>0</v>
      </c>
      <c r="AD9" s="12">
        <v>0.0</v>
      </c>
      <c r="AE9" s="13" t="s">
        <v>33</v>
      </c>
      <c r="AF9" s="27">
        <f>IFERROR(__xludf.DUMMYFUNCTION("IF(AD9=1, RANK(AE9, FILTER($AE$3:$AE$65,$AD$3:$AD$65=1),0)/COUNTIF($AD$3:$AD$65,""=1""),0)*100"),0.0)</f>
        <v>0</v>
      </c>
      <c r="AG9" s="27"/>
      <c r="AH9" s="27">
        <f>IFERROR(__xludf.DUMMYFUNCTION("IF(AD9=1, RANK(AG9, FILTER($AG$3:$AG$65,$AD$3:$AD$65=1),0)/COUNTIF($AD$3:$AD$65,""=1""),0)*100"),0.0)</f>
        <v>0</v>
      </c>
      <c r="AI9" s="27">
        <f t="shared" si="7"/>
        <v>0</v>
      </c>
      <c r="AJ9" s="27">
        <f>IFERROR(__xludf.DUMMYFUNCTION("IF(AD9=1, RANK(AI9,FILTER($AI$3:$AI$65,$AD$3:$AD$65=1),1)/COUNTIF($AD$3:$AD$65,""=1""),0)*100"),0.0)</f>
        <v>0</v>
      </c>
      <c r="AK9" s="28">
        <f t="shared" si="8"/>
        <v>0</v>
      </c>
      <c r="AL9" s="27"/>
      <c r="AM9" s="24">
        <f t="shared" si="9"/>
        <v>0</v>
      </c>
    </row>
    <row r="10">
      <c r="A10" s="9"/>
      <c r="B10" s="25" t="s">
        <v>34</v>
      </c>
      <c r="C10" s="26" t="s">
        <v>35</v>
      </c>
      <c r="D10" s="26" t="s">
        <v>36</v>
      </c>
      <c r="E10" s="26">
        <v>3.1151302E8</v>
      </c>
      <c r="F10" s="12">
        <v>0.0</v>
      </c>
      <c r="G10" s="27"/>
      <c r="H10" s="27">
        <f>IFERROR(__xludf.DUMMYFUNCTION("IF(F10=1, RANK(G10, FILTER($G$3:$G$65,$F$3:$F$65=1),0)/COUNTIF($F$3:$F$65,""=1""),0)*100"),0.0)</f>
        <v>0</v>
      </c>
      <c r="I10" s="27"/>
      <c r="J10" s="27">
        <f>IFERROR(__xludf.DUMMYFUNCTION("IF(F10=1, RANK(I10,FILTER($I$3:$I$65,$F$3:$F$65=1),0)/COUNTIF($F$3:$F$65,""=1""),0)*100"),0.0)</f>
        <v>0</v>
      </c>
      <c r="K10" s="27">
        <f t="shared" si="1"/>
        <v>0</v>
      </c>
      <c r="L10" s="27">
        <f>IFERROR(__xludf.DUMMYFUNCTION("IF(F10=1, RANK(K10,FILTER($K$3:$K$65,$F$3:$F$65=1),1)/COUNTIF($F$3:$F$65,""=1""),0)*100"),0.0)</f>
        <v>0</v>
      </c>
      <c r="M10" s="28">
        <f t="shared" si="2"/>
        <v>0</v>
      </c>
      <c r="N10" s="13">
        <v>0.0</v>
      </c>
      <c r="O10" s="27"/>
      <c r="P10" s="27">
        <f>IFERROR(__xludf.DUMMYFUNCTION("IF(N10=1, RANK(O10, FILTER($O$3:$O$65,$N$3:$N$65=1),0)/COUNTIF($N$3:$N$65,""=1""),0)*100"),0.0)</f>
        <v>0</v>
      </c>
      <c r="Q10" s="27"/>
      <c r="R10" s="27">
        <f>IFERROR(__xludf.DUMMYFUNCTION("IF(N10=1, RANK(Q10, FILTER($Q$3:$Q$65,$N$3:$N$65=1),0)/COUNTIF($N$3:$N$65,""=1""),0)*100"),0.0)</f>
        <v>0</v>
      </c>
      <c r="S10" s="27">
        <f t="shared" si="3"/>
        <v>0</v>
      </c>
      <c r="T10" s="27">
        <f>IFERROR(__xludf.DUMMYFUNCTION("IF(N10=1, RANK(S10,FILTER($S$3:$S$65,$N$3:$N$65=1),1)/COUNTIF($N$3:$N$65,""=1""),0)*100"),0.0)</f>
        <v>0</v>
      </c>
      <c r="U10" s="28">
        <f t="shared" si="4"/>
        <v>0</v>
      </c>
      <c r="V10" s="12">
        <v>0.0</v>
      </c>
      <c r="W10" s="27"/>
      <c r="X10" s="27">
        <f>IFERROR(__xludf.DUMMYFUNCTION("IF(V10=1, RANK(W10, FILTER($W$3:$W$65,$V$3:$V$65=1),0)/COUNTIF($V$3:$V$65,""=1""),0)*100"),0.0)</f>
        <v>0</v>
      </c>
      <c r="Y10" s="27"/>
      <c r="Z10" s="27">
        <f>IFERROR(__xludf.DUMMYFUNCTION("IF(V10=1, RANK(Y10, FILTER($Y$3:$Y$65,$V$3:$V$65=1),0)/COUNTIF($V$3:$V$65,""=1""),0)*100"),0.0)</f>
        <v>0</v>
      </c>
      <c r="AA10" s="27">
        <f t="shared" si="5"/>
        <v>0</v>
      </c>
      <c r="AB10" s="27">
        <f>IFERROR(__xludf.DUMMYFUNCTION("IF(V10=1, RANK(AA10,FILTER($AA$3:$AA$65,$V$3:$V$65=1),1)/COUNTIF($V$3:$V$65,""=1""),0)*100"),0.0)</f>
        <v>0</v>
      </c>
      <c r="AC10" s="28">
        <f t="shared" si="6"/>
        <v>0</v>
      </c>
      <c r="AD10" s="12">
        <v>0.0</v>
      </c>
      <c r="AE10" s="27"/>
      <c r="AF10" s="27">
        <f>IFERROR(__xludf.DUMMYFUNCTION("IF(AD10=1, RANK(AE10, FILTER($AE$3:$AE$65,$AD$3:$AD$65=1),0)/COUNTIF($AD$3:$AD$65,""=1""),0)*100"),0.0)</f>
        <v>0</v>
      </c>
      <c r="AG10" s="27"/>
      <c r="AH10" s="27">
        <f>IFERROR(__xludf.DUMMYFUNCTION("IF(AD10=1, RANK(AG10, FILTER($AG$3:$AG$65,$AD$3:$AD$65=1),0)/COUNTIF($AD$3:$AD$65,""=1""),0)*100"),0.0)</f>
        <v>0</v>
      </c>
      <c r="AI10" s="27">
        <f t="shared" si="7"/>
        <v>0</v>
      </c>
      <c r="AJ10" s="27">
        <f>IFERROR(__xludf.DUMMYFUNCTION("IF(AD10=1, RANK(AI10,FILTER($AI$3:$AI$65,$AD$3:$AD$65=1),1)/COUNTIF($AD$3:$AD$65,""=1""),0)*100"),0.0)</f>
        <v>0</v>
      </c>
      <c r="AK10" s="28">
        <f t="shared" si="8"/>
        <v>0</v>
      </c>
      <c r="AL10" s="27"/>
      <c r="AM10" s="24">
        <f t="shared" si="9"/>
        <v>0</v>
      </c>
    </row>
    <row r="11">
      <c r="A11" s="9"/>
      <c r="B11" s="25"/>
      <c r="C11" s="26" t="s">
        <v>37</v>
      </c>
      <c r="D11" s="26" t="s">
        <v>38</v>
      </c>
      <c r="E11" s="26">
        <v>3.11513104E8</v>
      </c>
      <c r="F11" s="12">
        <v>1.0</v>
      </c>
      <c r="G11" s="13">
        <v>15.21</v>
      </c>
      <c r="H11" s="27">
        <f>IFERROR(__xludf.DUMMYFUNCTION("IF(F11=1, RANK(G11, FILTER($G$3:$G$65,$F$3:$F$65=1),0)/COUNTIF($F$3:$F$65,""=1""),0)*100"),7.2727272727272725)</f>
        <v>7.272727273</v>
      </c>
      <c r="I11" s="13">
        <v>2394.0</v>
      </c>
      <c r="J11" s="27">
        <f>IFERROR(__xludf.DUMMYFUNCTION("IF(F11=1, RANK(I11,FILTER($I$3:$I$65,$F$3:$F$65=1),0)/COUNTIF($F$3:$F$65,""=1""),0)*100"),25.454545454545453)</f>
        <v>25.45454545</v>
      </c>
      <c r="K11" s="27">
        <f t="shared" si="1"/>
        <v>185.1239669</v>
      </c>
      <c r="L11" s="27">
        <f>IFERROR(__xludf.DUMMYFUNCTION("IF(F11=1, RANK(K11,FILTER($K$3:$K$65,$F$3:$F$65=1),1)/COUNTIF($F$3:$F$65,""=1""),0)*100"),14.545454545454545)</f>
        <v>14.54545455</v>
      </c>
      <c r="M11" s="28">
        <f t="shared" si="2"/>
        <v>74.36363636</v>
      </c>
      <c r="N11" s="13">
        <v>1.0</v>
      </c>
      <c r="O11" s="13">
        <v>132.4</v>
      </c>
      <c r="P11" s="27">
        <f>IFERROR(__xludf.DUMMYFUNCTION("IF(N11=1, RANK(O11, FILTER($O$3:$O$65,$N$3:$N$65=1),0)/COUNTIF($N$3:$N$65,""=1""),0)*100"),7.142857142857142)</f>
        <v>7.142857143</v>
      </c>
      <c r="Q11" s="13">
        <v>5655.0</v>
      </c>
      <c r="R11" s="27">
        <f>IFERROR(__xludf.DUMMYFUNCTION("IF(N11=1, RANK(Q11, FILTER($Q$3:$Q$65,$N$3:$N$65=1),0)/COUNTIF($N$3:$N$65,""=1""),0)*100"),25.0)</f>
        <v>25</v>
      </c>
      <c r="S11" s="27">
        <f t="shared" si="3"/>
        <v>178.5714286</v>
      </c>
      <c r="T11" s="27">
        <f>IFERROR(__xludf.DUMMYFUNCTION("IF(N11=1, RANK(S11,FILTER($S$3:$S$65,$N$3:$N$65=1),1)/COUNTIF($N$3:$N$65,""=1""),0)*100"),12.5)</f>
        <v>12.5</v>
      </c>
      <c r="U11" s="28">
        <f t="shared" si="4"/>
        <v>73.75</v>
      </c>
      <c r="V11" s="12">
        <v>0.0</v>
      </c>
      <c r="W11" s="13" t="s">
        <v>33</v>
      </c>
      <c r="X11" s="27">
        <f>IFERROR(__xludf.DUMMYFUNCTION("IF(V11=1, RANK(W11, FILTER($W$3:$W$65,$V$3:$V$65=1),0)/COUNTIF($V$3:$V$65,""=1""),0)*100"),0.0)</f>
        <v>0</v>
      </c>
      <c r="Y11" s="27"/>
      <c r="Z11" s="27">
        <f>IFERROR(__xludf.DUMMYFUNCTION("IF(V11=1, RANK(Y11, FILTER($Y$3:$Y$65,$V$3:$V$65=1),0)/COUNTIF($V$3:$V$65,""=1""),0)*100"),0.0)</f>
        <v>0</v>
      </c>
      <c r="AA11" s="27">
        <f t="shared" si="5"/>
        <v>0</v>
      </c>
      <c r="AB11" s="27">
        <f>IFERROR(__xludf.DUMMYFUNCTION("IF(V11=1, RANK(AA11,FILTER($AA$3:$AA$65,$V$3:$V$65=1),1)/COUNTIF($V$3:$V$65,""=1""),0)*100"),0.0)</f>
        <v>0</v>
      </c>
      <c r="AC11" s="28">
        <f t="shared" si="6"/>
        <v>0</v>
      </c>
      <c r="AD11" s="12">
        <v>0.0</v>
      </c>
      <c r="AE11" s="13" t="s">
        <v>33</v>
      </c>
      <c r="AF11" s="27">
        <f>IFERROR(__xludf.DUMMYFUNCTION("IF(AD11=1, RANK(AE11, FILTER($AE$3:$AE$65,$AD$3:$AD$65=1),0)/COUNTIF($AD$3:$AD$65,""=1""),0)*100"),0.0)</f>
        <v>0</v>
      </c>
      <c r="AG11" s="27"/>
      <c r="AH11" s="27">
        <f>IFERROR(__xludf.DUMMYFUNCTION("IF(AD11=1, RANK(AG11, FILTER($AG$3:$AG$65,$AD$3:$AD$65=1),0)/COUNTIF($AD$3:$AD$65,""=1""),0)*100"),0.0)</f>
        <v>0</v>
      </c>
      <c r="AI11" s="27">
        <f t="shared" si="7"/>
        <v>0</v>
      </c>
      <c r="AJ11" s="27">
        <f>IFERROR(__xludf.DUMMYFUNCTION("IF(AD11=1, RANK(AI11,FILTER($AI$3:$AI$65,$AD$3:$AD$65=1),1)/COUNTIF($AD$3:$AD$65,""=1""),0)*100"),0.0)</f>
        <v>0</v>
      </c>
      <c r="AK11" s="28">
        <f t="shared" si="8"/>
        <v>0</v>
      </c>
      <c r="AL11" s="27"/>
      <c r="AM11" s="24">
        <f t="shared" si="9"/>
        <v>37.02840909</v>
      </c>
    </row>
    <row r="12">
      <c r="A12" s="9"/>
      <c r="B12" s="25"/>
      <c r="C12" s="26" t="s">
        <v>39</v>
      </c>
      <c r="D12" s="26" t="s">
        <v>40</v>
      </c>
      <c r="E12" s="26">
        <v>3.11581017E8</v>
      </c>
      <c r="F12" s="12">
        <v>1.0</v>
      </c>
      <c r="G12" s="13">
        <v>0.17</v>
      </c>
      <c r="H12" s="27">
        <f>IFERROR(__xludf.DUMMYFUNCTION("IF(F12=1, RANK(G12, FILTER($G$3:$G$65,$F$3:$F$65=1),0)/COUNTIF($F$3:$F$65,""=1""),0)*100"),60.0)</f>
        <v>60</v>
      </c>
      <c r="I12" s="13">
        <v>335.0</v>
      </c>
      <c r="J12" s="27">
        <f>IFERROR(__xludf.DUMMYFUNCTION("IF(F12=1, RANK(I12,FILTER($I$3:$I$65,$F$3:$F$65=1),0)/COUNTIF($F$3:$F$65,""=1""),0)*100"),96.36363636363636)</f>
        <v>96.36363636</v>
      </c>
      <c r="K12" s="27">
        <f t="shared" si="1"/>
        <v>5781.818182</v>
      </c>
      <c r="L12" s="27">
        <f>IFERROR(__xludf.DUMMYFUNCTION("IF(F12=1, RANK(K12,FILTER($K$3:$K$65,$F$3:$F$65=1),1)/COUNTIF($F$3:$F$65,""=1""),0)*100"),94.54545454545455)</f>
        <v>94.54545455</v>
      </c>
      <c r="M12" s="28">
        <f t="shared" si="2"/>
        <v>98.36363636</v>
      </c>
      <c r="N12" s="13">
        <v>1.0</v>
      </c>
      <c r="O12" s="13">
        <v>0.66</v>
      </c>
      <c r="P12" s="27">
        <f>IFERROR(__xludf.DUMMYFUNCTION("IF(N12=1, RANK(O12, FILTER($O$3:$O$65,$N$3:$N$65=1),0)/COUNTIF($N$3:$N$65,""=1""),0)*100"),57.14285714285714)</f>
        <v>57.14285714</v>
      </c>
      <c r="Q12" s="13">
        <v>2404.0</v>
      </c>
      <c r="R12" s="27">
        <f>IFERROR(__xludf.DUMMYFUNCTION("IF(N12=1, RANK(Q12, FILTER($Q$3:$Q$65,$N$3:$N$65=1),0)/COUNTIF($N$3:$N$65,""=1""),0)*100"),89.28571428571429)</f>
        <v>89.28571429</v>
      </c>
      <c r="S12" s="27">
        <f t="shared" si="3"/>
        <v>5102.040816</v>
      </c>
      <c r="T12" s="27">
        <f>IFERROR(__xludf.DUMMYFUNCTION("IF(N12=1, RANK(S12,FILTER($S$3:$S$65,$N$3:$N$65=1),1)/COUNTIF($N$3:$N$65,""=1""),0)*100"),87.5)</f>
        <v>87.5</v>
      </c>
      <c r="U12" s="28">
        <f t="shared" si="4"/>
        <v>96.25</v>
      </c>
      <c r="V12" s="12">
        <v>1.0</v>
      </c>
      <c r="W12" s="13">
        <v>4.38</v>
      </c>
      <c r="X12" s="27">
        <f>IFERROR(__xludf.DUMMYFUNCTION("IF(V12=1, RANK(W12, FILTER($W$3:$W$65,$V$3:$V$65=1),0)/COUNTIF($V$3:$V$65,""=1""),0)*100"),66.0377358490566)</f>
        <v>66.03773585</v>
      </c>
      <c r="Y12" s="13">
        <v>3584.0</v>
      </c>
      <c r="Z12" s="27">
        <f>IFERROR(__xludf.DUMMYFUNCTION("IF(V12=1, RANK(Y12, FILTER($Y$3:$Y$65,$V$3:$V$65=1),0)/COUNTIF($V$3:$V$65,""=1""),0)*100"),81.13207547169812)</f>
        <v>81.13207547</v>
      </c>
      <c r="AA12" s="27">
        <f t="shared" si="5"/>
        <v>5357.778569</v>
      </c>
      <c r="AB12" s="27">
        <f>IFERROR(__xludf.DUMMYFUNCTION("IF(V12=1, RANK(AA12,FILTER($AA$3:$AA$65,$V$3:$V$65=1),1)/COUNTIF($V$3:$V$65,""=1""),0)*100"),88.67924528301887)</f>
        <v>88.67924528</v>
      </c>
      <c r="AC12" s="28">
        <f t="shared" si="6"/>
        <v>96.60377358</v>
      </c>
      <c r="AD12" s="12">
        <v>1.0</v>
      </c>
      <c r="AE12" s="13">
        <v>18.55</v>
      </c>
      <c r="AF12" s="27">
        <f>IFERROR(__xludf.DUMMYFUNCTION("IF(AD12=1, RANK(AE12, FILTER($AE$3:$AE$65,$AD$3:$AD$65=1),0)/COUNTIF($AD$3:$AD$65,""=1""),0)*100"),71.69811320754717)</f>
        <v>71.69811321</v>
      </c>
      <c r="AG12" s="13">
        <v>10778.0</v>
      </c>
      <c r="AH12" s="27">
        <f>IFERROR(__xludf.DUMMYFUNCTION("IF(AD12=1, RANK(AG12, FILTER($AG$3:$AG$65,$AD$3:$AD$65=1),0)/COUNTIF($AD$3:$AD$65,""=1""),0)*100"),77.35849056603774)</f>
        <v>77.35849057</v>
      </c>
      <c r="AI12" s="27">
        <f t="shared" si="7"/>
        <v>5546.457814</v>
      </c>
      <c r="AJ12" s="27">
        <f>IFERROR(__xludf.DUMMYFUNCTION("IF(AD12=1, RANK(AI12,FILTER($AI$3:$AI$65,$AD$3:$AD$65=1),1)/COUNTIF($AD$3:$AD$65,""=1""),0)*100"),84.90566037735849)</f>
        <v>84.90566038</v>
      </c>
      <c r="AK12" s="28">
        <f t="shared" si="8"/>
        <v>95.47169811</v>
      </c>
      <c r="AL12" s="27"/>
      <c r="AM12" s="24">
        <f t="shared" si="9"/>
        <v>96.67227702</v>
      </c>
    </row>
    <row r="13">
      <c r="A13" s="9"/>
      <c r="B13" s="25"/>
      <c r="C13" s="26" t="s">
        <v>41</v>
      </c>
      <c r="D13" s="26" t="s">
        <v>42</v>
      </c>
      <c r="E13" s="26">
        <v>3.11591015E8</v>
      </c>
      <c r="F13" s="12">
        <v>1.0</v>
      </c>
      <c r="G13" s="13">
        <v>0.1</v>
      </c>
      <c r="H13" s="27">
        <f>IFERROR(__xludf.DUMMYFUNCTION("IF(F13=1, RANK(G13, FILTER($G$3:$G$65,$F$3:$F$65=1),0)/COUNTIF($F$3:$F$65,""=1""),0)*100"),80.0)</f>
        <v>80</v>
      </c>
      <c r="I13" s="13">
        <v>1321.0</v>
      </c>
      <c r="J13" s="27">
        <f>IFERROR(__xludf.DUMMYFUNCTION("IF(F13=1, RANK(I13,FILTER($I$3:$I$65,$F$3:$F$65=1),0)/COUNTIF($F$3:$F$65,""=1""),0)*100"),47.27272727272727)</f>
        <v>47.27272727</v>
      </c>
      <c r="K13" s="27">
        <f t="shared" si="1"/>
        <v>3781.818182</v>
      </c>
      <c r="L13" s="27">
        <f>IFERROR(__xludf.DUMMYFUNCTION("IF(F13=1, RANK(K13,FILTER($K$3:$K$65,$F$3:$F$65=1),1)/COUNTIF($F$3:$F$65,""=1""),0)*100"),74.54545454545455)</f>
        <v>74.54545455</v>
      </c>
      <c r="M13" s="28">
        <f t="shared" si="2"/>
        <v>92.36363636</v>
      </c>
      <c r="N13" s="13">
        <v>1.0</v>
      </c>
      <c r="O13" s="13">
        <v>0.5</v>
      </c>
      <c r="P13" s="27">
        <f>IFERROR(__xludf.DUMMYFUNCTION("IF(N13=1, RANK(O13, FILTER($O$3:$O$65,$N$3:$N$65=1),0)/COUNTIF($N$3:$N$65,""=1""),0)*100"),69.64285714285714)</f>
        <v>69.64285714</v>
      </c>
      <c r="Q13" s="13">
        <v>3286.0</v>
      </c>
      <c r="R13" s="27">
        <f>IFERROR(__xludf.DUMMYFUNCTION("IF(N13=1, RANK(Q13, FILTER($Q$3:$Q$65,$N$3:$N$65=1),0)/COUNTIF($N$3:$N$65,""=1""),0)*100"),60.71428571428571)</f>
        <v>60.71428571</v>
      </c>
      <c r="S13" s="27">
        <f t="shared" si="3"/>
        <v>4228.316327</v>
      </c>
      <c r="T13" s="27">
        <f>IFERROR(__xludf.DUMMYFUNCTION("IF(N13=1, RANK(S13,FILTER($S$3:$S$65,$N$3:$N$65=1),1)/COUNTIF($N$3:$N$65,""=1""),0)*100"),76.78571428571429)</f>
        <v>76.78571429</v>
      </c>
      <c r="U13" s="28">
        <f t="shared" si="4"/>
        <v>93.03571429</v>
      </c>
      <c r="V13" s="12">
        <v>1.0</v>
      </c>
      <c r="W13" s="13">
        <v>2.65</v>
      </c>
      <c r="X13" s="27">
        <f>IFERROR(__xludf.DUMMYFUNCTION("IF(V13=1, RANK(W13, FILTER($W$3:$W$65,$V$3:$V$65=1),0)/COUNTIF($V$3:$V$65,""=1""),0)*100"),77.35849056603774)</f>
        <v>77.35849057</v>
      </c>
      <c r="Y13" s="13">
        <v>10061.0</v>
      </c>
      <c r="Z13" s="27">
        <f>IFERROR(__xludf.DUMMYFUNCTION("IF(V13=1, RANK(Y13, FILTER($Y$3:$Y$65,$V$3:$V$65=1),0)/COUNTIF($V$3:$V$65,""=1""),0)*100"),52.83018867924528)</f>
        <v>52.83018868</v>
      </c>
      <c r="AA13" s="27">
        <f t="shared" si="5"/>
        <v>4086.863653</v>
      </c>
      <c r="AB13" s="27">
        <f>IFERROR(__xludf.DUMMYFUNCTION("IF(V13=1, RANK(AA13,FILTER($AA$3:$AA$65,$V$3:$V$65=1),1)/COUNTIF($V$3:$V$65,""=1""),0)*100"),84.90566037735849)</f>
        <v>84.90566038</v>
      </c>
      <c r="AC13" s="28">
        <f t="shared" si="6"/>
        <v>95.47169811</v>
      </c>
      <c r="AD13" s="12">
        <v>1.0</v>
      </c>
      <c r="AE13" s="13">
        <v>21.99</v>
      </c>
      <c r="AF13" s="27">
        <f>IFERROR(__xludf.DUMMYFUNCTION("IF(AD13=1, RANK(AE13, FILTER($AE$3:$AE$65,$AD$3:$AD$65=1),0)/COUNTIF($AD$3:$AD$65,""=1""),0)*100"),62.264150943396224)</f>
        <v>62.26415094</v>
      </c>
      <c r="AG13" s="13">
        <v>11633.0</v>
      </c>
      <c r="AH13" s="27">
        <f>IFERROR(__xludf.DUMMYFUNCTION("IF(AD13=1, RANK(AG13, FILTER($AG$3:$AG$65,$AD$3:$AD$65=1),0)/COUNTIF($AD$3:$AD$65,""=1""),0)*100"),75.47169811320755)</f>
        <v>75.47169811</v>
      </c>
      <c r="AI13" s="27">
        <f t="shared" si="7"/>
        <v>4699.181203</v>
      </c>
      <c r="AJ13" s="27">
        <f>IFERROR(__xludf.DUMMYFUNCTION("IF(AD13=1, RANK(AI13,FILTER($AI$3:$AI$65,$AD$3:$AD$65=1),1)/COUNTIF($AD$3:$AD$65,""=1""),0)*100"),79.24528301886792)</f>
        <v>79.24528302</v>
      </c>
      <c r="AK13" s="28">
        <f t="shared" si="8"/>
        <v>93.77358491</v>
      </c>
      <c r="AL13" s="27"/>
      <c r="AM13" s="24">
        <f t="shared" si="9"/>
        <v>93.66115842</v>
      </c>
    </row>
    <row r="14">
      <c r="A14" s="9"/>
      <c r="B14" s="25"/>
      <c r="C14" s="26" t="s">
        <v>43</v>
      </c>
      <c r="D14" s="26" t="s">
        <v>44</v>
      </c>
      <c r="E14" s="26">
        <v>4.11511001E8</v>
      </c>
      <c r="F14" s="12">
        <v>1.0</v>
      </c>
      <c r="G14" s="13">
        <v>0.07</v>
      </c>
      <c r="H14" s="27">
        <f>IFERROR(__xludf.DUMMYFUNCTION("IF(F14=1, RANK(G14, FILTER($G$3:$G$65,$F$3:$F$65=1),0)/COUNTIF($F$3:$F$65,""=1""),0)*100"),89.0909090909091)</f>
        <v>89.09090909</v>
      </c>
      <c r="I14" s="13">
        <v>1424.0</v>
      </c>
      <c r="J14" s="27">
        <f>IFERROR(__xludf.DUMMYFUNCTION("IF(F14=1, RANK(I14,FILTER($I$3:$I$65,$F$3:$F$65=1),0)/COUNTIF($F$3:$F$65,""=1""),0)*100"),36.36363636363637)</f>
        <v>36.36363636</v>
      </c>
      <c r="K14" s="27">
        <f t="shared" si="1"/>
        <v>3239.669421</v>
      </c>
      <c r="L14" s="27">
        <f>IFERROR(__xludf.DUMMYFUNCTION("IF(F14=1, RANK(K14,FILTER($K$3:$K$65,$F$3:$F$65=1),1)/COUNTIF($F$3:$F$65,""=1""),0)*100"),63.63636363636363)</f>
        <v>63.63636364</v>
      </c>
      <c r="M14" s="28">
        <f t="shared" si="2"/>
        <v>89.09090909</v>
      </c>
      <c r="N14" s="13">
        <v>1.0</v>
      </c>
      <c r="O14" s="13">
        <v>0.46</v>
      </c>
      <c r="P14" s="27">
        <f>IFERROR(__xludf.DUMMYFUNCTION("IF(N14=1, RANK(O14, FILTER($O$3:$O$65,$N$3:$N$65=1),0)/COUNTIF($N$3:$N$65,""=1""),0)*100"),73.21428571428571)</f>
        <v>73.21428571</v>
      </c>
      <c r="Q14" s="13">
        <v>5253.0</v>
      </c>
      <c r="R14" s="27">
        <f>IFERROR(__xludf.DUMMYFUNCTION("IF(N14=1, RANK(Q14, FILTER($Q$3:$Q$65,$N$3:$N$65=1),0)/COUNTIF($N$3:$N$65,""=1""),0)*100"),30.357142857142854)</f>
        <v>30.35714286</v>
      </c>
      <c r="S14" s="27">
        <f t="shared" si="3"/>
        <v>2222.576531</v>
      </c>
      <c r="T14" s="27">
        <f>IFERROR(__xludf.DUMMYFUNCTION("IF(N14=1, RANK(S14,FILTER($S$3:$S$65,$N$3:$N$65=1),1)/COUNTIF($N$3:$N$65,""=1""),0)*100"),50.0)</f>
        <v>50</v>
      </c>
      <c r="U14" s="28">
        <f t="shared" si="4"/>
        <v>85</v>
      </c>
      <c r="V14" s="12">
        <v>1.0</v>
      </c>
      <c r="W14" s="13">
        <v>9.4</v>
      </c>
      <c r="X14" s="27">
        <f>IFERROR(__xludf.DUMMYFUNCTION("IF(V14=1, RANK(W14, FILTER($W$3:$W$65,$V$3:$V$65=1),0)/COUNTIF($V$3:$V$65,""=1""),0)*100"),50.943396226415096)</f>
        <v>50.94339623</v>
      </c>
      <c r="Y14" s="13">
        <v>11189.0</v>
      </c>
      <c r="Z14" s="27">
        <f>IFERROR(__xludf.DUMMYFUNCTION("IF(V14=1, RANK(Y14, FILTER($Y$3:$Y$65,$V$3:$V$65=1),0)/COUNTIF($V$3:$V$65,""=1""),0)*100"),37.735849056603776)</f>
        <v>37.73584906</v>
      </c>
      <c r="AA14" s="27">
        <f t="shared" si="5"/>
        <v>1922.39231</v>
      </c>
      <c r="AB14" s="27">
        <f>IFERROR(__xludf.DUMMYFUNCTION("IF(V14=1, RANK(AA14,FILTER($AA$3:$AA$65,$V$3:$V$65=1),1)/COUNTIF($V$3:$V$65,""=1""),0)*100"),45.28301886792453)</f>
        <v>45.28301887</v>
      </c>
      <c r="AC14" s="28">
        <f t="shared" si="6"/>
        <v>83.58490566</v>
      </c>
      <c r="AD14" s="12">
        <v>1.0</v>
      </c>
      <c r="AE14" s="13">
        <v>24.44</v>
      </c>
      <c r="AF14" s="27">
        <f>IFERROR(__xludf.DUMMYFUNCTION("IF(AD14=1, RANK(AE14, FILTER($AE$3:$AE$65,$AD$3:$AD$65=1),0)/COUNTIF($AD$3:$AD$65,""=1""),0)*100"),60.37735849056604)</f>
        <v>60.37735849</v>
      </c>
      <c r="AG14" s="13">
        <v>29604.0</v>
      </c>
      <c r="AH14" s="27">
        <f>IFERROR(__xludf.DUMMYFUNCTION("IF(AD14=1, RANK(AG14, FILTER($AG$3:$AG$65,$AD$3:$AD$65=1),0)/COUNTIF($AD$3:$AD$65,""=1""),0)*100"),22.641509433962266)</f>
        <v>22.64150943</v>
      </c>
      <c r="AI14" s="27">
        <f t="shared" si="7"/>
        <v>1367.034532</v>
      </c>
      <c r="AJ14" s="27">
        <f>IFERROR(__xludf.DUMMYFUNCTION("IF(AD14=1, RANK(AI14,FILTER($AI$3:$AI$65,$AD$3:$AD$65=1),1)/COUNTIF($AD$3:$AD$65,""=1""),0)*100"),41.509433962264154)</f>
        <v>41.50943396</v>
      </c>
      <c r="AK14" s="28">
        <f t="shared" si="8"/>
        <v>82.45283019</v>
      </c>
      <c r="AL14" s="27"/>
      <c r="AM14" s="24">
        <f>(M14*0.25+U14*0.25+AC14*0.25+AK14*0.25-AL14)*0.5</f>
        <v>42.51608062</v>
      </c>
    </row>
    <row r="15">
      <c r="A15" s="9"/>
      <c r="B15" s="25"/>
      <c r="C15" s="26" t="s">
        <v>45</v>
      </c>
      <c r="D15" s="26" t="s">
        <v>46</v>
      </c>
      <c r="E15" s="26">
        <v>3.1151015E8</v>
      </c>
      <c r="F15" s="12">
        <v>1.0</v>
      </c>
      <c r="G15" s="13">
        <v>2.36</v>
      </c>
      <c r="H15" s="27">
        <f>IFERROR(__xludf.DUMMYFUNCTION("IF(F15=1, RANK(G15, FILTER($G$3:$G$65,$F$3:$F$65=1),0)/COUNTIF($F$3:$F$65,""=1""),0)*100"),16.363636363636363)</f>
        <v>16.36363636</v>
      </c>
      <c r="I15" s="13">
        <v>2612.0</v>
      </c>
      <c r="J15" s="27">
        <f>IFERROR(__xludf.DUMMYFUNCTION("IF(F15=1, RANK(I15,FILTER($I$3:$I$65,$F$3:$F$65=1),0)/COUNTIF($F$3:$F$65,""=1""),0)*100"),21.818181818181817)</f>
        <v>21.81818182</v>
      </c>
      <c r="K15" s="27">
        <f t="shared" si="1"/>
        <v>357.0247934</v>
      </c>
      <c r="L15" s="27">
        <f>IFERROR(__xludf.DUMMYFUNCTION("IF(F15=1, RANK(K15,FILTER($K$3:$K$65,$F$3:$F$65=1),1)/COUNTIF($F$3:$F$65,""=1""),0)*100"),18.181818181818183)</f>
        <v>18.18181818</v>
      </c>
      <c r="M15" s="28">
        <f t="shared" si="2"/>
        <v>75.45454545</v>
      </c>
      <c r="N15" s="13">
        <v>1.0</v>
      </c>
      <c r="O15" s="13">
        <v>5.31</v>
      </c>
      <c r="P15" s="27">
        <f>IFERROR(__xludf.DUMMYFUNCTION("IF(N15=1, RANK(O15, FILTER($O$3:$O$65,$N$3:$N$65=1),0)/COUNTIF($N$3:$N$65,""=1""),0)*100"),21.428571428571427)</f>
        <v>21.42857143</v>
      </c>
      <c r="Q15" s="13">
        <v>6374.0</v>
      </c>
      <c r="R15" s="27">
        <f>IFERROR(__xludf.DUMMYFUNCTION("IF(N15=1, RANK(Q15, FILTER($Q$3:$Q$65,$N$3:$N$65=1),0)/COUNTIF($N$3:$N$65,""=1""),0)*100"),21.428571428571427)</f>
        <v>21.42857143</v>
      </c>
      <c r="S15" s="27">
        <f t="shared" si="3"/>
        <v>459.1836735</v>
      </c>
      <c r="T15" s="27">
        <f>IFERROR(__xludf.DUMMYFUNCTION("IF(N15=1, RANK(S15,FILTER($S$3:$S$65,$N$3:$N$65=1),1)/COUNTIF($N$3:$N$65,""=1""),0)*100"),19.642857142857142)</f>
        <v>19.64285714</v>
      </c>
      <c r="U15" s="28">
        <f t="shared" si="4"/>
        <v>75.89285714</v>
      </c>
      <c r="V15" s="12">
        <v>1.0</v>
      </c>
      <c r="W15" s="13">
        <v>14.14</v>
      </c>
      <c r="X15" s="27">
        <f>IFERROR(__xludf.DUMMYFUNCTION("IF(V15=1, RANK(W15, FILTER($W$3:$W$65,$V$3:$V$65=1),0)/COUNTIF($V$3:$V$65,""=1""),0)*100"),45.28301886792453)</f>
        <v>45.28301887</v>
      </c>
      <c r="Y15" s="13">
        <v>6281.0</v>
      </c>
      <c r="Z15" s="27">
        <f>IFERROR(__xludf.DUMMYFUNCTION("IF(V15=1, RANK(Y15, FILTER($Y$3:$Y$65,$V$3:$V$65=1),0)/COUNTIF($V$3:$V$65,""=1""),0)*100"),71.69811320754717)</f>
        <v>71.69811321</v>
      </c>
      <c r="AA15" s="27">
        <f t="shared" si="5"/>
        <v>3246.707013</v>
      </c>
      <c r="AB15" s="27">
        <f>IFERROR(__xludf.DUMMYFUNCTION("IF(V15=1, RANK(AA15,FILTER($AA$3:$AA$65,$V$3:$V$65=1),1)/COUNTIF($V$3:$V$65,""=1""),0)*100"),73.58490566037736)</f>
        <v>73.58490566</v>
      </c>
      <c r="AC15" s="28">
        <f t="shared" si="6"/>
        <v>92.0754717</v>
      </c>
      <c r="AD15" s="12">
        <v>1.0</v>
      </c>
      <c r="AE15" s="13">
        <v>20.41</v>
      </c>
      <c r="AF15" s="27">
        <f>IFERROR(__xludf.DUMMYFUNCTION("IF(AD15=1, RANK(AE15, FILTER($AE$3:$AE$65,$AD$3:$AD$65=1),0)/COUNTIF($AD$3:$AD$65,""=1""),0)*100"),67.9245283018868)</f>
        <v>67.9245283</v>
      </c>
      <c r="AG15" s="13">
        <v>15965.0</v>
      </c>
      <c r="AH15" s="27">
        <f>IFERROR(__xludf.DUMMYFUNCTION("IF(AD15=1, RANK(AG15, FILTER($AG$3:$AG$65,$AD$3:$AD$65=1),0)/COUNTIF($AD$3:$AD$65,""=1""),0)*100"),47.16981132075472)</f>
        <v>47.16981132</v>
      </c>
      <c r="AI15" s="27">
        <f t="shared" si="7"/>
        <v>3203.987184</v>
      </c>
      <c r="AJ15" s="27">
        <f>IFERROR(__xludf.DUMMYFUNCTION("IF(AD15=1, RANK(AI15,FILTER($AI$3:$AI$65,$AD$3:$AD$65=1),1)/COUNTIF($AD$3:$AD$65,""=1""),0)*100"),67.9245283018868)</f>
        <v>67.9245283</v>
      </c>
      <c r="AK15" s="28">
        <f t="shared" si="8"/>
        <v>90.37735849</v>
      </c>
      <c r="AL15" s="27"/>
      <c r="AM15" s="24">
        <f t="shared" ref="AM15:AM51" si="10">M15*0.25+U15*0.25+AC15*0.25+AK15*0.25-AL15</f>
        <v>83.4500582</v>
      </c>
    </row>
    <row r="16">
      <c r="A16" s="9"/>
      <c r="B16" s="25"/>
      <c r="C16" s="26" t="s">
        <v>47</v>
      </c>
      <c r="D16" s="26" t="s">
        <v>48</v>
      </c>
      <c r="E16" s="26">
        <v>3.11510168E8</v>
      </c>
      <c r="F16" s="12">
        <v>1.0</v>
      </c>
      <c r="G16" s="13">
        <v>0.02</v>
      </c>
      <c r="H16" s="27">
        <f>IFERROR(__xludf.DUMMYFUNCTION("IF(F16=1, RANK(G16, FILTER($G$3:$G$65,$F$3:$F$65=1),0)/COUNTIF($F$3:$F$65,""=1""),0)*100"),98.18181818181819)</f>
        <v>98.18181818</v>
      </c>
      <c r="I16" s="13">
        <v>1895.0</v>
      </c>
      <c r="J16" s="27">
        <f>IFERROR(__xludf.DUMMYFUNCTION("IF(F16=1, RANK(I16,FILTER($I$3:$I$65,$F$3:$F$65=1),0)/COUNTIF($F$3:$F$65,""=1""),0)*100"),29.09090909090909)</f>
        <v>29.09090909</v>
      </c>
      <c r="K16" s="27">
        <f t="shared" si="1"/>
        <v>2856.198347</v>
      </c>
      <c r="L16" s="27">
        <f>IFERROR(__xludf.DUMMYFUNCTION("IF(F16=1, RANK(K16,FILTER($K$3:$K$65,$F$3:$F$65=1),1)/COUNTIF($F$3:$F$65,""=1""),0)*100"),56.36363636363636)</f>
        <v>56.36363636</v>
      </c>
      <c r="M16" s="28">
        <f t="shared" si="2"/>
        <v>86.90909091</v>
      </c>
      <c r="N16" s="13">
        <v>1.0</v>
      </c>
      <c r="O16" s="13">
        <v>0.05</v>
      </c>
      <c r="P16" s="27">
        <f>IFERROR(__xludf.DUMMYFUNCTION("IF(N16=1, RANK(O16, FILTER($O$3:$O$65,$N$3:$N$65=1),0)/COUNTIF($N$3:$N$65,""=1""),0)*100"),98.21428571428571)</f>
        <v>98.21428571</v>
      </c>
      <c r="Q16" s="13">
        <v>5086.0</v>
      </c>
      <c r="R16" s="27">
        <f>IFERROR(__xludf.DUMMYFUNCTION("IF(N16=1, RANK(Q16, FILTER($Q$3:$Q$65,$N$3:$N$65=1),0)/COUNTIF($N$3:$N$65,""=1""),0)*100"),35.714285714285715)</f>
        <v>35.71428571</v>
      </c>
      <c r="S16" s="27">
        <f t="shared" si="3"/>
        <v>3507.653061</v>
      </c>
      <c r="T16" s="27">
        <f>IFERROR(__xludf.DUMMYFUNCTION("IF(N16=1, RANK(S16,FILTER($S$3:$S$65,$N$3:$N$65=1),1)/COUNTIF($N$3:$N$65,""=1""),0)*100"),67.85714285714286)</f>
        <v>67.85714286</v>
      </c>
      <c r="U16" s="28">
        <f t="shared" si="4"/>
        <v>90.35714286</v>
      </c>
      <c r="V16" s="12">
        <v>1.0</v>
      </c>
      <c r="W16" s="13">
        <v>2.2</v>
      </c>
      <c r="X16" s="27">
        <f>IFERROR(__xludf.DUMMYFUNCTION("IF(V16=1, RANK(W16, FILTER($W$3:$W$65,$V$3:$V$65=1),0)/COUNTIF($V$3:$V$65,""=1""),0)*100"),83.01886792452831)</f>
        <v>83.01886792</v>
      </c>
      <c r="Y16" s="13">
        <v>20534.0</v>
      </c>
      <c r="Z16" s="27">
        <f>IFERROR(__xludf.DUMMYFUNCTION("IF(V16=1, RANK(Y16, FILTER($Y$3:$Y$65,$V$3:$V$65=1),0)/COUNTIF($V$3:$V$65,""=1""),0)*100"),24.528301886792452)</f>
        <v>24.52830189</v>
      </c>
      <c r="AA16" s="27">
        <f t="shared" si="5"/>
        <v>2036.311855</v>
      </c>
      <c r="AB16" s="27">
        <f>IFERROR(__xludf.DUMMYFUNCTION("IF(V16=1, RANK(AA16,FILTER($AA$3:$AA$65,$V$3:$V$65=1),1)/COUNTIF($V$3:$V$65,""=1""),0)*100"),49.056603773584904)</f>
        <v>49.05660377</v>
      </c>
      <c r="AC16" s="28">
        <f t="shared" si="6"/>
        <v>84.71698113</v>
      </c>
      <c r="AD16" s="12">
        <v>1.0</v>
      </c>
      <c r="AE16" s="13">
        <v>32.93</v>
      </c>
      <c r="AF16" s="27">
        <f>IFERROR(__xludf.DUMMYFUNCTION("IF(AD16=1, RANK(AE16, FILTER($AE$3:$AE$65,$AD$3:$AD$65=1),0)/COUNTIF($AD$3:$AD$65,""=1""),0)*100"),54.71698113207547)</f>
        <v>54.71698113</v>
      </c>
      <c r="AG16" s="13">
        <v>35185.0</v>
      </c>
      <c r="AH16" s="27">
        <f>IFERROR(__xludf.DUMMYFUNCTION("IF(AD16=1, RANK(AG16, FILTER($AG$3:$AG$65,$AD$3:$AD$65=1),0)/COUNTIF($AD$3:$AD$65,""=1""),0)*100"),20.754716981132077)</f>
        <v>20.75471698</v>
      </c>
      <c r="AI16" s="27">
        <f t="shared" si="7"/>
        <v>1135.635457</v>
      </c>
      <c r="AJ16" s="27">
        <f>IFERROR(__xludf.DUMMYFUNCTION("IF(AD16=1, RANK(AI16,FILTER($AI$3:$AI$65,$AD$3:$AD$65=1),1)/COUNTIF($AD$3:$AD$65,""=1""),0)*100"),37.735849056603776)</f>
        <v>37.73584906</v>
      </c>
      <c r="AK16" s="28">
        <f t="shared" si="8"/>
        <v>81.32075472</v>
      </c>
      <c r="AL16" s="27"/>
      <c r="AM16" s="24">
        <f t="shared" si="10"/>
        <v>85.8259924</v>
      </c>
    </row>
    <row r="17">
      <c r="A17" s="9"/>
      <c r="B17" s="25"/>
      <c r="C17" s="26" t="s">
        <v>49</v>
      </c>
      <c r="D17" s="26" t="s">
        <v>50</v>
      </c>
      <c r="E17" s="26">
        <v>3.11510172E8</v>
      </c>
      <c r="F17" s="12">
        <v>1.0</v>
      </c>
      <c r="G17" s="13">
        <v>0.12</v>
      </c>
      <c r="H17" s="27">
        <f>IFERROR(__xludf.DUMMYFUNCTION("IF(F17=1, RANK(G17, FILTER($G$3:$G$65,$F$3:$F$65=1),0)/COUNTIF($F$3:$F$65,""=1""),0)*100"),70.9090909090909)</f>
        <v>70.90909091</v>
      </c>
      <c r="I17" s="13">
        <v>2062.0</v>
      </c>
      <c r="J17" s="27">
        <f>IFERROR(__xludf.DUMMYFUNCTION("IF(F17=1, RANK(I17,FILTER($I$3:$I$65,$F$3:$F$65=1),0)/COUNTIF($F$3:$F$65,""=1""),0)*100"),27.27272727272727)</f>
        <v>27.27272727</v>
      </c>
      <c r="K17" s="27">
        <f t="shared" si="1"/>
        <v>1933.884298</v>
      </c>
      <c r="L17" s="27">
        <f>IFERROR(__xludf.DUMMYFUNCTION("IF(F17=1, RANK(K17,FILTER($K$3:$K$65,$F$3:$F$65=1),1)/COUNTIF($F$3:$F$65,""=1""),0)*100"),41.81818181818181)</f>
        <v>41.81818182</v>
      </c>
      <c r="M17" s="28">
        <f t="shared" si="2"/>
        <v>82.54545455</v>
      </c>
      <c r="N17" s="13">
        <v>1.0</v>
      </c>
      <c r="O17" s="13">
        <v>0.27</v>
      </c>
      <c r="P17" s="27">
        <f>IFERROR(__xludf.DUMMYFUNCTION("IF(N17=1, RANK(O17, FILTER($O$3:$O$65,$N$3:$N$65=1),0)/COUNTIF($N$3:$N$65,""=1""),0)*100"),85.71428571428571)</f>
        <v>85.71428571</v>
      </c>
      <c r="Q17" s="13">
        <v>5265.0</v>
      </c>
      <c r="R17" s="27">
        <f>IFERROR(__xludf.DUMMYFUNCTION("IF(N17=1, RANK(Q17, FILTER($Q$3:$Q$65,$N$3:$N$65=1),0)/COUNTIF($N$3:$N$65,""=1""),0)*100"),28.57142857142857)</f>
        <v>28.57142857</v>
      </c>
      <c r="S17" s="27">
        <f t="shared" si="3"/>
        <v>2448.979592</v>
      </c>
      <c r="T17" s="27">
        <f>IFERROR(__xludf.DUMMYFUNCTION("IF(N17=1, RANK(S17,FILTER($S$3:$S$65,$N$3:$N$65=1),1)/COUNTIF($N$3:$N$65,""=1""),0)*100"),55.35714285714286)</f>
        <v>55.35714286</v>
      </c>
      <c r="U17" s="28">
        <f t="shared" si="4"/>
        <v>86.60714286</v>
      </c>
      <c r="V17" s="12">
        <v>1.0</v>
      </c>
      <c r="W17" s="13">
        <v>2.9</v>
      </c>
      <c r="X17" s="27">
        <f>IFERROR(__xludf.DUMMYFUNCTION("IF(V17=1, RANK(W17, FILTER($W$3:$W$65,$V$3:$V$65=1),0)/COUNTIF($V$3:$V$65,""=1""),0)*100"),71.69811320754717)</f>
        <v>71.69811321</v>
      </c>
      <c r="Y17" s="13">
        <v>10947.0</v>
      </c>
      <c r="Z17" s="27">
        <f>IFERROR(__xludf.DUMMYFUNCTION("IF(V17=1, RANK(Y17, FILTER($Y$3:$Y$65,$V$3:$V$65=1),0)/COUNTIF($V$3:$V$65,""=1""),0)*100"),39.62264150943396)</f>
        <v>39.62264151</v>
      </c>
      <c r="AA17" s="27">
        <f t="shared" si="5"/>
        <v>2840.868637</v>
      </c>
      <c r="AB17" s="27">
        <f>IFERROR(__xludf.DUMMYFUNCTION("IF(V17=1, RANK(AA17,FILTER($AA$3:$AA$65,$V$3:$V$65=1),1)/COUNTIF($V$3:$V$65,""=1""),0)*100"),64.15094339622641)</f>
        <v>64.1509434</v>
      </c>
      <c r="AC17" s="28">
        <f t="shared" si="6"/>
        <v>89.24528302</v>
      </c>
      <c r="AD17" s="12">
        <v>1.0</v>
      </c>
      <c r="AE17" s="13">
        <v>9.57</v>
      </c>
      <c r="AF17" s="27">
        <f>IFERROR(__xludf.DUMMYFUNCTION("IF(AD17=1, RANK(AE17, FILTER($AE$3:$AE$65,$AD$3:$AD$65=1),0)/COUNTIF($AD$3:$AD$65,""=1""),0)*100"),81.13207547169812)</f>
        <v>81.13207547</v>
      </c>
      <c r="AG17" s="13">
        <v>22865.0</v>
      </c>
      <c r="AH17" s="27">
        <f>IFERROR(__xludf.DUMMYFUNCTION("IF(AD17=1, RANK(AG17, FILTER($AG$3:$AG$65,$AD$3:$AD$65=1),0)/COUNTIF($AD$3:$AD$65,""=1""),0)*100"),35.84905660377358)</f>
        <v>35.8490566</v>
      </c>
      <c r="AI17" s="27">
        <f t="shared" si="7"/>
        <v>2908.508366</v>
      </c>
      <c r="AJ17" s="27">
        <f>IFERROR(__xludf.DUMMYFUNCTION("IF(AD17=1, RANK(AI17,FILTER($AI$3:$AI$65,$AD$3:$AD$65=1),1)/COUNTIF($AD$3:$AD$65,""=1""),0)*100"),58.490566037735846)</f>
        <v>58.49056604</v>
      </c>
      <c r="AK17" s="28">
        <f t="shared" si="8"/>
        <v>87.54716981</v>
      </c>
      <c r="AL17" s="27"/>
      <c r="AM17" s="24">
        <f t="shared" si="10"/>
        <v>86.48626256</v>
      </c>
    </row>
    <row r="18">
      <c r="A18" s="9"/>
      <c r="B18" s="25"/>
      <c r="C18" s="26" t="s">
        <v>51</v>
      </c>
      <c r="D18" s="26" t="s">
        <v>52</v>
      </c>
      <c r="E18" s="26">
        <v>3.11510175E8</v>
      </c>
      <c r="F18" s="12">
        <v>1.0</v>
      </c>
      <c r="G18" s="13">
        <v>1.22</v>
      </c>
      <c r="H18" s="27">
        <f>IFERROR(__xludf.DUMMYFUNCTION("IF(F18=1, RANK(G18, FILTER($G$3:$G$65,$F$3:$F$65=1),0)/COUNTIF($F$3:$F$65,""=1""),0)*100"),27.27272727272727)</f>
        <v>27.27272727</v>
      </c>
      <c r="I18" s="13">
        <v>1147.0</v>
      </c>
      <c r="J18" s="27">
        <f>IFERROR(__xludf.DUMMYFUNCTION("IF(F18=1, RANK(I18,FILTER($I$3:$I$65,$F$3:$F$65=1),0)/COUNTIF($F$3:$F$65,""=1""),0)*100"),56.36363636363636)</f>
        <v>56.36363636</v>
      </c>
      <c r="K18" s="27">
        <f t="shared" si="1"/>
        <v>1537.190083</v>
      </c>
      <c r="L18" s="27">
        <f>IFERROR(__xludf.DUMMYFUNCTION("IF(F18=1, RANK(K18,FILTER($K$3:$K$65,$F$3:$F$65=1),1)/COUNTIF($F$3:$F$65,""=1""),0)*100"),36.36363636363637)</f>
        <v>36.36363636</v>
      </c>
      <c r="M18" s="28">
        <f t="shared" si="2"/>
        <v>80.90909091</v>
      </c>
      <c r="N18" s="13">
        <v>1.0</v>
      </c>
      <c r="O18" s="13">
        <v>2.26</v>
      </c>
      <c r="P18" s="27">
        <f>IFERROR(__xludf.DUMMYFUNCTION("IF(N18=1, RANK(O18, FILTER($O$3:$O$65,$N$3:$N$65=1),0)/COUNTIF($N$3:$N$65,""=1""),0)*100"),37.5)</f>
        <v>37.5</v>
      </c>
      <c r="Q18" s="13">
        <v>3614.0</v>
      </c>
      <c r="R18" s="27">
        <f>IFERROR(__xludf.DUMMYFUNCTION("IF(N18=1, RANK(Q18, FILTER($Q$3:$Q$65,$N$3:$N$65=1),0)/COUNTIF($N$3:$N$65,""=1""),0)*100"),48.214285714285715)</f>
        <v>48.21428571</v>
      </c>
      <c r="S18" s="27">
        <f t="shared" si="3"/>
        <v>1808.035714</v>
      </c>
      <c r="T18" s="27">
        <f>IFERROR(__xludf.DUMMYFUNCTION("IF(N18=1, RANK(S18,FILTER($S$3:$S$65,$N$3:$N$65=1),1)/COUNTIF($N$3:$N$65,""=1""),0)*100"),39.285714285714285)</f>
        <v>39.28571429</v>
      </c>
      <c r="U18" s="28">
        <f t="shared" si="4"/>
        <v>81.78571429</v>
      </c>
      <c r="V18" s="12">
        <v>1.0</v>
      </c>
      <c r="W18" s="13">
        <v>16.78</v>
      </c>
      <c r="X18" s="27">
        <f>IFERROR(__xludf.DUMMYFUNCTION("IF(V18=1, RANK(W18, FILTER($W$3:$W$65,$V$3:$V$65=1),0)/COUNTIF($V$3:$V$65,""=1""),0)*100"),33.9622641509434)</f>
        <v>33.96226415</v>
      </c>
      <c r="Y18" s="13">
        <v>13855.0</v>
      </c>
      <c r="Z18" s="27">
        <f>IFERROR(__xludf.DUMMYFUNCTION("IF(V18=1, RANK(Y18, FILTER($Y$3:$Y$65,$V$3:$V$65=1),0)/COUNTIF($V$3:$V$65,""=1""),0)*100"),32.075471698113205)</f>
        <v>32.0754717</v>
      </c>
      <c r="AA18" s="27">
        <f t="shared" si="5"/>
        <v>1089.355643</v>
      </c>
      <c r="AB18" s="27">
        <f>IFERROR(__xludf.DUMMYFUNCTION("IF(V18=1, RANK(AA18,FILTER($AA$3:$AA$65,$V$3:$V$65=1),1)/COUNTIF($V$3:$V$65,""=1""),0)*100"),28.30188679245283)</f>
        <v>28.30188679</v>
      </c>
      <c r="AC18" s="28">
        <f t="shared" si="6"/>
        <v>78.49056604</v>
      </c>
      <c r="AD18" s="12">
        <v>1.0</v>
      </c>
      <c r="AE18" s="13">
        <v>39.6</v>
      </c>
      <c r="AF18" s="27">
        <f>IFERROR(__xludf.DUMMYFUNCTION("IF(AD18=1, RANK(AE18, FILTER($AE$3:$AE$65,$AD$3:$AD$65=1),0)/COUNTIF($AD$3:$AD$65,""=1""),0)*100"),43.39622641509434)</f>
        <v>43.39622642</v>
      </c>
      <c r="AG18" s="13">
        <v>26990.0</v>
      </c>
      <c r="AH18" s="27">
        <f>IFERROR(__xludf.DUMMYFUNCTION("IF(AD18=1, RANK(AG18, FILTER($AG$3:$AG$65,$AD$3:$AD$65=1),0)/COUNTIF($AD$3:$AD$65,""=1""),0)*100"),28.30188679245283)</f>
        <v>28.30188679</v>
      </c>
      <c r="AI18" s="27">
        <f t="shared" si="7"/>
        <v>1228.195087</v>
      </c>
      <c r="AJ18" s="27">
        <f>IFERROR(__xludf.DUMMYFUNCTION("IF(AD18=1, RANK(AI18,FILTER($AI$3:$AI$65,$AD$3:$AD$65=1),1)/COUNTIF($AD$3:$AD$65,""=1""),0)*100"),39.62264150943396)</f>
        <v>39.62264151</v>
      </c>
      <c r="AK18" s="28">
        <f t="shared" si="8"/>
        <v>81.88679245</v>
      </c>
      <c r="AL18" s="27"/>
      <c r="AM18" s="24">
        <f t="shared" si="10"/>
        <v>80.76804092</v>
      </c>
    </row>
    <row r="19">
      <c r="A19" s="9"/>
      <c r="B19" s="30" t="s">
        <v>53</v>
      </c>
      <c r="C19" s="31" t="s">
        <v>54</v>
      </c>
      <c r="D19" s="31" t="s">
        <v>55</v>
      </c>
      <c r="E19" s="31">
        <v>3.11510197E8</v>
      </c>
      <c r="F19" s="32"/>
      <c r="G19" s="33"/>
      <c r="H19" s="33">
        <f>IFERROR(__xludf.DUMMYFUNCTION("IF(F19=1, RANK(G19, FILTER($G$3:$G$65,$F$3:$F$65=1),0)/COUNTIF($F$3:$F$65,""=1""),0)*100"),0.0)</f>
        <v>0</v>
      </c>
      <c r="I19" s="33"/>
      <c r="J19" s="33">
        <f>IFERROR(__xludf.DUMMYFUNCTION("IF(F19=1, RANK(I19,FILTER($I$3:$I$65,$F$3:$F$65=1),0)/COUNTIF($F$3:$F$65,""=1""),0)*100"),0.0)</f>
        <v>0</v>
      </c>
      <c r="K19" s="33">
        <f t="shared" si="1"/>
        <v>0</v>
      </c>
      <c r="L19" s="33">
        <f>IFERROR(__xludf.DUMMYFUNCTION("IF(F19=1, RANK(K19,FILTER($K$3:$K$65,$F$3:$F$65=1),1)/COUNTIF($F$3:$F$65,""=1""),0)*100"),0.0)</f>
        <v>0</v>
      </c>
      <c r="M19" s="34">
        <f t="shared" si="2"/>
        <v>0</v>
      </c>
      <c r="N19" s="33"/>
      <c r="O19" s="33"/>
      <c r="P19" s="33">
        <f>IFERROR(__xludf.DUMMYFUNCTION("IF(N19=1, RANK(O19, FILTER($O$3:$O$65,$N$3:$N$65=1),0)/COUNTIF($N$3:$N$65,""=1""),0)*100"),0.0)</f>
        <v>0</v>
      </c>
      <c r="Q19" s="33"/>
      <c r="R19" s="33">
        <f>IFERROR(__xludf.DUMMYFUNCTION("IF(N19=1, RANK(Q19, FILTER($Q$3:$Q$65,$N$3:$N$65=1),0)/COUNTIF($N$3:$N$65,""=1""),0)*100"),0.0)</f>
        <v>0</v>
      </c>
      <c r="S19" s="33">
        <f t="shared" si="3"/>
        <v>0</v>
      </c>
      <c r="T19" s="33">
        <f>IFERROR(__xludf.DUMMYFUNCTION("IF(N19=1, RANK(S19,FILTER($S$3:$S$65,$N$3:$N$65=1),1)/COUNTIF($N$3:$N$65,""=1""),0)*100"),0.0)</f>
        <v>0</v>
      </c>
      <c r="U19" s="34">
        <f t="shared" si="4"/>
        <v>0</v>
      </c>
      <c r="V19" s="32"/>
      <c r="W19" s="33"/>
      <c r="X19" s="33">
        <f>IFERROR(__xludf.DUMMYFUNCTION("IF(V19=1, RANK(W19, FILTER($W$3:$W$65,$V$3:$V$65=1),0)/COUNTIF($V$3:$V$65,""=1""),0)*100"),0.0)</f>
        <v>0</v>
      </c>
      <c r="Y19" s="33"/>
      <c r="Z19" s="33">
        <f>IFERROR(__xludf.DUMMYFUNCTION("IF(V19=1, RANK(Y19, FILTER($Y$3:$Y$65,$V$3:$V$65=1),0)/COUNTIF($V$3:$V$65,""=1""),0)*100"),0.0)</f>
        <v>0</v>
      </c>
      <c r="AA19" s="33">
        <f t="shared" si="5"/>
        <v>0</v>
      </c>
      <c r="AB19" s="33">
        <f>IFERROR(__xludf.DUMMYFUNCTION("IF(V19=1, RANK(AA19,FILTER($AA$3:$AA$65,$V$3:$V$65=1),1)/COUNTIF($V$3:$V$65,""=1""),0)*100"),0.0)</f>
        <v>0</v>
      </c>
      <c r="AC19" s="34">
        <f t="shared" si="6"/>
        <v>0</v>
      </c>
      <c r="AD19" s="32"/>
      <c r="AE19" s="33"/>
      <c r="AF19" s="33">
        <f>IFERROR(__xludf.DUMMYFUNCTION("IF(AD19=1, RANK(AE19, FILTER($AE$3:$AE$65,$AD$3:$AD$65=1),0)/COUNTIF($AD$3:$AD$65,""=1""),0)*100"),0.0)</f>
        <v>0</v>
      </c>
      <c r="AG19" s="33"/>
      <c r="AH19" s="33">
        <f>IFERROR(__xludf.DUMMYFUNCTION("IF(AD19=1, RANK(AG19, FILTER($AG$3:$AG$65,$AD$3:$AD$65=1),0)/COUNTIF($AD$3:$AD$65,""=1""),0)*100"),0.0)</f>
        <v>0</v>
      </c>
      <c r="AI19" s="33">
        <f t="shared" si="7"/>
        <v>0</v>
      </c>
      <c r="AJ19" s="33">
        <f>IFERROR(__xludf.DUMMYFUNCTION("IF(AD19=1, RANK(AI19,FILTER($AI$3:$AI$65,$AD$3:$AD$65=1),1)/COUNTIF($AD$3:$AD$65,""=1""),0)*100"),0.0)</f>
        <v>0</v>
      </c>
      <c r="AK19" s="34">
        <f t="shared" si="8"/>
        <v>0</v>
      </c>
      <c r="AL19" s="33"/>
      <c r="AM19" s="35">
        <f t="shared" si="10"/>
        <v>0</v>
      </c>
    </row>
    <row r="20">
      <c r="A20" s="9"/>
      <c r="B20" s="25"/>
      <c r="C20" s="26" t="s">
        <v>56</v>
      </c>
      <c r="D20" s="26" t="s">
        <v>57</v>
      </c>
      <c r="E20" s="26">
        <v>3.115102E8</v>
      </c>
      <c r="F20" s="12">
        <v>1.0</v>
      </c>
      <c r="G20" s="13">
        <v>0.09</v>
      </c>
      <c r="H20" s="27">
        <f>IFERROR(__xludf.DUMMYFUNCTION("IF(F20=1, RANK(G20, FILTER($G$3:$G$65,$F$3:$F$65=1),0)/COUNTIF($F$3:$F$65,""=1""),0)*100"),85.45454545454545)</f>
        <v>85.45454545</v>
      </c>
      <c r="I20" s="13">
        <v>1213.0</v>
      </c>
      <c r="J20" s="27">
        <f>IFERROR(__xludf.DUMMYFUNCTION("IF(F20=1, RANK(I20,FILTER($I$3:$I$65,$F$3:$F$65=1),0)/COUNTIF($F$3:$F$65,""=1""),0)*100"),50.90909090909091)</f>
        <v>50.90909091</v>
      </c>
      <c r="K20" s="27">
        <f t="shared" si="1"/>
        <v>4350.413223</v>
      </c>
      <c r="L20" s="27">
        <f>IFERROR(__xludf.DUMMYFUNCTION("IF(F20=1, RANK(K20,FILTER($K$3:$K$65,$F$3:$F$65=1),1)/COUNTIF($F$3:$F$65,""=1""),0)*100"),81.81818181818183)</f>
        <v>81.81818182</v>
      </c>
      <c r="M20" s="28">
        <f t="shared" si="2"/>
        <v>94.54545455</v>
      </c>
      <c r="N20" s="13">
        <v>1.0</v>
      </c>
      <c r="O20" s="13">
        <v>0.3</v>
      </c>
      <c r="P20" s="27">
        <f>IFERROR(__xludf.DUMMYFUNCTION("IF(N20=1, RANK(O20, FILTER($O$3:$O$65,$N$3:$N$65=1),0)/COUNTIF($N$3:$N$65,""=1""),0)*100"),80.35714285714286)</f>
        <v>80.35714286</v>
      </c>
      <c r="Q20" s="13">
        <v>3475.0</v>
      </c>
      <c r="R20" s="27">
        <f>IFERROR(__xludf.DUMMYFUNCTION("IF(N20=1, RANK(Q20, FILTER($Q$3:$Q$65,$N$3:$N$65=1),0)/COUNTIF($N$3:$N$65,""=1""),0)*100"),53.57142857142857)</f>
        <v>53.57142857</v>
      </c>
      <c r="S20" s="27">
        <f t="shared" si="3"/>
        <v>4304.846939</v>
      </c>
      <c r="T20" s="27">
        <f>IFERROR(__xludf.DUMMYFUNCTION("IF(N20=1, RANK(S20,FILTER($S$3:$S$65,$N$3:$N$65=1),1)/COUNTIF($N$3:$N$65,""=1""),0)*100"),80.35714285714286)</f>
        <v>80.35714286</v>
      </c>
      <c r="U20" s="28">
        <f t="shared" si="4"/>
        <v>94.10714286</v>
      </c>
      <c r="V20" s="12">
        <v>1.0</v>
      </c>
      <c r="W20" s="13">
        <v>2.42</v>
      </c>
      <c r="X20" s="27">
        <f>IFERROR(__xludf.DUMMYFUNCTION("IF(V20=1, RANK(W20, FILTER($W$3:$W$65,$V$3:$V$65=1),0)/COUNTIF($V$3:$V$65,""=1""),0)*100"),79.24528301886792)</f>
        <v>79.24528302</v>
      </c>
      <c r="Y20" s="13">
        <v>8971.0</v>
      </c>
      <c r="Z20" s="27">
        <f>IFERROR(__xludf.DUMMYFUNCTION("IF(V20=1, RANK(Y20, FILTER($Y$3:$Y$65,$V$3:$V$65=1),0)/COUNTIF($V$3:$V$65,""=1""),0)*100"),62.264150943396224)</f>
        <v>62.26415094</v>
      </c>
      <c r="AA20" s="27">
        <f t="shared" si="5"/>
        <v>4934.140263</v>
      </c>
      <c r="AB20" s="27">
        <f>IFERROR(__xludf.DUMMYFUNCTION("IF(V20=1, RANK(AA20,FILTER($AA$3:$AA$65,$V$3:$V$65=1),1)/COUNTIF($V$3:$V$65,""=1""),0)*100"),86.79245283018868)</f>
        <v>86.79245283</v>
      </c>
      <c r="AC20" s="28">
        <f t="shared" si="6"/>
        <v>96.03773585</v>
      </c>
      <c r="AD20" s="12">
        <v>1.0</v>
      </c>
      <c r="AE20" s="13">
        <v>8.89</v>
      </c>
      <c r="AF20" s="27">
        <f>IFERROR(__xludf.DUMMYFUNCTION("IF(AD20=1, RANK(AE20, FILTER($AE$3:$AE$65,$AD$3:$AD$65=1),0)/COUNTIF($AD$3:$AD$65,""=1""),0)*100"),83.01886792452831)</f>
        <v>83.01886792</v>
      </c>
      <c r="AG20" s="13">
        <v>7024.0</v>
      </c>
      <c r="AH20" s="27">
        <f>IFERROR(__xludf.DUMMYFUNCTION("IF(AD20=1, RANK(AG20, FILTER($AG$3:$AG$65,$AD$3:$AD$65=1),0)/COUNTIF($AD$3:$AD$65,""=1""),0)*100"),92.45283018867924)</f>
        <v>92.45283019</v>
      </c>
      <c r="AI20" s="27">
        <f t="shared" si="7"/>
        <v>7675.329299</v>
      </c>
      <c r="AJ20" s="27">
        <f>IFERROR(__xludf.DUMMYFUNCTION("IF(AD20=1, RANK(AI20,FILTER($AI$3:$AI$65,$AD$3:$AD$65=1),1)/COUNTIF($AD$3:$AD$65,""=1""),0)*100"),98.11320754716981)</f>
        <v>98.11320755</v>
      </c>
      <c r="AK20" s="28">
        <f t="shared" si="8"/>
        <v>99.43396226</v>
      </c>
      <c r="AL20" s="27"/>
      <c r="AM20" s="24">
        <f t="shared" si="10"/>
        <v>96.03107388</v>
      </c>
    </row>
    <row r="21">
      <c r="A21" s="9"/>
      <c r="B21" s="25" t="s">
        <v>58</v>
      </c>
      <c r="C21" s="26" t="s">
        <v>59</v>
      </c>
      <c r="D21" s="26" t="s">
        <v>60</v>
      </c>
      <c r="E21" s="26">
        <v>3.11580038E8</v>
      </c>
      <c r="F21" s="12">
        <v>1.0</v>
      </c>
      <c r="G21" s="13">
        <v>420.65</v>
      </c>
      <c r="H21" s="27">
        <f>IFERROR(__xludf.DUMMYFUNCTION("IF(F21=1, RANK(G21, FILTER($G$3:$G$65,$F$3:$F$65=1),0)/COUNTIF($F$3:$F$65,""=1""),0)*100"),1.8181818181818181)</f>
        <v>1.818181818</v>
      </c>
      <c r="I21" s="13">
        <v>1424.0</v>
      </c>
      <c r="J21" s="27">
        <f>IFERROR(__xludf.DUMMYFUNCTION("IF(F21=1, RANK(I21,FILTER($I$3:$I$65,$F$3:$F$65=1),0)/COUNTIF($F$3:$F$65,""=1""),0)*100"),36.36363636363637)</f>
        <v>36.36363636</v>
      </c>
      <c r="K21" s="27">
        <f t="shared" si="1"/>
        <v>66.11570248</v>
      </c>
      <c r="L21" s="27">
        <f>IFERROR(__xludf.DUMMYFUNCTION("IF(F21=1, RANK(K21,FILTER($K$3:$K$65,$F$3:$F$65=1),1)/COUNTIF($F$3:$F$65,""=1""),0)*100"),3.6363636363636362)</f>
        <v>3.636363636</v>
      </c>
      <c r="M21" s="28">
        <f t="shared" si="2"/>
        <v>71.09090909</v>
      </c>
      <c r="N21" s="13">
        <v>1.0</v>
      </c>
      <c r="O21" s="13">
        <v>436.57</v>
      </c>
      <c r="P21" s="27">
        <f>IFERROR(__xludf.DUMMYFUNCTION("IF(N21=1, RANK(O21, FILTER($O$3:$O$65,$N$3:$N$65=1),0)/COUNTIF($N$3:$N$65,""=1""),0)*100"),5.357142857142857)</f>
        <v>5.357142857</v>
      </c>
      <c r="Q21" s="13">
        <v>3102.0</v>
      </c>
      <c r="R21" s="27">
        <f>IFERROR(__xludf.DUMMYFUNCTION("IF(N21=1, RANK(Q21, FILTER($Q$3:$Q$65,$N$3:$N$65=1),0)/COUNTIF($N$3:$N$65,""=1""),0)*100"),64.28571428571429)</f>
        <v>64.28571429</v>
      </c>
      <c r="S21" s="27">
        <f t="shared" si="3"/>
        <v>344.3877551</v>
      </c>
      <c r="T21" s="27">
        <f>IFERROR(__xludf.DUMMYFUNCTION("IF(N21=1, RANK(S21,FILTER($S$3:$S$65,$N$3:$N$65=1),1)/COUNTIF($N$3:$N$65,""=1""),0)*100"),16.071428571428573)</f>
        <v>16.07142857</v>
      </c>
      <c r="U21" s="28">
        <f t="shared" si="4"/>
        <v>74.82142857</v>
      </c>
      <c r="V21" s="12">
        <v>1.0</v>
      </c>
      <c r="W21" s="13">
        <v>29.32</v>
      </c>
      <c r="X21" s="27">
        <f>IFERROR(__xludf.DUMMYFUNCTION("IF(V21=1, RANK(W21, FILTER($W$3:$W$65,$V$3:$V$65=1),0)/COUNTIF($V$3:$V$65,""=1""),0)*100"),26.41509433962264)</f>
        <v>26.41509434</v>
      </c>
      <c r="Y21" s="13">
        <v>10272.0</v>
      </c>
      <c r="Z21" s="27">
        <f>IFERROR(__xludf.DUMMYFUNCTION("IF(V21=1, RANK(Y21, FILTER($Y$3:$Y$65,$V$3:$V$65=1),0)/COUNTIF($V$3:$V$65,""=1""),0)*100"),50.943396226415096)</f>
        <v>50.94339623</v>
      </c>
      <c r="AA21" s="27">
        <f t="shared" si="5"/>
        <v>1345.674617</v>
      </c>
      <c r="AB21" s="27">
        <f>IFERROR(__xludf.DUMMYFUNCTION("IF(V21=1, RANK(AA21,FILTER($AA$3:$AA$65,$V$3:$V$65=1),1)/COUNTIF($V$3:$V$65,""=1""),0)*100"),33.9622641509434)</f>
        <v>33.96226415</v>
      </c>
      <c r="AC21" s="28">
        <f t="shared" si="6"/>
        <v>80.18867925</v>
      </c>
      <c r="AD21" s="12">
        <v>1.0</v>
      </c>
      <c r="AE21" s="13">
        <v>444.02</v>
      </c>
      <c r="AF21" s="27">
        <f>IFERROR(__xludf.DUMMYFUNCTION("IF(AD21=1, RANK(AE21, FILTER($AE$3:$AE$65,$AD$3:$AD$65=1),0)/COUNTIF($AD$3:$AD$65,""=1""),0)*100"),11.320754716981133)</f>
        <v>11.32075472</v>
      </c>
      <c r="AG21" s="13">
        <v>15759.0</v>
      </c>
      <c r="AH21" s="27">
        <f>IFERROR(__xludf.DUMMYFUNCTION("IF(AD21=1, RANK(AG21, FILTER($AG$3:$AG$65,$AD$3:$AD$65=1),0)/COUNTIF($AD$3:$AD$65,""=1""),0)*100"),49.056603773584904)</f>
        <v>49.05660377</v>
      </c>
      <c r="AI21" s="27">
        <f t="shared" si="7"/>
        <v>555.3577786</v>
      </c>
      <c r="AJ21" s="27">
        <f>IFERROR(__xludf.DUMMYFUNCTION("IF(AD21=1, RANK(AI21,FILTER($AI$3:$AI$65,$AD$3:$AD$65=1),1)/COUNTIF($AD$3:$AD$65,""=1""),0)*100"),18.867924528301888)</f>
        <v>18.86792453</v>
      </c>
      <c r="AK21" s="28">
        <f t="shared" si="8"/>
        <v>75.66037736</v>
      </c>
      <c r="AL21" s="13">
        <v>5.0</v>
      </c>
      <c r="AM21" s="24">
        <f t="shared" si="10"/>
        <v>70.44034857</v>
      </c>
    </row>
    <row r="22">
      <c r="A22" s="9"/>
      <c r="B22" s="25"/>
      <c r="C22" s="26" t="s">
        <v>61</v>
      </c>
      <c r="D22" s="26" t="s">
        <v>62</v>
      </c>
      <c r="E22" s="26">
        <v>3.1158005E8</v>
      </c>
      <c r="F22" s="12">
        <v>1.0</v>
      </c>
      <c r="G22" s="13">
        <v>1.57</v>
      </c>
      <c r="H22" s="27">
        <f>IFERROR(__xludf.DUMMYFUNCTION("IF(F22=1, RANK(G22, FILTER($G$3:$G$65,$F$3:$F$65=1),0)/COUNTIF($F$3:$F$65,""=1""),0)*100"),18.181818181818183)</f>
        <v>18.18181818</v>
      </c>
      <c r="I22" s="13">
        <v>863.0</v>
      </c>
      <c r="J22" s="27">
        <f>IFERROR(__xludf.DUMMYFUNCTION("IF(F22=1, RANK(I22,FILTER($I$3:$I$65,$F$3:$F$65=1),0)/COUNTIF($F$3:$F$65,""=1""),0)*100"),70.9090909090909)</f>
        <v>70.90909091</v>
      </c>
      <c r="K22" s="27">
        <f t="shared" si="1"/>
        <v>1289.256198</v>
      </c>
      <c r="L22" s="27">
        <f>IFERROR(__xludf.DUMMYFUNCTION("IF(F22=1, RANK(K22,FILTER($K$3:$K$65,$F$3:$F$65=1),1)/COUNTIF($F$3:$F$65,""=1""),0)*100"),34.54545454545455)</f>
        <v>34.54545455</v>
      </c>
      <c r="M22" s="28">
        <f t="shared" si="2"/>
        <v>80.36363636</v>
      </c>
      <c r="N22" s="13">
        <v>1.0</v>
      </c>
      <c r="O22" s="13">
        <v>5.95</v>
      </c>
      <c r="P22" s="27">
        <f>IFERROR(__xludf.DUMMYFUNCTION("IF(N22=1, RANK(O22, FILTER($O$3:$O$65,$N$3:$N$65=1),0)/COUNTIF($N$3:$N$65,""=1""),0)*100"),16.071428571428573)</f>
        <v>16.07142857</v>
      </c>
      <c r="Q22" s="13">
        <v>3092.0</v>
      </c>
      <c r="R22" s="27">
        <f>IFERROR(__xludf.DUMMYFUNCTION("IF(N22=1, RANK(Q22, FILTER($Q$3:$Q$65,$N$3:$N$65=1),0)/COUNTIF($N$3:$N$65,""=1""),0)*100"),67.85714285714286)</f>
        <v>67.85714286</v>
      </c>
      <c r="S22" s="27">
        <f t="shared" si="3"/>
        <v>1090.561224</v>
      </c>
      <c r="T22" s="27">
        <f>IFERROR(__xludf.DUMMYFUNCTION("IF(N22=1, RANK(S22,FILTER($S$3:$S$65,$N$3:$N$65=1),1)/COUNTIF($N$3:$N$65,""=1""),0)*100"),28.57142857142857)</f>
        <v>28.57142857</v>
      </c>
      <c r="U22" s="28">
        <f t="shared" si="4"/>
        <v>78.57142857</v>
      </c>
      <c r="V22" s="12">
        <v>1.0</v>
      </c>
      <c r="W22" s="13">
        <v>15.66</v>
      </c>
      <c r="X22" s="27">
        <f>IFERROR(__xludf.DUMMYFUNCTION("IF(V22=1, RANK(W22, FILTER($W$3:$W$65,$V$3:$V$65=1),0)/COUNTIF($V$3:$V$65,""=1""),0)*100"),41.509433962264154)</f>
        <v>41.50943396</v>
      </c>
      <c r="Y22" s="13">
        <v>10279.0</v>
      </c>
      <c r="Z22" s="27">
        <f>IFERROR(__xludf.DUMMYFUNCTION("IF(V22=1, RANK(Y22, FILTER($Y$3:$Y$65,$V$3:$V$65=1),0)/COUNTIF($V$3:$V$65,""=1""),0)*100"),49.056603773584904)</f>
        <v>49.05660377</v>
      </c>
      <c r="AA22" s="27">
        <f t="shared" si="5"/>
        <v>2036.311855</v>
      </c>
      <c r="AB22" s="27">
        <f>IFERROR(__xludf.DUMMYFUNCTION("IF(V22=1, RANK(AA22,FILTER($AA$3:$AA$65,$V$3:$V$65=1),1)/COUNTIF($V$3:$V$65,""=1""),0)*100"),49.056603773584904)</f>
        <v>49.05660377</v>
      </c>
      <c r="AC22" s="28">
        <f t="shared" si="6"/>
        <v>84.71698113</v>
      </c>
      <c r="AD22" s="12">
        <v>1.0</v>
      </c>
      <c r="AE22" s="13">
        <v>65.83</v>
      </c>
      <c r="AF22" s="27">
        <f>IFERROR(__xludf.DUMMYFUNCTION("IF(AD22=1, RANK(AE22, FILTER($AE$3:$AE$65,$AD$3:$AD$65=1),0)/COUNTIF($AD$3:$AD$65,""=1""),0)*100"),37.735849056603776)</f>
        <v>37.73584906</v>
      </c>
      <c r="AG22" s="13">
        <v>18050.0</v>
      </c>
      <c r="AH22" s="27">
        <f>IFERROR(__xludf.DUMMYFUNCTION("IF(AD22=1, RANK(AG22, FILTER($AG$3:$AG$65,$AD$3:$AD$65=1),0)/COUNTIF($AD$3:$AD$65,""=1""),0)*100"),43.39622641509434)</f>
        <v>43.39622642</v>
      </c>
      <c r="AI22" s="27">
        <f t="shared" si="7"/>
        <v>1637.59345</v>
      </c>
      <c r="AJ22" s="27">
        <f>IFERROR(__xludf.DUMMYFUNCTION("IF(AD22=1, RANK(AI22,FILTER($AI$3:$AI$65,$AD$3:$AD$65=1),1)/COUNTIF($AD$3:$AD$65,""=1""),0)*100"),47.16981132075472)</f>
        <v>47.16981132</v>
      </c>
      <c r="AK22" s="28">
        <f t="shared" si="8"/>
        <v>84.1509434</v>
      </c>
      <c r="AL22" s="27"/>
      <c r="AM22" s="24">
        <f t="shared" si="10"/>
        <v>81.95074737</v>
      </c>
    </row>
    <row r="23">
      <c r="A23" s="9"/>
      <c r="B23" s="25"/>
      <c r="C23" s="26" t="s">
        <v>63</v>
      </c>
      <c r="D23" s="26" t="s">
        <v>64</v>
      </c>
      <c r="E23" s="26">
        <v>3.11611098E8</v>
      </c>
      <c r="F23" s="12">
        <v>1.0</v>
      </c>
      <c r="G23" s="13">
        <v>0.93</v>
      </c>
      <c r="H23" s="27">
        <f>IFERROR(__xludf.DUMMYFUNCTION("IF(F23=1, RANK(G23, FILTER($G$3:$G$65,$F$3:$F$65=1),0)/COUNTIF($F$3:$F$65,""=1""),0)*100"),36.36363636363637)</f>
        <v>36.36363636</v>
      </c>
      <c r="I23" s="13">
        <v>844.0</v>
      </c>
      <c r="J23" s="27">
        <f>IFERROR(__xludf.DUMMYFUNCTION("IF(F23=1, RANK(I23,FILTER($I$3:$I$65,$F$3:$F$65=1),0)/COUNTIF($F$3:$F$65,""=1""),0)*100"),74.54545454545455)</f>
        <v>74.54545455</v>
      </c>
      <c r="K23" s="27">
        <f t="shared" si="1"/>
        <v>2710.743802</v>
      </c>
      <c r="L23" s="27">
        <f>IFERROR(__xludf.DUMMYFUNCTION("IF(F23=1, RANK(K23,FILTER($K$3:$K$65,$F$3:$F$65=1),1)/COUNTIF($F$3:$F$65,""=1""),0)*100"),50.90909090909091)</f>
        <v>50.90909091</v>
      </c>
      <c r="M23" s="28">
        <f t="shared" si="2"/>
        <v>85.27272727</v>
      </c>
      <c r="N23" s="13">
        <v>1.0</v>
      </c>
      <c r="O23" s="13">
        <v>3.54</v>
      </c>
      <c r="P23" s="27">
        <f>IFERROR(__xludf.DUMMYFUNCTION("IF(N23=1, RANK(O23, FILTER($O$3:$O$65,$N$3:$N$65=1),0)/COUNTIF($N$3:$N$65,""=1""),0)*100"),30.357142857142854)</f>
        <v>30.35714286</v>
      </c>
      <c r="Q23" s="13">
        <v>3093.0</v>
      </c>
      <c r="R23" s="27">
        <f>IFERROR(__xludf.DUMMYFUNCTION("IF(N23=1, RANK(Q23, FILTER($Q$3:$Q$65,$N$3:$N$65=1),0)/COUNTIF($N$3:$N$65,""=1""),0)*100"),66.07142857142857)</f>
        <v>66.07142857</v>
      </c>
      <c r="S23" s="27">
        <f t="shared" si="3"/>
        <v>2005.739796</v>
      </c>
      <c r="T23" s="27">
        <f>IFERROR(__xludf.DUMMYFUNCTION("IF(N23=1, RANK(S23,FILTER($S$3:$S$65,$N$3:$N$65=1),1)/COUNTIF($N$3:$N$65,""=1""),0)*100"),44.642857142857146)</f>
        <v>44.64285714</v>
      </c>
      <c r="U23" s="28">
        <f t="shared" si="4"/>
        <v>83.39285714</v>
      </c>
      <c r="V23" s="12">
        <v>1.0</v>
      </c>
      <c r="W23" s="13">
        <v>15.62</v>
      </c>
      <c r="X23" s="27">
        <f>IFERROR(__xludf.DUMMYFUNCTION("IF(V23=1, RANK(W23, FILTER($W$3:$W$65,$V$3:$V$65=1),0)/COUNTIF($V$3:$V$65,""=1""),0)*100"),43.39622641509434)</f>
        <v>43.39622642</v>
      </c>
      <c r="Y23" s="13">
        <v>9505.0</v>
      </c>
      <c r="Z23" s="27">
        <f>IFERROR(__xludf.DUMMYFUNCTION("IF(V23=1, RANK(Y23, FILTER($Y$3:$Y$65,$V$3:$V$65=1),0)/COUNTIF($V$3:$V$65,""=1""),0)*100"),56.60377358490566)</f>
        <v>56.60377358</v>
      </c>
      <c r="AA23" s="27">
        <f t="shared" si="5"/>
        <v>2456.390174</v>
      </c>
      <c r="AB23" s="27">
        <f>IFERROR(__xludf.DUMMYFUNCTION("IF(V23=1, RANK(AA23,FILTER($AA$3:$AA$65,$V$3:$V$65=1),1)/COUNTIF($V$3:$V$65,""=1""),0)*100"),58.490566037735846)</f>
        <v>58.49056604</v>
      </c>
      <c r="AC23" s="28">
        <f t="shared" si="6"/>
        <v>87.54716981</v>
      </c>
      <c r="AD23" s="12">
        <v>1.0</v>
      </c>
      <c r="AE23" s="13">
        <v>16.21</v>
      </c>
      <c r="AF23" s="27">
        <f>IFERROR(__xludf.DUMMYFUNCTION("IF(AD23=1, RANK(AE23, FILTER($AE$3:$AE$65,$AD$3:$AD$65=1),0)/COUNTIF($AD$3:$AD$65,""=1""),0)*100"),75.47169811320755)</f>
        <v>75.47169811</v>
      </c>
      <c r="AG23" s="13">
        <v>15135.0</v>
      </c>
      <c r="AH23" s="27">
        <f>IFERROR(__xludf.DUMMYFUNCTION("IF(AD23=1, RANK(AG23, FILTER($AG$3:$AG$65,$AD$3:$AD$65=1),0)/COUNTIF($AD$3:$AD$65,""=1""),0)*100"),52.83018867924528)</f>
        <v>52.83018868</v>
      </c>
      <c r="AI23" s="27">
        <f t="shared" si="7"/>
        <v>3987.184051</v>
      </c>
      <c r="AJ23" s="27">
        <f>IFERROR(__xludf.DUMMYFUNCTION("IF(AD23=1, RANK(AI23,FILTER($AI$3:$AI$65,$AD$3:$AD$65=1),1)/COUNTIF($AD$3:$AD$65,""=1""),0)*100"),73.58490566037736)</f>
        <v>73.58490566</v>
      </c>
      <c r="AK23" s="28">
        <f t="shared" si="8"/>
        <v>92.0754717</v>
      </c>
      <c r="AL23" s="27"/>
      <c r="AM23" s="24">
        <f t="shared" si="10"/>
        <v>87.07205648</v>
      </c>
    </row>
    <row r="24">
      <c r="A24" s="9"/>
      <c r="B24" s="25" t="s">
        <v>65</v>
      </c>
      <c r="C24" s="26" t="s">
        <v>66</v>
      </c>
      <c r="D24" s="26" t="s">
        <v>67</v>
      </c>
      <c r="E24" s="26">
        <v>3.1151108E8</v>
      </c>
      <c r="F24" s="12">
        <v>1.0</v>
      </c>
      <c r="G24" s="13">
        <v>0.11</v>
      </c>
      <c r="H24" s="27">
        <f>IFERROR(__xludf.DUMMYFUNCTION("IF(F24=1, RANK(G24, FILTER($G$3:$G$65,$F$3:$F$65=1),0)/COUNTIF($F$3:$F$65,""=1""),0)*100"),78.18181818181819)</f>
        <v>78.18181818</v>
      </c>
      <c r="I24" s="13">
        <v>1178.0</v>
      </c>
      <c r="J24" s="27">
        <f>IFERROR(__xludf.DUMMYFUNCTION("IF(F24=1, RANK(I24,FILTER($I$3:$I$65,$F$3:$F$65=1),0)/COUNTIF($F$3:$F$65,""=1""),0)*100"),52.72727272727272)</f>
        <v>52.72727273</v>
      </c>
      <c r="K24" s="27">
        <f t="shared" si="1"/>
        <v>4122.31405</v>
      </c>
      <c r="L24" s="27">
        <f>IFERROR(__xludf.DUMMYFUNCTION("IF(F24=1, RANK(K24,FILTER($K$3:$K$65,$F$3:$F$65=1),1)/COUNTIF($F$3:$F$65,""=1""),0)*100"),80.0)</f>
        <v>80</v>
      </c>
      <c r="M24" s="28">
        <f t="shared" si="2"/>
        <v>94</v>
      </c>
      <c r="N24" s="13">
        <v>1.0</v>
      </c>
      <c r="O24" s="13">
        <v>0.22</v>
      </c>
      <c r="P24" s="27">
        <f>IFERROR(__xludf.DUMMYFUNCTION("IF(N24=1, RANK(O24, FILTER($O$3:$O$65,$N$3:$N$65=1),0)/COUNTIF($N$3:$N$65,""=1""),0)*100"),89.28571428571429)</f>
        <v>89.28571429</v>
      </c>
      <c r="Q24" s="13">
        <v>3981.0</v>
      </c>
      <c r="R24" s="27">
        <f>IFERROR(__xludf.DUMMYFUNCTION("IF(N24=1, RANK(Q24, FILTER($Q$3:$Q$65,$N$3:$N$65=1),0)/COUNTIF($N$3:$N$65,""=1""),0)*100"),42.857142857142854)</f>
        <v>42.85714286</v>
      </c>
      <c r="S24" s="27">
        <f t="shared" si="3"/>
        <v>3826.530612</v>
      </c>
      <c r="T24" s="27">
        <f>IFERROR(__xludf.DUMMYFUNCTION("IF(N24=1, RANK(S24,FILTER($S$3:$S$65,$N$3:$N$65=1),1)/COUNTIF($N$3:$N$65,""=1""),0)*100"),75.0)</f>
        <v>75</v>
      </c>
      <c r="U24" s="28">
        <f t="shared" si="4"/>
        <v>92.5</v>
      </c>
      <c r="V24" s="12">
        <v>1.0</v>
      </c>
      <c r="W24" s="13">
        <v>2.82</v>
      </c>
      <c r="X24" s="27">
        <f>IFERROR(__xludf.DUMMYFUNCTION("IF(V24=1, RANK(W24, FILTER($W$3:$W$65,$V$3:$V$65=1),0)/COUNTIF($V$3:$V$65,""=1""),0)*100"),75.47169811320755)</f>
        <v>75.47169811</v>
      </c>
      <c r="Y24" s="13">
        <v>10319.0</v>
      </c>
      <c r="Z24" s="27">
        <f>IFERROR(__xludf.DUMMYFUNCTION("IF(V24=1, RANK(Y24, FILTER($Y$3:$Y$65,$V$3:$V$65=1),0)/COUNTIF($V$3:$V$65,""=1""),0)*100"),43.39622641509434)</f>
        <v>43.39622642</v>
      </c>
      <c r="AA24" s="27">
        <f t="shared" si="5"/>
        <v>3275.186899</v>
      </c>
      <c r="AB24" s="27">
        <f>IFERROR(__xludf.DUMMYFUNCTION("IF(V24=1, RANK(AA24,FILTER($AA$3:$AA$65,$V$3:$V$65=1),1)/COUNTIF($V$3:$V$65,""=1""),0)*100"),75.47169811320755)</f>
        <v>75.47169811</v>
      </c>
      <c r="AC24" s="28">
        <f t="shared" si="6"/>
        <v>92.64150943</v>
      </c>
      <c r="AD24" s="12">
        <v>1.0</v>
      </c>
      <c r="AE24" s="13">
        <v>35.8</v>
      </c>
      <c r="AF24" s="27">
        <f>IFERROR(__xludf.DUMMYFUNCTION("IF(AD24=1, RANK(AE24, FILTER($AE$3:$AE$65,$AD$3:$AD$65=1),0)/COUNTIF($AD$3:$AD$65,""=1""),0)*100"),47.16981132075472)</f>
        <v>47.16981132</v>
      </c>
      <c r="AG24" s="13">
        <v>12921.0</v>
      </c>
      <c r="AH24" s="27">
        <f>IFERROR(__xludf.DUMMYFUNCTION("IF(AD24=1, RANK(AG24, FILTER($AG$3:$AG$65,$AD$3:$AD$65=1),0)/COUNTIF($AD$3:$AD$65,""=1""),0)*100"),64.15094339622641)</f>
        <v>64.1509434</v>
      </c>
      <c r="AI24" s="27">
        <f t="shared" si="7"/>
        <v>3025.987896</v>
      </c>
      <c r="AJ24" s="27">
        <f>IFERROR(__xludf.DUMMYFUNCTION("IF(AD24=1, RANK(AI24,FILTER($AI$3:$AI$65,$AD$3:$AD$65=1),1)/COUNTIF($AD$3:$AD$65,""=1""),0)*100"),64.15094339622641)</f>
        <v>64.1509434</v>
      </c>
      <c r="AK24" s="28">
        <f t="shared" si="8"/>
        <v>89.24528302</v>
      </c>
      <c r="AL24" s="13">
        <v>25.0</v>
      </c>
      <c r="AM24" s="24">
        <f t="shared" si="10"/>
        <v>67.09669811</v>
      </c>
    </row>
    <row r="25">
      <c r="A25" s="9"/>
      <c r="B25" s="25" t="s">
        <v>34</v>
      </c>
      <c r="C25" s="26" t="s">
        <v>68</v>
      </c>
      <c r="D25" s="26" t="s">
        <v>69</v>
      </c>
      <c r="E25" s="26">
        <v>3.11540002E8</v>
      </c>
      <c r="F25" s="36"/>
      <c r="G25" s="27"/>
      <c r="H25" s="27">
        <f>IFERROR(__xludf.DUMMYFUNCTION("IF(F25=1, RANK(G25, FILTER($G$3:$G$65,$F$3:$F$65=1),0)/COUNTIF($F$3:$F$65,""=1""),0)*100"),0.0)</f>
        <v>0</v>
      </c>
      <c r="I25" s="27"/>
      <c r="J25" s="27">
        <f>IFERROR(__xludf.DUMMYFUNCTION("IF(F25=1, RANK(I25,FILTER($I$3:$I$65,$F$3:$F$65=1),0)/COUNTIF($F$3:$F$65,""=1""),0)*100"),0.0)</f>
        <v>0</v>
      </c>
      <c r="K25" s="27">
        <f t="shared" si="1"/>
        <v>0</v>
      </c>
      <c r="L25" s="27">
        <f>IFERROR(__xludf.DUMMYFUNCTION("IF(F25=1, RANK(K25,FILTER($K$3:$K$65,$F$3:$F$65=1),1)/COUNTIF($F$3:$F$65,""=1""),0)*100"),0.0)</f>
        <v>0</v>
      </c>
      <c r="M25" s="28">
        <f t="shared" si="2"/>
        <v>0</v>
      </c>
      <c r="N25" s="27"/>
      <c r="O25" s="27"/>
      <c r="P25" s="27">
        <f>IFERROR(__xludf.DUMMYFUNCTION("IF(N25=1, RANK(O25, FILTER($O$3:$O$65,$N$3:$N$65=1),0)/COUNTIF($N$3:$N$65,""=1""),0)*100"),0.0)</f>
        <v>0</v>
      </c>
      <c r="Q25" s="27"/>
      <c r="R25" s="27">
        <f>IFERROR(__xludf.DUMMYFUNCTION("IF(N25=1, RANK(Q25, FILTER($Q$3:$Q$65,$N$3:$N$65=1),0)/COUNTIF($N$3:$N$65,""=1""),0)*100"),0.0)</f>
        <v>0</v>
      </c>
      <c r="S25" s="27">
        <f t="shared" si="3"/>
        <v>0</v>
      </c>
      <c r="T25" s="27">
        <f>IFERROR(__xludf.DUMMYFUNCTION("IF(N25=1, RANK(S25,FILTER($S$3:$S$65,$N$3:$N$65=1),1)/COUNTIF($N$3:$N$65,""=1""),0)*100"),0.0)</f>
        <v>0</v>
      </c>
      <c r="U25" s="28">
        <f t="shared" si="4"/>
        <v>0</v>
      </c>
      <c r="V25" s="36"/>
      <c r="W25" s="27"/>
      <c r="X25" s="27">
        <f>IFERROR(__xludf.DUMMYFUNCTION("IF(V25=1, RANK(W25, FILTER($W$3:$W$65,$V$3:$V$65=1),0)/COUNTIF($V$3:$V$65,""=1""),0)*100"),0.0)</f>
        <v>0</v>
      </c>
      <c r="Y25" s="27"/>
      <c r="Z25" s="27">
        <f>IFERROR(__xludf.DUMMYFUNCTION("IF(V25=1, RANK(Y25, FILTER($Y$3:$Y$65,$V$3:$V$65=1),0)/COUNTIF($V$3:$V$65,""=1""),0)*100"),0.0)</f>
        <v>0</v>
      </c>
      <c r="AA25" s="27">
        <f t="shared" si="5"/>
        <v>0</v>
      </c>
      <c r="AB25" s="27">
        <f>IFERROR(__xludf.DUMMYFUNCTION("IF(V25=1, RANK(AA25,FILTER($AA$3:$AA$65,$V$3:$V$65=1),1)/COUNTIF($V$3:$V$65,""=1""),0)*100"),0.0)</f>
        <v>0</v>
      </c>
      <c r="AC25" s="28">
        <f t="shared" si="6"/>
        <v>0</v>
      </c>
      <c r="AD25" s="36"/>
      <c r="AE25" s="27"/>
      <c r="AF25" s="27">
        <f>IFERROR(__xludf.DUMMYFUNCTION("IF(AD25=1, RANK(AE25, FILTER($AE$3:$AE$65,$AD$3:$AD$65=1),0)/COUNTIF($AD$3:$AD$65,""=1""),0)*100"),0.0)</f>
        <v>0</v>
      </c>
      <c r="AG25" s="27"/>
      <c r="AH25" s="27">
        <f>IFERROR(__xludf.DUMMYFUNCTION("IF(AD25=1, RANK(AG25, FILTER($AG$3:$AG$65,$AD$3:$AD$65=1),0)/COUNTIF($AD$3:$AD$65,""=1""),0)*100"),0.0)</f>
        <v>0</v>
      </c>
      <c r="AI25" s="27">
        <f t="shared" si="7"/>
        <v>0</v>
      </c>
      <c r="AJ25" s="27">
        <f>IFERROR(__xludf.DUMMYFUNCTION("IF(AD25=1, RANK(AI25,FILTER($AI$3:$AI$65,$AD$3:$AD$65=1),1)/COUNTIF($AD$3:$AD$65,""=1""),0)*100"),0.0)</f>
        <v>0</v>
      </c>
      <c r="AK25" s="28">
        <f t="shared" si="8"/>
        <v>0</v>
      </c>
      <c r="AL25" s="27"/>
      <c r="AM25" s="24">
        <f t="shared" si="10"/>
        <v>0</v>
      </c>
    </row>
    <row r="26">
      <c r="A26" s="9"/>
      <c r="B26" s="37" t="s">
        <v>70</v>
      </c>
      <c r="C26" s="38" t="s">
        <v>71</v>
      </c>
      <c r="D26" s="38" t="s">
        <v>72</v>
      </c>
      <c r="E26" s="38" t="s">
        <v>73</v>
      </c>
      <c r="F26" s="39"/>
      <c r="G26" s="40"/>
      <c r="H26" s="40">
        <f>IFERROR(__xludf.DUMMYFUNCTION("IF(F26=1, RANK(G26, FILTER($G$3:$G$65,$F$3:$F$65=1),0)/COUNTIF($F$3:$F$65,""=1""),0)*100"),0.0)</f>
        <v>0</v>
      </c>
      <c r="I26" s="40"/>
      <c r="J26" s="40">
        <f>IFERROR(__xludf.DUMMYFUNCTION("IF(F26=1, RANK(I26,FILTER($I$3:$I$65,$F$3:$F$65=1),0)/COUNTIF($F$3:$F$65,""=1""),0)*100"),0.0)</f>
        <v>0</v>
      </c>
      <c r="K26" s="40">
        <f t="shared" si="1"/>
        <v>0</v>
      </c>
      <c r="L26" s="40">
        <f>IFERROR(__xludf.DUMMYFUNCTION("IF(F26=1, RANK(K26,FILTER($K$3:$K$65,$F$3:$F$65=1),0)/COUNTIF($F$3:$F$65,""=1""),0)*100"),0.0)</f>
        <v>0</v>
      </c>
      <c r="M26" s="41">
        <f t="shared" si="2"/>
        <v>0</v>
      </c>
      <c r="N26" s="40"/>
      <c r="O26" s="40"/>
      <c r="P26" s="40">
        <f>IFERROR(__xludf.DUMMYFUNCTION("IF(N26=1, RANK(O26, FILTER($O$3:$O$65,$N$3:$N$65=1),0)/COUNTIF($N$3:$N$65,""=1""),0)*100"),0.0)</f>
        <v>0</v>
      </c>
      <c r="Q26" s="40"/>
      <c r="R26" s="40">
        <f>IFERROR(__xludf.DUMMYFUNCTION("IF(N26=1, RANK(Q26, FILTER($Q$3:$Q$65,$N$3:$N$65=1),0)/COUNTIF($N$3:$N$65,""=1""),0)*100"),0.0)</f>
        <v>0</v>
      </c>
      <c r="S26" s="40">
        <f t="shared" si="3"/>
        <v>0</v>
      </c>
      <c r="T26" s="40">
        <f>IFERROR(__xludf.DUMMYFUNCTION("IF(N26=1, RANK(S26,FILTER($S$3:$S$65,$N$3:$N$65=1),0)/COUNTIF($N$3:$N$65,""=1""),0)*100"),0.0)</f>
        <v>0</v>
      </c>
      <c r="U26" s="41">
        <f t="shared" si="4"/>
        <v>0</v>
      </c>
      <c r="V26" s="39"/>
      <c r="W26" s="40"/>
      <c r="X26" s="40">
        <f>IFERROR(__xludf.DUMMYFUNCTION("IF(V26=1, RANK(W26, FILTER($W$3:$W$65,$V$3:$V$65=1),0)/COUNTIF($V$3:$V$65,""=1""),0)*100"),0.0)</f>
        <v>0</v>
      </c>
      <c r="Y26" s="40"/>
      <c r="Z26" s="40">
        <f>IFERROR(__xludf.DUMMYFUNCTION("IF(V26=1, RANK(Y26, FILTER($Y$3:$Y$65,$V$3:$V$65=1),0)/COUNTIF($V$3:$V$65,""=1""),0)*100"),0.0)</f>
        <v>0</v>
      </c>
      <c r="AA26" s="40">
        <f t="shared" si="5"/>
        <v>0</v>
      </c>
      <c r="AB26" s="40">
        <f>IFERROR(__xludf.DUMMYFUNCTION("IF(V26=1, RANK(AA26,FILTER($AA$3:$AA$65,$V$3:$V$65=1),0)/COUNTIF($V$3:$V$65,""=1""),0)*100"),0.0)</f>
        <v>0</v>
      </c>
      <c r="AC26" s="41">
        <f t="shared" si="6"/>
        <v>0</v>
      </c>
      <c r="AD26" s="39"/>
      <c r="AE26" s="40"/>
      <c r="AF26" s="40">
        <f>IFERROR(__xludf.DUMMYFUNCTION("IF(AD26=1, RANK(AE26, FILTER($AE$3:$AE$65,$AD$3:$AD$65=1),0)/COUNTIF($AD$3:$AD$65,""=1""),0)*100"),0.0)</f>
        <v>0</v>
      </c>
      <c r="AG26" s="40"/>
      <c r="AH26" s="40">
        <f>IFERROR(__xludf.DUMMYFUNCTION("IF(AD26=1, RANK(AG26, FILTER($AG$3:$AG$65,$AD$3:$AD$65=1),0)/COUNTIF($AD$3:$AD$65,""=1""),0)*100"),0.0)</f>
        <v>0</v>
      </c>
      <c r="AI26" s="40">
        <f t="shared" si="7"/>
        <v>0</v>
      </c>
      <c r="AJ26" s="40">
        <f>IFERROR(__xludf.DUMMYFUNCTION("IF(AD26=1, RANK(AI26,FILTER($AI$3:$AI$65,$AD$3:$AD$65=1),0)/COUNTIF($AD$3:$AD$65,""=1""),0)*100"),0.0)</f>
        <v>0</v>
      </c>
      <c r="AK26" s="41">
        <f t="shared" si="8"/>
        <v>0</v>
      </c>
      <c r="AL26" s="40"/>
      <c r="AM26" s="42">
        <f t="shared" si="10"/>
        <v>0</v>
      </c>
    </row>
    <row r="27">
      <c r="A27" s="9"/>
      <c r="B27" s="25"/>
      <c r="C27" s="26" t="s">
        <v>74</v>
      </c>
      <c r="D27" s="26" t="s">
        <v>75</v>
      </c>
      <c r="E27" s="26">
        <v>3.11553055E8</v>
      </c>
      <c r="F27" s="12">
        <v>1.0</v>
      </c>
      <c r="G27" s="13">
        <v>0.74</v>
      </c>
      <c r="H27" s="27">
        <f>IFERROR(__xludf.DUMMYFUNCTION("IF(F27=1, RANK(G27, FILTER($G$3:$G$65,$F$3:$F$65=1),0)/COUNTIF($F$3:$F$65,""=1""),0)*100"),38.18181818181819)</f>
        <v>38.18181818</v>
      </c>
      <c r="I27" s="13">
        <v>312.0</v>
      </c>
      <c r="J27" s="27">
        <f>IFERROR(__xludf.DUMMYFUNCTION("IF(F27=1, RANK(I27,FILTER($I$3:$I$65,$F$3:$F$65=1),0)/COUNTIF($F$3:$F$65,""=1""),0)*100"),98.18181818181819)</f>
        <v>98.18181818</v>
      </c>
      <c r="K27" s="27">
        <f t="shared" si="1"/>
        <v>3748.760331</v>
      </c>
      <c r="L27" s="27">
        <f>IFERROR(__xludf.DUMMYFUNCTION("IF(F27=1, RANK(K27,FILTER($K$3:$K$65,$F$3:$F$65=1),1)/COUNTIF($F$3:$F$65,""=1""),0)*100"),72.72727272727273)</f>
        <v>72.72727273</v>
      </c>
      <c r="M27" s="28">
        <f t="shared" si="2"/>
        <v>91.81818182</v>
      </c>
      <c r="N27" s="13">
        <v>1.0</v>
      </c>
      <c r="O27" s="13">
        <v>5.03</v>
      </c>
      <c r="P27" s="27">
        <f>IFERROR(__xludf.DUMMYFUNCTION("IF(N27=1, RANK(O27, FILTER($O$3:$O$65,$N$3:$N$65=1),0)/COUNTIF($N$3:$N$65,""=1""),0)*100"),25.0)</f>
        <v>25</v>
      </c>
      <c r="Q27" s="13">
        <v>2114.0</v>
      </c>
      <c r="R27" s="27">
        <f>IFERROR(__xludf.DUMMYFUNCTION("IF(N27=1, RANK(Q27, FILTER($Q$3:$Q$65,$N$3:$N$65=1),0)/COUNTIF($N$3:$N$65,""=1""),0)*100"),96.42857142857143)</f>
        <v>96.42857143</v>
      </c>
      <c r="S27" s="27">
        <f t="shared" si="3"/>
        <v>2410.714286</v>
      </c>
      <c r="T27" s="27">
        <f>IFERROR(__xludf.DUMMYFUNCTION("IF(N27=1, RANK(S27,FILTER($S$3:$S$65,$N$3:$N$65=1),1)/COUNTIF($N$3:$N$65,""=1""),0)*100"),53.57142857142857)</f>
        <v>53.57142857</v>
      </c>
      <c r="U27" s="28">
        <f t="shared" si="4"/>
        <v>86.07142857</v>
      </c>
      <c r="V27" s="12">
        <v>1.0</v>
      </c>
      <c r="W27" s="13">
        <v>10.03</v>
      </c>
      <c r="X27" s="27">
        <f>IFERROR(__xludf.DUMMYFUNCTION("IF(V27=1, RANK(W27, FILTER($W$3:$W$65,$V$3:$V$65=1),0)/COUNTIF($V$3:$V$65,""=1""),0)*100"),49.056603773584904)</f>
        <v>49.05660377</v>
      </c>
      <c r="Y27" s="13">
        <v>3539.0</v>
      </c>
      <c r="Z27" s="27">
        <f>IFERROR(__xludf.DUMMYFUNCTION("IF(V27=1, RANK(Y27, FILTER($Y$3:$Y$65,$V$3:$V$65=1),0)/COUNTIF($V$3:$V$65,""=1""),0)*100"),83.01886792452831)</f>
        <v>83.01886792</v>
      </c>
      <c r="AA27" s="27">
        <f t="shared" si="5"/>
        <v>4072.62371</v>
      </c>
      <c r="AB27" s="27">
        <f>IFERROR(__xludf.DUMMYFUNCTION("IF(V27=1, RANK(AA27,FILTER($AA$3:$AA$65,$V$3:$V$65=1),1)/COUNTIF($V$3:$V$65,""=1""),0)*100"),83.01886792452831)</f>
        <v>83.01886792</v>
      </c>
      <c r="AC27" s="28">
        <f t="shared" si="6"/>
        <v>94.90566038</v>
      </c>
      <c r="AD27" s="12">
        <v>1.0</v>
      </c>
      <c r="AE27" s="13">
        <v>50.47</v>
      </c>
      <c r="AF27" s="27">
        <f>IFERROR(__xludf.DUMMYFUNCTION("IF(AD27=1, RANK(AE27, FILTER($AE$3:$AE$65,$AD$3:$AD$65=1),0)/COUNTIF($AD$3:$AD$65,""=1""),0)*100"),39.62264150943396)</f>
        <v>39.62264151</v>
      </c>
      <c r="AG27" s="13">
        <v>12261.0</v>
      </c>
      <c r="AH27" s="27">
        <f>IFERROR(__xludf.DUMMYFUNCTION("IF(AD27=1, RANK(AG27, FILTER($AG$3:$AG$65,$AD$3:$AD$65=1),0)/COUNTIF($AD$3:$AD$65,""=1""),0)*100"),73.58490566037736)</f>
        <v>73.58490566</v>
      </c>
      <c r="AI27" s="27">
        <f t="shared" si="7"/>
        <v>2915.628337</v>
      </c>
      <c r="AJ27" s="27">
        <f>IFERROR(__xludf.DUMMYFUNCTION("IF(AD27=1, RANK(AI27,FILTER($AI$3:$AI$65,$AD$3:$AD$65=1),1)/COUNTIF($AD$3:$AD$65,""=1""),0)*100"),60.37735849056604)</f>
        <v>60.37735849</v>
      </c>
      <c r="AK27" s="28">
        <f t="shared" si="8"/>
        <v>88.11320755</v>
      </c>
      <c r="AL27" s="27"/>
      <c r="AM27" s="24">
        <f t="shared" si="10"/>
        <v>90.22711958</v>
      </c>
    </row>
    <row r="28">
      <c r="A28" s="9"/>
      <c r="B28" s="25"/>
      <c r="C28" s="26" t="s">
        <v>76</v>
      </c>
      <c r="D28" s="26" t="s">
        <v>77</v>
      </c>
      <c r="E28" s="26">
        <v>3.11510145E8</v>
      </c>
      <c r="F28" s="12">
        <v>1.0</v>
      </c>
      <c r="G28" s="13">
        <v>0.12</v>
      </c>
      <c r="H28" s="27">
        <f>IFERROR(__xludf.DUMMYFUNCTION("IF(F28=1, RANK(G28, FILTER($G$3:$G$65,$F$3:$F$65=1),0)/COUNTIF($F$3:$F$65,""=1""),0)*100"),70.9090909090909)</f>
        <v>70.90909091</v>
      </c>
      <c r="I28" s="13">
        <v>1682.0</v>
      </c>
      <c r="J28" s="27">
        <f>IFERROR(__xludf.DUMMYFUNCTION("IF(F28=1, RANK(I28,FILTER($I$3:$I$65,$F$3:$F$65=1),0)/COUNTIF($F$3:$F$65,""=1""),0)*100"),32.72727272727273)</f>
        <v>32.72727273</v>
      </c>
      <c r="K28" s="27">
        <f t="shared" si="1"/>
        <v>2320.661157</v>
      </c>
      <c r="L28" s="27">
        <f>IFERROR(__xludf.DUMMYFUNCTION("IF(F28=1, RANK(K28,FILTER($K$3:$K$65,$F$3:$F$65=1),1)/COUNTIF($F$3:$F$65,""=1""),0)*100"),45.45454545454545)</f>
        <v>45.45454545</v>
      </c>
      <c r="M28" s="28">
        <f t="shared" si="2"/>
        <v>83.63636364</v>
      </c>
      <c r="N28" s="13">
        <v>1.0</v>
      </c>
      <c r="O28" s="13">
        <v>0.81</v>
      </c>
      <c r="P28" s="27">
        <f>IFERROR(__xludf.DUMMYFUNCTION("IF(N28=1, RANK(O28, FILTER($O$3:$O$65,$N$3:$N$65=1),0)/COUNTIF($N$3:$N$65,""=1""),0)*100"),50.0)</f>
        <v>50</v>
      </c>
      <c r="Q28" s="13">
        <v>5524.0</v>
      </c>
      <c r="R28" s="27">
        <f>IFERROR(__xludf.DUMMYFUNCTION("IF(N28=1, RANK(Q28, FILTER($Q$3:$Q$65,$N$3:$N$65=1),0)/COUNTIF($N$3:$N$65,""=1""),0)*100"),26.785714285714285)</f>
        <v>26.78571429</v>
      </c>
      <c r="S28" s="27">
        <f t="shared" si="3"/>
        <v>1339.285714</v>
      </c>
      <c r="T28" s="27">
        <f>IFERROR(__xludf.DUMMYFUNCTION("IF(N28=1, RANK(S28,FILTER($S$3:$S$65,$N$3:$N$65=1),1)/COUNTIF($N$3:$N$65,""=1""),0)*100"),33.92857142857143)</f>
        <v>33.92857143</v>
      </c>
      <c r="U28" s="28">
        <f t="shared" si="4"/>
        <v>80.17857143</v>
      </c>
      <c r="V28" s="12">
        <v>1.0</v>
      </c>
      <c r="W28" s="13">
        <v>16.29</v>
      </c>
      <c r="X28" s="27">
        <f>IFERROR(__xludf.DUMMYFUNCTION("IF(V28=1, RANK(W28, FILTER($W$3:$W$65,$V$3:$V$65=1),0)/COUNTIF($V$3:$V$65,""=1""),0)*100"),39.62264150943396)</f>
        <v>39.62264151</v>
      </c>
      <c r="Y28" s="13">
        <v>29737.0</v>
      </c>
      <c r="Z28" s="27">
        <f>IFERROR(__xludf.DUMMYFUNCTION("IF(V28=1, RANK(Y28, FILTER($Y$3:$Y$65,$V$3:$V$65=1),0)/COUNTIF($V$3:$V$65,""=1""),0)*100"),22.641509433962266)</f>
        <v>22.64150943</v>
      </c>
      <c r="AA28" s="27">
        <f t="shared" si="5"/>
        <v>897.1164115</v>
      </c>
      <c r="AB28" s="27">
        <f>IFERROR(__xludf.DUMMYFUNCTION("IF(V28=1, RANK(AA28,FILTER($AA$3:$AA$65,$V$3:$V$65=1),1)/COUNTIF($V$3:$V$65,""=1""),0)*100"),22.641509433962266)</f>
        <v>22.64150943</v>
      </c>
      <c r="AC28" s="28">
        <f t="shared" si="6"/>
        <v>76.79245283</v>
      </c>
      <c r="AD28" s="12">
        <v>1.0</v>
      </c>
      <c r="AE28" s="13">
        <v>108.35</v>
      </c>
      <c r="AF28" s="27">
        <f>IFERROR(__xludf.DUMMYFUNCTION("IF(AD28=1, RANK(AE28, FILTER($AE$3:$AE$65,$AD$3:$AD$65=1),0)/COUNTIF($AD$3:$AD$65,""=1""),0)*100"),30.18867924528302)</f>
        <v>30.18867925</v>
      </c>
      <c r="AG28" s="13">
        <v>24258.0</v>
      </c>
      <c r="AH28" s="27">
        <f>IFERROR(__xludf.DUMMYFUNCTION("IF(AD28=1, RANK(AG28, FILTER($AG$3:$AG$65,$AD$3:$AD$65=1),0)/COUNTIF($AD$3:$AD$65,""=1""),0)*100"),32.075471698113205)</f>
        <v>32.0754717</v>
      </c>
      <c r="AI28" s="27">
        <f t="shared" si="7"/>
        <v>968.3161267</v>
      </c>
      <c r="AJ28" s="27">
        <f>IFERROR(__xludf.DUMMYFUNCTION("IF(AD28=1, RANK(AI28,FILTER($AI$3:$AI$65,$AD$3:$AD$65=1),1)/COUNTIF($AD$3:$AD$65,""=1""),0)*100"),33.9622641509434)</f>
        <v>33.96226415</v>
      </c>
      <c r="AK28" s="28">
        <f t="shared" si="8"/>
        <v>80.18867925</v>
      </c>
      <c r="AL28" s="27"/>
      <c r="AM28" s="24">
        <f t="shared" si="10"/>
        <v>80.19901679</v>
      </c>
    </row>
    <row r="29">
      <c r="A29" s="9"/>
      <c r="B29" s="25"/>
      <c r="C29" s="26" t="s">
        <v>78</v>
      </c>
      <c r="D29" s="26" t="s">
        <v>79</v>
      </c>
      <c r="E29" s="26">
        <v>3.11611132E8</v>
      </c>
      <c r="F29" s="12">
        <v>1.0</v>
      </c>
      <c r="G29" s="13">
        <v>1.23</v>
      </c>
      <c r="H29" s="27">
        <f>IFERROR(__xludf.DUMMYFUNCTION("IF(F29=1, RANK(G29, FILTER($G$3:$G$65,$F$3:$F$65=1),0)/COUNTIF($F$3:$F$65,""=1""),0)*100"),23.636363636363637)</f>
        <v>23.63636364</v>
      </c>
      <c r="I29" s="13">
        <v>840.0</v>
      </c>
      <c r="J29" s="27">
        <f>IFERROR(__xludf.DUMMYFUNCTION("IF(F29=1, RANK(I29,FILTER($I$3:$I$65,$F$3:$F$65=1),0)/COUNTIF($F$3:$F$65,""=1""),0)*100"),76.36363636363637)</f>
        <v>76.36363636</v>
      </c>
      <c r="K29" s="27">
        <f t="shared" si="1"/>
        <v>1804.958678</v>
      </c>
      <c r="L29" s="27">
        <f>IFERROR(__xludf.DUMMYFUNCTION("IF(F29=1, RANK(K29,FILTER($K$3:$K$65,$F$3:$F$65=1),1)/COUNTIF($F$3:$F$65,""=1""),0)*100"),40.0)</f>
        <v>40</v>
      </c>
      <c r="M29" s="28">
        <f t="shared" si="2"/>
        <v>82</v>
      </c>
      <c r="N29" s="13">
        <v>1.0</v>
      </c>
      <c r="O29" s="13">
        <v>2.84</v>
      </c>
      <c r="P29" s="27">
        <f>IFERROR(__xludf.DUMMYFUNCTION("IF(N29=1, RANK(O29, FILTER($O$3:$O$65,$N$3:$N$65=1),0)/COUNTIF($N$3:$N$65,""=1""),0)*100"),33.92857142857143)</f>
        <v>33.92857143</v>
      </c>
      <c r="Q29" s="13">
        <v>1958.0</v>
      </c>
      <c r="R29" s="27">
        <f>IFERROR(__xludf.DUMMYFUNCTION("IF(N29=1, RANK(Q29, FILTER($Q$3:$Q$65,$N$3:$N$65=1),0)/COUNTIF($N$3:$N$65,""=1""),0)*100"),100.0)</f>
        <v>100</v>
      </c>
      <c r="S29" s="27">
        <f t="shared" si="3"/>
        <v>3392.857143</v>
      </c>
      <c r="T29" s="27">
        <f>IFERROR(__xludf.DUMMYFUNCTION("IF(N29=1, RANK(S29,FILTER($S$3:$S$65,$N$3:$N$65=1),1)/COUNTIF($N$3:$N$65,""=1""),0)*100"),66.07142857142857)</f>
        <v>66.07142857</v>
      </c>
      <c r="U29" s="28">
        <f t="shared" si="4"/>
        <v>89.82142857</v>
      </c>
      <c r="V29" s="12">
        <v>1.0</v>
      </c>
      <c r="W29" s="13">
        <v>60.43</v>
      </c>
      <c r="X29" s="27">
        <f>IFERROR(__xludf.DUMMYFUNCTION("IF(V29=1, RANK(W29, FILTER($W$3:$W$65,$V$3:$V$65=1),0)/COUNTIF($V$3:$V$65,""=1""),0)*100"),16.9811320754717)</f>
        <v>16.98113208</v>
      </c>
      <c r="Y29" s="13">
        <v>3840.0</v>
      </c>
      <c r="Z29" s="27">
        <f>IFERROR(__xludf.DUMMYFUNCTION("IF(V29=1, RANK(Y29, FILTER($Y$3:$Y$65,$V$3:$V$65=1),0)/COUNTIF($V$3:$V$65,""=1""),0)*100"),79.24528301886792)</f>
        <v>79.24528302</v>
      </c>
      <c r="AA29" s="27">
        <f t="shared" si="5"/>
        <v>1345.674617</v>
      </c>
      <c r="AB29" s="27">
        <f>IFERROR(__xludf.DUMMYFUNCTION("IF(V29=1, RANK(AA29,FILTER($AA$3:$AA$65,$V$3:$V$65=1),1)/COUNTIF($V$3:$V$65,""=1""),0)*100"),33.9622641509434)</f>
        <v>33.96226415</v>
      </c>
      <c r="AC29" s="28">
        <f t="shared" si="6"/>
        <v>80.18867925</v>
      </c>
      <c r="AD29" s="12">
        <v>1.0</v>
      </c>
      <c r="AE29" s="13">
        <v>99.62</v>
      </c>
      <c r="AF29" s="27">
        <f>IFERROR(__xludf.DUMMYFUNCTION("IF(AD29=1, RANK(AE29, FILTER($AE$3:$AE$65,$AD$3:$AD$65=1),0)/COUNTIF($AD$3:$AD$65,""=1""),0)*100"),32.075471698113205)</f>
        <v>32.0754717</v>
      </c>
      <c r="AG29" s="13">
        <v>15564.0</v>
      </c>
      <c r="AH29" s="27">
        <f>IFERROR(__xludf.DUMMYFUNCTION("IF(AD29=1, RANK(AG29, FILTER($AG$3:$AG$65,$AD$3:$AD$65=1),0)/COUNTIF($AD$3:$AD$65,""=1""),0)*100"),50.943396226415096)</f>
        <v>50.94339623</v>
      </c>
      <c r="AI29" s="27">
        <f t="shared" si="7"/>
        <v>1634.033464</v>
      </c>
      <c r="AJ29" s="27">
        <f>IFERROR(__xludf.DUMMYFUNCTION("IF(AD29=1, RANK(AI29,FILTER($AI$3:$AI$65,$AD$3:$AD$65=1),1)/COUNTIF($AD$3:$AD$65,""=1""),0)*100"),45.28301886792453)</f>
        <v>45.28301887</v>
      </c>
      <c r="AK29" s="28">
        <f t="shared" si="8"/>
        <v>83.58490566</v>
      </c>
      <c r="AL29" s="27"/>
      <c r="AM29" s="24">
        <f t="shared" si="10"/>
        <v>83.89875337</v>
      </c>
    </row>
    <row r="30">
      <c r="A30" s="9"/>
      <c r="B30" s="25"/>
      <c r="C30" s="26" t="s">
        <v>80</v>
      </c>
      <c r="D30" s="26" t="s">
        <v>81</v>
      </c>
      <c r="E30" s="26">
        <v>3.1151017E8</v>
      </c>
      <c r="F30" s="12">
        <v>1.0</v>
      </c>
      <c r="G30" s="13">
        <v>0.06</v>
      </c>
      <c r="H30" s="27">
        <f>IFERROR(__xludf.DUMMYFUNCTION("IF(F30=1, RANK(G30, FILTER($G$3:$G$65,$F$3:$F$65=1),0)/COUNTIF($F$3:$F$65,""=1""),0)*100"),90.9090909090909)</f>
        <v>90.90909091</v>
      </c>
      <c r="I30" s="13">
        <v>1083.0</v>
      </c>
      <c r="J30" s="27">
        <f>IFERROR(__xludf.DUMMYFUNCTION("IF(F30=1, RANK(I30,FILTER($I$3:$I$65,$F$3:$F$65=1),0)/COUNTIF($F$3:$F$65,""=1""),0)*100"),58.18181818181818)</f>
        <v>58.18181818</v>
      </c>
      <c r="K30" s="27">
        <f t="shared" si="1"/>
        <v>5289.256198</v>
      </c>
      <c r="L30" s="27">
        <f>IFERROR(__xludf.DUMMYFUNCTION("IF(F30=1, RANK(K30,FILTER($K$3:$K$65,$F$3:$F$65=1),1)/COUNTIF($F$3:$F$65,""=1""),0)*100"),85.45454545454545)</f>
        <v>85.45454545</v>
      </c>
      <c r="M30" s="28">
        <f t="shared" si="2"/>
        <v>95.63636364</v>
      </c>
      <c r="N30" s="13">
        <v>1.0</v>
      </c>
      <c r="O30" s="13">
        <v>0.13</v>
      </c>
      <c r="P30" s="27">
        <f>IFERROR(__xludf.DUMMYFUNCTION("IF(N30=1, RANK(O30, FILTER($O$3:$O$65,$N$3:$N$65=1),0)/COUNTIF($N$3:$N$65,""=1""),0)*100"),94.64285714285714)</f>
        <v>94.64285714</v>
      </c>
      <c r="Q30" s="13">
        <v>4209.0</v>
      </c>
      <c r="R30" s="27">
        <f>IFERROR(__xludf.DUMMYFUNCTION("IF(N30=1, RANK(Q30, FILTER($Q$3:$Q$65,$N$3:$N$65=1),0)/COUNTIF($N$3:$N$65,""=1""),0)*100"),39.285714285714285)</f>
        <v>39.28571429</v>
      </c>
      <c r="S30" s="27">
        <f t="shared" si="3"/>
        <v>3718.112245</v>
      </c>
      <c r="T30" s="27">
        <f>IFERROR(__xludf.DUMMYFUNCTION("IF(N30=1, RANK(S30,FILTER($S$3:$S$65,$N$3:$N$65=1),1)/COUNTIF($N$3:$N$65,""=1""),0)*100"),69.64285714285714)</f>
        <v>69.64285714</v>
      </c>
      <c r="U30" s="28">
        <f t="shared" si="4"/>
        <v>90.89285714</v>
      </c>
      <c r="V30" s="12">
        <v>1.0</v>
      </c>
      <c r="W30" s="13">
        <v>1.38</v>
      </c>
      <c r="X30" s="27">
        <f>IFERROR(__xludf.DUMMYFUNCTION("IF(V30=1, RANK(W30, FILTER($W$3:$W$65,$V$3:$V$65=1),0)/COUNTIF($V$3:$V$65,""=1""),0)*100"),92.45283018867924)</f>
        <v>92.45283019</v>
      </c>
      <c r="Y30" s="13">
        <v>10576.0</v>
      </c>
      <c r="Z30" s="27">
        <f>IFERROR(__xludf.DUMMYFUNCTION("IF(V30=1, RANK(Y30, FILTER($Y$3:$Y$65,$V$3:$V$65=1),0)/COUNTIF($V$3:$V$65,""=1""),0)*100"),41.509433962264154)</f>
        <v>41.50943396</v>
      </c>
      <c r="AA30" s="27">
        <f t="shared" si="5"/>
        <v>3837.664649</v>
      </c>
      <c r="AB30" s="27">
        <f>IFERROR(__xludf.DUMMYFUNCTION("IF(V30=1, RANK(AA30,FILTER($AA$3:$AA$65,$V$3:$V$65=1),1)/COUNTIF($V$3:$V$65,""=1""),0)*100"),79.24528301886792)</f>
        <v>79.24528302</v>
      </c>
      <c r="AC30" s="28">
        <f t="shared" si="6"/>
        <v>93.77358491</v>
      </c>
      <c r="AD30" s="12">
        <v>1.0</v>
      </c>
      <c r="AE30" s="13">
        <v>4.96</v>
      </c>
      <c r="AF30" s="27">
        <f>IFERROR(__xludf.DUMMYFUNCTION("IF(AD30=1, RANK(AE30, FILTER($AE$3:$AE$65,$AD$3:$AD$65=1),0)/COUNTIF($AD$3:$AD$65,""=1""),0)*100"),90.56603773584906)</f>
        <v>90.56603774</v>
      </c>
      <c r="AG30" s="13">
        <v>13612.0</v>
      </c>
      <c r="AH30" s="27">
        <f>IFERROR(__xludf.DUMMYFUNCTION("IF(AD30=1, RANK(AG30, FILTER($AG$3:$AG$65,$AD$3:$AD$65=1),0)/COUNTIF($AD$3:$AD$65,""=1""),0)*100"),62.264150943396224)</f>
        <v>62.26415094</v>
      </c>
      <c r="AI30" s="27">
        <f t="shared" si="7"/>
        <v>5639.017444</v>
      </c>
      <c r="AJ30" s="27">
        <f>IFERROR(__xludf.DUMMYFUNCTION("IF(AD30=1, RANK(AI30,FILTER($AI$3:$AI$65,$AD$3:$AD$65=1),1)/COUNTIF($AD$3:$AD$65,""=1""),0)*100"),86.79245283018868)</f>
        <v>86.79245283</v>
      </c>
      <c r="AK30" s="28">
        <f t="shared" si="8"/>
        <v>96.03773585</v>
      </c>
      <c r="AL30" s="27"/>
      <c r="AM30" s="24">
        <f t="shared" si="10"/>
        <v>94.08513538</v>
      </c>
    </row>
    <row r="31">
      <c r="A31" s="9"/>
      <c r="B31" s="25"/>
      <c r="C31" s="26" t="s">
        <v>82</v>
      </c>
      <c r="D31" s="26" t="s">
        <v>83</v>
      </c>
      <c r="E31" s="26">
        <v>3.11551184E8</v>
      </c>
      <c r="F31" s="12">
        <v>0.0</v>
      </c>
      <c r="G31" s="13">
        <v>1.02</v>
      </c>
      <c r="H31" s="27">
        <f>IFERROR(__xludf.DUMMYFUNCTION("IF(F31=1, RANK(G31, FILTER($G$3:$G$65,$F$3:$F$65=1),0)/COUNTIF($F$3:$F$65,""=1""),0)*100"),0.0)</f>
        <v>0</v>
      </c>
      <c r="I31" s="27"/>
      <c r="J31" s="27">
        <f>IFERROR(__xludf.DUMMYFUNCTION("IF(F31=1, RANK(I31,FILTER($I$3:$I$65,$F$3:$F$65=1),0)/COUNTIF($F$3:$F$65,""=1""),0)*100"),0.0)</f>
        <v>0</v>
      </c>
      <c r="K31" s="27">
        <f t="shared" si="1"/>
        <v>0</v>
      </c>
      <c r="L31" s="27">
        <f>IFERROR(__xludf.DUMMYFUNCTION("IF(F31=1, RANK(K31,FILTER($K$3:$K$65,$F$3:$F$65=1),1)/COUNTIF($F$3:$F$65,""=1""),0)*100"),0.0)</f>
        <v>0</v>
      </c>
      <c r="M31" s="28">
        <f t="shared" si="2"/>
        <v>0</v>
      </c>
      <c r="N31" s="13">
        <v>1.0</v>
      </c>
      <c r="O31" s="13">
        <v>2.02</v>
      </c>
      <c r="P31" s="27">
        <f>IFERROR(__xludf.DUMMYFUNCTION("IF(N31=1, RANK(O31, FILTER($O$3:$O$65,$N$3:$N$65=1),0)/COUNTIF($N$3:$N$65,""=1""),0)*100"),41.07142857142857)</f>
        <v>41.07142857</v>
      </c>
      <c r="Q31" s="13">
        <v>6104.0</v>
      </c>
      <c r="R31" s="27">
        <f>IFERROR(__xludf.DUMMYFUNCTION("IF(N31=1, RANK(Q31, FILTER($Q$3:$Q$65,$N$3:$N$65=1),0)/COUNTIF($N$3:$N$65,""=1""),0)*100"),23.214285714285715)</f>
        <v>23.21428571</v>
      </c>
      <c r="S31" s="27">
        <f t="shared" si="3"/>
        <v>953.4438776</v>
      </c>
      <c r="T31" s="27">
        <f>IFERROR(__xludf.DUMMYFUNCTION("IF(N31=1, RANK(S31,FILTER($S$3:$S$65,$N$3:$N$65=1),1)/COUNTIF($N$3:$N$65,""=1""),0)*100"),26.785714285714285)</f>
        <v>26.78571429</v>
      </c>
      <c r="U31" s="28">
        <f t="shared" si="4"/>
        <v>78.03571429</v>
      </c>
      <c r="V31" s="12">
        <v>0.0</v>
      </c>
      <c r="W31" s="13" t="s">
        <v>33</v>
      </c>
      <c r="X31" s="27">
        <f>IFERROR(__xludf.DUMMYFUNCTION("IF(V31=1, RANK(W31, FILTER($W$3:$W$65,$V$3:$V$65=1),0)/COUNTIF($V$3:$V$65,""=1""),0)*100"),0.0)</f>
        <v>0</v>
      </c>
      <c r="Y31" s="27"/>
      <c r="Z31" s="27">
        <f>IFERROR(__xludf.DUMMYFUNCTION("IF(V31=1, RANK(Y31, FILTER($Y$3:$Y$65,$V$3:$V$65=1),0)/COUNTIF($V$3:$V$65,""=1""),0)*100"),0.0)</f>
        <v>0</v>
      </c>
      <c r="AA31" s="27">
        <f t="shared" si="5"/>
        <v>0</v>
      </c>
      <c r="AB31" s="27">
        <f>IFERROR(__xludf.DUMMYFUNCTION("IF(V31=1, RANK(AA31,FILTER($AA$3:$AA$65,$V$3:$V$65=1),1)/COUNTIF($V$3:$V$65,""=1""),0)*100"),0.0)</f>
        <v>0</v>
      </c>
      <c r="AC31" s="28">
        <f t="shared" si="6"/>
        <v>0</v>
      </c>
      <c r="AD31" s="12">
        <v>0.0</v>
      </c>
      <c r="AE31" s="13" t="s">
        <v>33</v>
      </c>
      <c r="AF31" s="27">
        <f>IFERROR(__xludf.DUMMYFUNCTION("IF(AD31=1, RANK(AE31, FILTER($AE$3:$AE$65,$AD$3:$AD$65=1),0)/COUNTIF($AD$3:$AD$65,""=1""),0)*100"),0.0)</f>
        <v>0</v>
      </c>
      <c r="AG31" s="27"/>
      <c r="AH31" s="27">
        <f>IFERROR(__xludf.DUMMYFUNCTION("IF(AD31=1, RANK(AG31, FILTER($AG$3:$AG$65,$AD$3:$AD$65=1),0)/COUNTIF($AD$3:$AD$65,""=1""),0)*100"),0.0)</f>
        <v>0</v>
      </c>
      <c r="AI31" s="27">
        <f t="shared" si="7"/>
        <v>0</v>
      </c>
      <c r="AJ31" s="27">
        <f>IFERROR(__xludf.DUMMYFUNCTION("IF(AD31=1, RANK(AI31,FILTER($AI$3:$AI$65,$AD$3:$AD$65=1),1)/COUNTIF($AD$3:$AD$65,""=1""),0)*100"),0.0)</f>
        <v>0</v>
      </c>
      <c r="AK31" s="28">
        <f t="shared" si="8"/>
        <v>0</v>
      </c>
      <c r="AL31" s="27"/>
      <c r="AM31" s="24">
        <f t="shared" si="10"/>
        <v>19.50892857</v>
      </c>
    </row>
    <row r="32">
      <c r="A32" s="9"/>
      <c r="B32" s="43" t="s">
        <v>70</v>
      </c>
      <c r="C32" s="44" t="s">
        <v>84</v>
      </c>
      <c r="D32" s="44" t="s">
        <v>85</v>
      </c>
      <c r="E32" s="44" t="s">
        <v>86</v>
      </c>
      <c r="F32" s="45"/>
      <c r="G32" s="46"/>
      <c r="H32" s="46">
        <f>IFERROR(__xludf.DUMMYFUNCTION("IF(F32=1, RANK(G32, FILTER($G$3:$G$65,$F$3:$F$65=1),0)/COUNTIF($F$3:$F$65,""=1""),0)*100"),0.0)</f>
        <v>0</v>
      </c>
      <c r="I32" s="46"/>
      <c r="J32" s="46">
        <f>IFERROR(__xludf.DUMMYFUNCTION("IF(F32=1, RANK(I32,FILTER($I$3:$I$65,$F$3:$F$65=1),0)/COUNTIF($F$3:$F$65,""=1""),0)*100"),0.0)</f>
        <v>0</v>
      </c>
      <c r="K32" s="46">
        <f t="shared" si="1"/>
        <v>0</v>
      </c>
      <c r="L32" s="27">
        <f>IFERROR(__xludf.DUMMYFUNCTION("IF(F32=1, RANK(K32,FILTER($K$3:$K$65,$F$3:$F$65=1),1)/COUNTIF($F$3:$F$65,""=1""),0)*100"),0.0)</f>
        <v>0</v>
      </c>
      <c r="M32" s="47">
        <f t="shared" si="2"/>
        <v>0</v>
      </c>
      <c r="N32" s="46"/>
      <c r="O32" s="46"/>
      <c r="P32" s="46">
        <f>IFERROR(__xludf.DUMMYFUNCTION("IF(N32=1, RANK(O32, FILTER($O$3:$O$65,$N$3:$N$65=1),0)/COUNTIF($N$3:$N$65,""=1""),0)*100"),0.0)</f>
        <v>0</v>
      </c>
      <c r="Q32" s="46"/>
      <c r="R32" s="46">
        <f>IFERROR(__xludf.DUMMYFUNCTION("IF(N32=1, RANK(Q32, FILTER($Q$3:$Q$65,$N$3:$N$65=1),0)/COUNTIF($N$3:$N$65,""=1""),0)*100"),0.0)</f>
        <v>0</v>
      </c>
      <c r="S32" s="27">
        <f t="shared" si="3"/>
        <v>0</v>
      </c>
      <c r="T32" s="27">
        <f>IFERROR(__xludf.DUMMYFUNCTION("IF(N32=1, RANK(S32,FILTER($S$3:$S$65,$N$3:$N$65=1),1)/COUNTIF($N$3:$N$65,""=1""),0)*100"),0.0)</f>
        <v>0</v>
      </c>
      <c r="U32" s="47">
        <f t="shared" si="4"/>
        <v>0</v>
      </c>
      <c r="V32" s="45"/>
      <c r="W32" s="46"/>
      <c r="X32" s="46">
        <f>IFERROR(__xludf.DUMMYFUNCTION("IF(V32=1, RANK(W32, FILTER($W$3:$W$65,$V$3:$V$65=1),0)/COUNTIF($V$3:$V$65,""=1""),0)*100"),0.0)</f>
        <v>0</v>
      </c>
      <c r="Y32" s="46"/>
      <c r="Z32" s="46">
        <f>IFERROR(__xludf.DUMMYFUNCTION("IF(V32=1, RANK(Y32, FILTER($Y$3:$Y$65,$V$3:$V$65=1),0)/COUNTIF($V$3:$V$65,""=1""),0)*100"),0.0)</f>
        <v>0</v>
      </c>
      <c r="AA32" s="46">
        <f t="shared" si="5"/>
        <v>0</v>
      </c>
      <c r="AB32" s="27">
        <f>IFERROR(__xludf.DUMMYFUNCTION("IF(V32=1, RANK(AA32,FILTER($AA$3:$AA$65,$V$3:$V$65=1),1)/COUNTIF($V$3:$V$65,""=1""),0)*100"),0.0)</f>
        <v>0</v>
      </c>
      <c r="AC32" s="47">
        <f t="shared" si="6"/>
        <v>0</v>
      </c>
      <c r="AD32" s="45"/>
      <c r="AE32" s="46"/>
      <c r="AF32" s="46">
        <f>IFERROR(__xludf.DUMMYFUNCTION("IF(AD32=1, RANK(AE32, FILTER($AE$3:$AE$65,$AD$3:$AD$65=1),0)/COUNTIF($AD$3:$AD$65,""=1""),0)*100"),0.0)</f>
        <v>0</v>
      </c>
      <c r="AG32" s="46"/>
      <c r="AH32" s="46">
        <f>IFERROR(__xludf.DUMMYFUNCTION("IF(AD32=1, RANK(AG32, FILTER($AG$3:$AG$65,$AD$3:$AD$65=1),0)/COUNTIF($AD$3:$AD$65,""=1""),0)*100"),0.0)</f>
        <v>0</v>
      </c>
      <c r="AI32" s="46">
        <f t="shared" si="7"/>
        <v>0</v>
      </c>
      <c r="AJ32" s="27">
        <f>IFERROR(__xludf.DUMMYFUNCTION("IF(AD32=1, RANK(AI32,FILTER($AI$3:$AI$65,$AD$3:$AD$65=1),1)/COUNTIF($AD$3:$AD$65,""=1""),0)*100"),0.0)</f>
        <v>0</v>
      </c>
      <c r="AK32" s="47">
        <f t="shared" si="8"/>
        <v>0</v>
      </c>
      <c r="AL32" s="46"/>
      <c r="AM32" s="24">
        <f t="shared" si="10"/>
        <v>0</v>
      </c>
    </row>
    <row r="33">
      <c r="A33" s="9"/>
      <c r="B33" s="25" t="s">
        <v>87</v>
      </c>
      <c r="C33" s="26" t="s">
        <v>88</v>
      </c>
      <c r="D33" s="26" t="s">
        <v>89</v>
      </c>
      <c r="E33" s="26">
        <v>3.1251307E8</v>
      </c>
      <c r="F33" s="12">
        <v>1.0</v>
      </c>
      <c r="G33" s="13">
        <v>3.88</v>
      </c>
      <c r="H33" s="27">
        <f>IFERROR(__xludf.DUMMYFUNCTION("IF(F33=1, RANK(G33, FILTER($G$3:$G$65,$F$3:$F$65=1),0)/COUNTIF($F$3:$F$65,""=1""),0)*100"),12.727272727272727)</f>
        <v>12.72727273</v>
      </c>
      <c r="I33" s="13">
        <v>6281.0</v>
      </c>
      <c r="J33" s="27">
        <f>IFERROR(__xludf.DUMMYFUNCTION("IF(F33=1, RANK(I33,FILTER($I$3:$I$65,$F$3:$F$65=1),0)/COUNTIF($F$3:$F$65,""=1""),0)*100"),9.090909090909092)</f>
        <v>9.090909091</v>
      </c>
      <c r="K33" s="27">
        <f t="shared" si="1"/>
        <v>115.7024793</v>
      </c>
      <c r="L33" s="27">
        <f>IFERROR(__xludf.DUMMYFUNCTION("IF(F33=1, RANK(K33,FILTER($K$3:$K$65,$F$3:$F$65=1),1)/COUNTIF($F$3:$F$65,""=1""),0)*100"),9.090909090909092)</f>
        <v>9.090909091</v>
      </c>
      <c r="M33" s="28">
        <f t="shared" si="2"/>
        <v>72.72727273</v>
      </c>
      <c r="N33" s="13">
        <v>1.0</v>
      </c>
      <c r="O33" s="13">
        <v>14.75</v>
      </c>
      <c r="P33" s="27">
        <f>IFERROR(__xludf.DUMMYFUNCTION("IF(N33=1, RANK(O33, FILTER($O$3:$O$65,$N$3:$N$65=1),0)/COUNTIF($N$3:$N$65,""=1""),0)*100"),10.714285714285714)</f>
        <v>10.71428571</v>
      </c>
      <c r="Q33" s="13">
        <v>12895.0</v>
      </c>
      <c r="R33" s="27">
        <f>IFERROR(__xludf.DUMMYFUNCTION("IF(N33=1, RANK(Q33, FILTER($Q$3:$Q$65,$N$3:$N$65=1),0)/COUNTIF($N$3:$N$65,""=1""),0)*100"),8.928571428571429)</f>
        <v>8.928571429</v>
      </c>
      <c r="S33" s="27">
        <f t="shared" si="3"/>
        <v>95.66326531</v>
      </c>
      <c r="T33" s="27">
        <f>IFERROR(__xludf.DUMMYFUNCTION("IF(N33=1, RANK(S33,FILTER($S$3:$S$65,$N$3:$N$65=1),1)/COUNTIF($N$3:$N$65,""=1""),0)*100"),5.357142857142857)</f>
        <v>5.357142857</v>
      </c>
      <c r="U33" s="28">
        <f t="shared" si="4"/>
        <v>71.60714286</v>
      </c>
      <c r="V33" s="12">
        <v>1.0</v>
      </c>
      <c r="W33" s="13">
        <v>487.75</v>
      </c>
      <c r="X33" s="27">
        <f>IFERROR(__xludf.DUMMYFUNCTION("IF(V33=1, RANK(W33, FILTER($W$3:$W$65,$V$3:$V$65=1),0)/COUNTIF($V$3:$V$65,""=1""),0)*100"),3.7735849056603774)</f>
        <v>3.773584906</v>
      </c>
      <c r="Y33" s="13">
        <v>65799.0</v>
      </c>
      <c r="Z33" s="27">
        <f>IFERROR(__xludf.DUMMYFUNCTION("IF(V33=1, RANK(Y33, FILTER($Y$3:$Y$65,$V$3:$V$65=1),0)/COUNTIF($V$3:$V$65,""=1""),0)*100"),16.9811320754717)</f>
        <v>16.98113208</v>
      </c>
      <c r="AA33" s="27">
        <f t="shared" si="5"/>
        <v>64.07974368</v>
      </c>
      <c r="AB33" s="27">
        <f>IFERROR(__xludf.DUMMYFUNCTION("IF(V33=1, RANK(AA33,FILTER($AA$3:$AA$65,$V$3:$V$65=1),1)/COUNTIF($V$3:$V$65,""=1""),0)*100"),5.660377358490567)</f>
        <v>5.660377358</v>
      </c>
      <c r="AC33" s="28">
        <f t="shared" si="6"/>
        <v>71.69811321</v>
      </c>
      <c r="AD33" s="12">
        <v>1.0</v>
      </c>
      <c r="AE33" s="13">
        <v>3116.57</v>
      </c>
      <c r="AF33" s="27">
        <f>IFERROR(__xludf.DUMMYFUNCTION("IF(AD33=1, RANK(AE33, FILTER($AE$3:$AE$65,$AD$3:$AD$65=1),0)/COUNTIF($AD$3:$AD$65,""=1""),0)*100"),1.8867924528301887)</f>
        <v>1.886792453</v>
      </c>
      <c r="AG33" s="13">
        <v>198435.0</v>
      </c>
      <c r="AH33" s="27">
        <f>IFERROR(__xludf.DUMMYFUNCTION("IF(AD33=1, RANK(AG33, FILTER($AG$3:$AG$65,$AD$3:$AD$65=1),0)/COUNTIF($AD$3:$AD$65,""=1""),0)*100"),18.867924528301888)</f>
        <v>18.86792453</v>
      </c>
      <c r="AI33" s="27">
        <f t="shared" si="7"/>
        <v>35.5998576</v>
      </c>
      <c r="AJ33" s="27">
        <f>IFERROR(__xludf.DUMMYFUNCTION("IF(AD33=1, RANK(AI33,FILTER($AI$3:$AI$65,$AD$3:$AD$65=1),1)/COUNTIF($AD$3:$AD$65,""=1""),0)*100"),3.7735849056603774)</f>
        <v>3.773584906</v>
      </c>
      <c r="AK33" s="28">
        <f t="shared" si="8"/>
        <v>71.13207547</v>
      </c>
      <c r="AL33" s="13">
        <v>5.0</v>
      </c>
      <c r="AM33" s="24">
        <f t="shared" si="10"/>
        <v>66.79115107</v>
      </c>
    </row>
    <row r="34">
      <c r="A34" s="9"/>
      <c r="B34" s="25" t="s">
        <v>90</v>
      </c>
      <c r="C34" s="26" t="s">
        <v>91</v>
      </c>
      <c r="D34" s="26" t="s">
        <v>92</v>
      </c>
      <c r="E34" s="26">
        <v>3.12513086E8</v>
      </c>
      <c r="F34" s="12">
        <v>1.0</v>
      </c>
      <c r="G34" s="48">
        <v>1.23</v>
      </c>
      <c r="H34" s="49">
        <f>IFERROR(__xludf.DUMMYFUNCTION("IF(F34=1, RANK(G34, FILTER($G$3:$G$65,$F$3:$F$65=1),0)/COUNTIF($F$3:$F$65,""=1""),0)*100"),23.636363636363637)</f>
        <v>23.63636364</v>
      </c>
      <c r="I34" s="48">
        <v>6218.0</v>
      </c>
      <c r="J34" s="27">
        <f>IFERROR(__xludf.DUMMYFUNCTION("IF(F34=1, RANK(I34,FILTER($I$3:$I$65,$F$3:$F$65=1),0)/COUNTIF($F$3:$F$65,""=1""),0)*100"),10.909090909090908)</f>
        <v>10.90909091</v>
      </c>
      <c r="K34" s="27">
        <f t="shared" si="1"/>
        <v>257.8512397</v>
      </c>
      <c r="L34" s="27">
        <f>IFERROR(__xludf.DUMMYFUNCTION("IF(F34=1, RANK(K34,FILTER($K$3:$K$65,$F$3:$F$65=1),1)/COUNTIF($F$3:$F$65,""=1""),0)*100"),16.363636363636363)</f>
        <v>16.36363636</v>
      </c>
      <c r="M34" s="28">
        <f t="shared" si="2"/>
        <v>74.90909091</v>
      </c>
      <c r="N34" s="13">
        <v>1.0</v>
      </c>
      <c r="O34" s="13">
        <v>4.99</v>
      </c>
      <c r="P34" s="27">
        <f>IFERROR(__xludf.DUMMYFUNCTION("IF(N34=1, RANK(O34, FILTER($O$3:$O$65,$N$3:$N$65=1),0)/COUNTIF($N$3:$N$65,""=1""),0)*100"),26.785714285714285)</f>
        <v>26.78571429</v>
      </c>
      <c r="Q34" s="13">
        <v>12870.0</v>
      </c>
      <c r="R34" s="27">
        <f>IFERROR(__xludf.DUMMYFUNCTION("IF(N34=1, RANK(Q34, FILTER($Q$3:$Q$65,$N$3:$N$65=1),0)/COUNTIF($N$3:$N$65,""=1""),0)*100"),10.714285714285714)</f>
        <v>10.71428571</v>
      </c>
      <c r="S34" s="27">
        <f t="shared" si="3"/>
        <v>286.9897959</v>
      </c>
      <c r="T34" s="27">
        <f>IFERROR(__xludf.DUMMYFUNCTION("IF(N34=1, RANK(S34,FILTER($S$3:$S$65,$N$3:$N$65=1),1)/COUNTIF($N$3:$N$65,""=1""),0)*100"),14.285714285714285)</f>
        <v>14.28571429</v>
      </c>
      <c r="U34" s="28">
        <f t="shared" si="4"/>
        <v>74.28571429</v>
      </c>
      <c r="V34" s="12">
        <v>1.0</v>
      </c>
      <c r="W34" s="13">
        <v>134.58</v>
      </c>
      <c r="X34" s="27">
        <f>IFERROR(__xludf.DUMMYFUNCTION("IF(V34=1, RANK(W34, FILTER($W$3:$W$65,$V$3:$V$65=1),0)/COUNTIF($V$3:$V$65,""=1""),0)*100"),11.320754716981133)</f>
        <v>11.32075472</v>
      </c>
      <c r="Y34" s="13">
        <v>79784.0</v>
      </c>
      <c r="Z34" s="27">
        <f>IFERROR(__xludf.DUMMYFUNCTION("IF(V34=1, RANK(Y34, FILTER($Y$3:$Y$65,$V$3:$V$65=1),0)/COUNTIF($V$3:$V$65,""=1""),0)*100"),13.20754716981132)</f>
        <v>13.20754717</v>
      </c>
      <c r="AA34" s="27">
        <f t="shared" si="5"/>
        <v>149.5194019</v>
      </c>
      <c r="AB34" s="27">
        <f>IFERROR(__xludf.DUMMYFUNCTION("IF(V34=1, RANK(AA34,FILTER($AA$3:$AA$65,$V$3:$V$65=1),1)/COUNTIF($V$3:$V$65,""=1""),0)*100"),9.433962264150944)</f>
        <v>9.433962264</v>
      </c>
      <c r="AC34" s="28">
        <f t="shared" si="6"/>
        <v>72.83018868</v>
      </c>
      <c r="AD34" s="12">
        <v>1.0</v>
      </c>
      <c r="AE34" s="13">
        <v>813.0</v>
      </c>
      <c r="AF34" s="27">
        <f>IFERROR(__xludf.DUMMYFUNCTION("IF(AD34=1, RANK(AE34, FILTER($AE$3:$AE$65,$AD$3:$AD$65=1),0)/COUNTIF($AD$3:$AD$65,""=1""),0)*100"),5.660377358490567)</f>
        <v>5.660377358</v>
      </c>
      <c r="AG34" s="13">
        <v>254128.0</v>
      </c>
      <c r="AH34" s="27">
        <f>IFERROR(__xludf.DUMMYFUNCTION("IF(AD34=1, RANK(AG34, FILTER($AG$3:$AG$65,$AD$3:$AD$65=1),0)/COUNTIF($AD$3:$AD$65,""=1""),0)*100"),16.9811320754717)</f>
        <v>16.98113208</v>
      </c>
      <c r="AI34" s="27">
        <f t="shared" si="7"/>
        <v>96.11961552</v>
      </c>
      <c r="AJ34" s="27">
        <f>IFERROR(__xludf.DUMMYFUNCTION("IF(AD34=1, RANK(AI34,FILTER($AI$3:$AI$65,$AD$3:$AD$65=1),1)/COUNTIF($AD$3:$AD$65,""=1""),0)*100"),5.660377358490567)</f>
        <v>5.660377358</v>
      </c>
      <c r="AK34" s="28">
        <f t="shared" si="8"/>
        <v>71.69811321</v>
      </c>
      <c r="AL34" s="48">
        <v>5.0</v>
      </c>
      <c r="AM34" s="50">
        <f t="shared" si="10"/>
        <v>68.43077677</v>
      </c>
    </row>
    <row r="35">
      <c r="A35" s="51" t="s">
        <v>93</v>
      </c>
      <c r="B35" s="51"/>
      <c r="C35" s="52" t="s">
        <v>94</v>
      </c>
      <c r="D35" s="52" t="s">
        <v>95</v>
      </c>
      <c r="E35" s="52">
        <v>3.1251309E8</v>
      </c>
      <c r="F35" s="53">
        <v>1.0</v>
      </c>
      <c r="G35" s="13">
        <v>0.06</v>
      </c>
      <c r="H35" s="27">
        <f>IFERROR(__xludf.DUMMYFUNCTION("IF(F35=1, RANK(G35, FILTER($G$3:$G$65,$F$3:$F$65=1),0)/COUNTIF($F$3:$F$65,""=1""),0)*100"),90.9090909090909)</f>
        <v>90.90909091</v>
      </c>
      <c r="I35" s="13">
        <v>10088.0</v>
      </c>
      <c r="J35" s="54">
        <f>IFERROR(__xludf.DUMMYFUNCTION("IF(F35=1, RANK(I35,FILTER($I$3:$I$65,$F$3:$F$65=1),0)/COUNTIF($F$3:$F$65,""=1""),0)*100"),1.8181818181818181)</f>
        <v>1.818181818</v>
      </c>
      <c r="K35" s="54">
        <f t="shared" si="1"/>
        <v>165.2892562</v>
      </c>
      <c r="L35" s="54">
        <f>IFERROR(__xludf.DUMMYFUNCTION("IF(F35=1, RANK(K35,FILTER($K$3:$K$65,$F$3:$F$65=1),1)/COUNTIF($F$3:$F$65,""=1""),0)*100"),10.909090909090908)</f>
        <v>10.90909091</v>
      </c>
      <c r="M35" s="55">
        <f t="shared" si="2"/>
        <v>73.27272727</v>
      </c>
      <c r="N35" s="56">
        <v>1.0</v>
      </c>
      <c r="O35" s="56">
        <v>0.13</v>
      </c>
      <c r="P35" s="54">
        <f>IFERROR(__xludf.DUMMYFUNCTION("IF(N35=1, RANK(O35, FILTER($O$3:$O$65,$N$3:$N$65=1),0)/COUNTIF($N$3:$N$65,""=1""),0)*100"),94.64285714285714)</f>
        <v>94.64285714</v>
      </c>
      <c r="Q35" s="56">
        <v>23513.0</v>
      </c>
      <c r="R35" s="54">
        <f>IFERROR(__xludf.DUMMYFUNCTION("IF(N35=1, RANK(Q35, FILTER($Q$3:$Q$65,$N$3:$N$65=1),0)/COUNTIF($N$3:$N$65,""=1""),0)*100"),1.7857142857142856)</f>
        <v>1.785714286</v>
      </c>
      <c r="S35" s="54">
        <f t="shared" si="3"/>
        <v>169.005102</v>
      </c>
      <c r="T35" s="54">
        <f>IFERROR(__xludf.DUMMYFUNCTION("IF(N35=1, RANK(S35,FILTER($S$3:$S$65,$N$3:$N$65=1),1)/COUNTIF($N$3:$N$65,""=1""),0)*100"),10.714285714285714)</f>
        <v>10.71428571</v>
      </c>
      <c r="U35" s="55">
        <f t="shared" si="4"/>
        <v>73.21428571</v>
      </c>
      <c r="V35" s="53">
        <v>1.0</v>
      </c>
      <c r="W35" s="56">
        <v>1.01</v>
      </c>
      <c r="X35" s="54">
        <f>IFERROR(__xludf.DUMMYFUNCTION("IF(V35=1, RANK(W35, FILTER($W$3:$W$65,$V$3:$V$65=1),0)/COUNTIF($V$3:$V$65,""=1""),0)*100"),94.33962264150944)</f>
        <v>94.33962264</v>
      </c>
      <c r="Y35" s="56">
        <v>119179.0</v>
      </c>
      <c r="Z35" s="54">
        <f>IFERROR(__xludf.DUMMYFUNCTION("IF(V35=1, RANK(Y35, FILTER($Y$3:$Y$65,$V$3:$V$65=1),0)/COUNTIF($V$3:$V$65,""=1""),0)*100"),1.8867924528301887)</f>
        <v>1.886792453</v>
      </c>
      <c r="AA35" s="54">
        <f t="shared" si="5"/>
        <v>177.999288</v>
      </c>
      <c r="AB35" s="54">
        <f>IFERROR(__xludf.DUMMYFUNCTION("IF(V35=1, RANK(AA35,FILTER($AA$3:$AA$65,$V$3:$V$65=1),1)/COUNTIF($V$3:$V$65,""=1""),0)*100"),11.320754716981133)</f>
        <v>11.32075472</v>
      </c>
      <c r="AC35" s="55">
        <f t="shared" si="6"/>
        <v>73.39622642</v>
      </c>
      <c r="AD35" s="53">
        <v>1.0</v>
      </c>
      <c r="AE35" s="56">
        <v>2.85</v>
      </c>
      <c r="AF35" s="54">
        <f>IFERROR(__xludf.DUMMYFUNCTION("IF(AD35=1, RANK(AE35, FILTER($AE$3:$AE$65,$AD$3:$AD$65=1),0)/COUNTIF($AD$3:$AD$65,""=1""),0)*100"),94.33962264150944)</f>
        <v>94.33962264</v>
      </c>
      <c r="AG35" s="56">
        <v>328904.0</v>
      </c>
      <c r="AH35" s="54">
        <f>IFERROR(__xludf.DUMMYFUNCTION("IF(AD35=1, RANK(AG35, FILTER($AG$3:$AG$65,$AD$3:$AD$65=1),0)/COUNTIF($AD$3:$AD$65,""=1""),0)*100"),1.8867924528301887)</f>
        <v>1.886792453</v>
      </c>
      <c r="AI35" s="54">
        <f t="shared" si="7"/>
        <v>177.999288</v>
      </c>
      <c r="AJ35" s="54">
        <f>IFERROR(__xludf.DUMMYFUNCTION("IF(AD35=1, RANK(AI35,FILTER($AI$3:$AI$65,$AD$3:$AD$65=1),1)/COUNTIF($AD$3:$AD$65,""=1""),0)*100"),7.547169811320755)</f>
        <v>7.547169811</v>
      </c>
      <c r="AK35" s="55">
        <f t="shared" si="8"/>
        <v>72.26415094</v>
      </c>
      <c r="AL35" s="27"/>
      <c r="AM35" s="24">
        <f t="shared" si="10"/>
        <v>73.03684759</v>
      </c>
    </row>
    <row r="36">
      <c r="A36" s="9"/>
      <c r="B36" s="57" t="s">
        <v>96</v>
      </c>
      <c r="C36" s="26" t="s">
        <v>97</v>
      </c>
      <c r="D36" s="26" t="s">
        <v>98</v>
      </c>
      <c r="E36" s="26">
        <v>3.12513093E8</v>
      </c>
      <c r="F36" s="12">
        <v>1.0</v>
      </c>
      <c r="G36" s="13">
        <v>1.37</v>
      </c>
      <c r="H36" s="27">
        <f>IFERROR(__xludf.DUMMYFUNCTION("IF(F36=1, RANK(G36, FILTER($G$3:$G$65,$F$3:$F$65=1),0)/COUNTIF($F$3:$F$65,""=1""),0)*100"),20.0)</f>
        <v>20</v>
      </c>
      <c r="I36" s="13">
        <v>9066.0</v>
      </c>
      <c r="J36" s="27">
        <f>IFERROR(__xludf.DUMMYFUNCTION("IF(F36=1, RANK(I36,FILTER($I$3:$I$65,$F$3:$F$65=1),0)/COUNTIF($F$3:$F$65,""=1""),0)*100"),3.6363636363636362)</f>
        <v>3.636363636</v>
      </c>
      <c r="K36" s="27">
        <f t="shared" si="1"/>
        <v>72.72727273</v>
      </c>
      <c r="L36" s="27">
        <f>IFERROR(__xludf.DUMMYFUNCTION("IF(F36=1, RANK(K36,FILTER($K$3:$K$65,$F$3:$F$65=1),1)/COUNTIF($F$3:$F$65,""=1""),0)*100"),5.454545454545454)</f>
        <v>5.454545455</v>
      </c>
      <c r="M36" s="28">
        <f t="shared" si="2"/>
        <v>71.63636364</v>
      </c>
      <c r="N36" s="13">
        <v>1.0</v>
      </c>
      <c r="O36" s="13">
        <v>5.67</v>
      </c>
      <c r="P36" s="27">
        <f>IFERROR(__xludf.DUMMYFUNCTION("IF(N36=1, RANK(O36, FILTER($O$3:$O$65,$N$3:$N$65=1),0)/COUNTIF($N$3:$N$65,""=1""),0)*100"),17.857142857142858)</f>
        <v>17.85714286</v>
      </c>
      <c r="Q36" s="13">
        <v>21625.0</v>
      </c>
      <c r="R36" s="27">
        <f>IFERROR(__xludf.DUMMYFUNCTION("IF(N36=1, RANK(Q36, FILTER($Q$3:$Q$65,$N$3:$N$65=1),0)/COUNTIF($N$3:$N$65,""=1""),0)*100"),5.357142857142857)</f>
        <v>5.357142857</v>
      </c>
      <c r="S36" s="27">
        <f t="shared" si="3"/>
        <v>95.66326531</v>
      </c>
      <c r="T36" s="27">
        <f>IFERROR(__xludf.DUMMYFUNCTION("IF(N36=1, RANK(S36,FILTER($S$3:$S$65,$N$3:$N$65=1),1)/COUNTIF($N$3:$N$65,""=1""),0)*100"),5.357142857142857)</f>
        <v>5.357142857</v>
      </c>
      <c r="U36" s="28">
        <f t="shared" si="4"/>
        <v>71.60714286</v>
      </c>
      <c r="V36" s="12">
        <v>1.0</v>
      </c>
      <c r="W36" s="13">
        <v>134.8</v>
      </c>
      <c r="X36" s="27">
        <f>IFERROR(__xludf.DUMMYFUNCTION("IF(V36=1, RANK(W36, FILTER($W$3:$W$65,$V$3:$V$65=1),0)/COUNTIF($V$3:$V$65,""=1""),0)*100"),9.433962264150944)</f>
        <v>9.433962264</v>
      </c>
      <c r="Y36" s="13">
        <v>115840.0</v>
      </c>
      <c r="Z36" s="27">
        <f>IFERROR(__xludf.DUMMYFUNCTION("IF(V36=1, RANK(Y36, FILTER($Y$3:$Y$65,$V$3:$V$65=1),0)/COUNTIF($V$3:$V$65,""=1""),0)*100"),3.7735849056603774)</f>
        <v>3.773584906</v>
      </c>
      <c r="AA36" s="27">
        <f t="shared" si="5"/>
        <v>35.5998576</v>
      </c>
      <c r="AB36" s="27">
        <f>IFERROR(__xludf.DUMMYFUNCTION("IF(V36=1, RANK(AA36,FILTER($AA$3:$AA$65,$V$3:$V$65=1),1)/COUNTIF($V$3:$V$65,""=1""),0)*100"),1.8867924528301887)</f>
        <v>1.886792453</v>
      </c>
      <c r="AC36" s="28">
        <f t="shared" si="6"/>
        <v>70.56603774</v>
      </c>
      <c r="AD36" s="12">
        <v>1.0</v>
      </c>
      <c r="AE36" s="13">
        <v>924.55</v>
      </c>
      <c r="AF36" s="27">
        <f>IFERROR(__xludf.DUMMYFUNCTION("IF(AD36=1, RANK(AE36, FILTER($AE$3:$AE$65,$AD$3:$AD$65=1),0)/COUNTIF($AD$3:$AD$65,""=1""),0)*100"),3.7735849056603774)</f>
        <v>3.773584906</v>
      </c>
      <c r="AG36" s="13">
        <v>304542.0</v>
      </c>
      <c r="AH36" s="27">
        <f>IFERROR(__xludf.DUMMYFUNCTION("IF(AD36=1, RANK(AG36, FILTER($AG$3:$AG$65,$AD$3:$AD$65=1),0)/COUNTIF($AD$3:$AD$65,""=1""),0)*100"),5.660377358490567)</f>
        <v>5.660377358</v>
      </c>
      <c r="AI36" s="27">
        <f t="shared" si="7"/>
        <v>21.35991456</v>
      </c>
      <c r="AJ36" s="27">
        <f>IFERROR(__xludf.DUMMYFUNCTION("IF(AD36=1, RANK(AI36,FILTER($AI$3:$AI$65,$AD$3:$AD$65=1),1)/COUNTIF($AD$3:$AD$65,""=1""),0)*100"),1.8867924528301887)</f>
        <v>1.886792453</v>
      </c>
      <c r="AK36" s="28">
        <f t="shared" si="8"/>
        <v>70.56603774</v>
      </c>
      <c r="AL36" s="13">
        <v>5.0</v>
      </c>
      <c r="AM36" s="24">
        <f t="shared" si="10"/>
        <v>66.09389549</v>
      </c>
    </row>
    <row r="37">
      <c r="A37" s="9"/>
      <c r="B37" s="58"/>
      <c r="C37" s="26" t="s">
        <v>99</v>
      </c>
      <c r="D37" s="26" t="s">
        <v>100</v>
      </c>
      <c r="E37" s="26">
        <v>3.1255103E8</v>
      </c>
      <c r="F37" s="12">
        <v>1.0</v>
      </c>
      <c r="G37" s="13">
        <v>0.44</v>
      </c>
      <c r="H37" s="27">
        <f>IFERROR(__xludf.DUMMYFUNCTION("IF(F37=1, RANK(G37, FILTER($G$3:$G$65,$F$3:$F$65=1),0)/COUNTIF($F$3:$F$65,""=1""),0)*100"),45.45454545454545)</f>
        <v>45.45454545</v>
      </c>
      <c r="I37" s="13">
        <v>4174.0</v>
      </c>
      <c r="J37" s="27">
        <f>IFERROR(__xludf.DUMMYFUNCTION("IF(F37=1, RANK(I37,FILTER($I$3:$I$65,$F$3:$F$65=1),0)/COUNTIF($F$3:$F$65,""=1""),0)*100"),12.727272727272727)</f>
        <v>12.72727273</v>
      </c>
      <c r="K37" s="27">
        <f t="shared" si="1"/>
        <v>578.5123967</v>
      </c>
      <c r="L37" s="27">
        <f>IFERROR(__xludf.DUMMYFUNCTION("IF(F37=1, RANK(K37,FILTER($K$3:$K$65,$F$3:$F$65=1),1)/COUNTIF($F$3:$F$65,""=1""),0)*100"),21.818181818181817)</f>
        <v>21.81818182</v>
      </c>
      <c r="M37" s="28">
        <f t="shared" si="2"/>
        <v>76.54545455</v>
      </c>
      <c r="N37" s="13">
        <v>1.0</v>
      </c>
      <c r="O37" s="13">
        <v>0.9</v>
      </c>
      <c r="P37" s="27">
        <f>IFERROR(__xludf.DUMMYFUNCTION("IF(N37=1, RANK(O37, FILTER($O$3:$O$65,$N$3:$N$65=1),0)/COUNTIF($N$3:$N$65,""=1""),0)*100"),46.42857142857143)</f>
        <v>46.42857143</v>
      </c>
      <c r="Q37" s="13">
        <v>5252.0</v>
      </c>
      <c r="R37" s="27">
        <f>IFERROR(__xludf.DUMMYFUNCTION("IF(N37=1, RANK(Q37, FILTER($Q$3:$Q$65,$N$3:$N$65=1),0)/COUNTIF($N$3:$N$65,""=1""),0)*100"),32.142857142857146)</f>
        <v>32.14285714</v>
      </c>
      <c r="S37" s="27">
        <f t="shared" si="3"/>
        <v>1492.346939</v>
      </c>
      <c r="T37" s="27">
        <f>IFERROR(__xludf.DUMMYFUNCTION("IF(N37=1, RANK(S37,FILTER($S$3:$S$65,$N$3:$N$65=1),1)/COUNTIF($N$3:$N$65,""=1""),0)*100"),37.5)</f>
        <v>37.5</v>
      </c>
      <c r="U37" s="28">
        <f t="shared" si="4"/>
        <v>81.25</v>
      </c>
      <c r="V37" s="12">
        <v>1.0</v>
      </c>
      <c r="W37" s="13">
        <v>6.57</v>
      </c>
      <c r="X37" s="27">
        <f>IFERROR(__xludf.DUMMYFUNCTION("IF(V37=1, RANK(W37, FILTER($W$3:$W$65,$V$3:$V$65=1),0)/COUNTIF($V$3:$V$65,""=1""),0)*100"),56.60377358490566)</f>
        <v>56.60377358</v>
      </c>
      <c r="Y37" s="13">
        <v>6425.0</v>
      </c>
      <c r="Z37" s="27">
        <f>IFERROR(__xludf.DUMMYFUNCTION("IF(V37=1, RANK(Y37, FILTER($Y$3:$Y$65,$V$3:$V$65=1),0)/COUNTIF($V$3:$V$65,""=1""),0)*100"),69.81132075471697)</f>
        <v>69.81132075</v>
      </c>
      <c r="AA37" s="27">
        <f t="shared" si="5"/>
        <v>3951.584194</v>
      </c>
      <c r="AB37" s="27">
        <f>IFERROR(__xludf.DUMMYFUNCTION("IF(V37=1, RANK(AA37,FILTER($AA$3:$AA$65,$V$3:$V$65=1),1)/COUNTIF($V$3:$V$65,""=1""),0)*100"),81.13207547169812)</f>
        <v>81.13207547</v>
      </c>
      <c r="AC37" s="28">
        <f t="shared" si="6"/>
        <v>94.33962264</v>
      </c>
      <c r="AD37" s="12">
        <v>1.0</v>
      </c>
      <c r="AE37" s="13">
        <v>27.03</v>
      </c>
      <c r="AF37" s="27">
        <f>IFERROR(__xludf.DUMMYFUNCTION("IF(AD37=1, RANK(AE37, FILTER($AE$3:$AE$65,$AD$3:$AD$65=1),0)/COUNTIF($AD$3:$AD$65,""=1""),0)*100"),58.490566037735846)</f>
        <v>58.49056604</v>
      </c>
      <c r="AG37" s="13">
        <v>18469.0</v>
      </c>
      <c r="AH37" s="27">
        <f>IFERROR(__xludf.DUMMYFUNCTION("IF(AD37=1, RANK(AG37, FILTER($AG$3:$AG$65,$AD$3:$AD$65=1),0)/COUNTIF($AD$3:$AD$65,""=1""),0)*100"),39.62264150943396)</f>
        <v>39.62264151</v>
      </c>
      <c r="AI37" s="27">
        <f t="shared" si="7"/>
        <v>2317.55073</v>
      </c>
      <c r="AJ37" s="27">
        <f>IFERROR(__xludf.DUMMYFUNCTION("IF(AD37=1, RANK(AI37,FILTER($AI$3:$AI$65,$AD$3:$AD$65=1),1)/COUNTIF($AD$3:$AD$65,""=1""),0)*100"),56.60377358490566)</f>
        <v>56.60377358</v>
      </c>
      <c r="AK37" s="28">
        <f t="shared" si="8"/>
        <v>86.98113208</v>
      </c>
      <c r="AL37" s="27"/>
      <c r="AM37" s="24">
        <f t="shared" si="10"/>
        <v>84.77905232</v>
      </c>
    </row>
    <row r="38">
      <c r="A38" s="9"/>
      <c r="B38" s="58"/>
      <c r="C38" s="26" t="s">
        <v>101</v>
      </c>
      <c r="D38" s="26" t="s">
        <v>102</v>
      </c>
      <c r="E38" s="26">
        <v>3.12551073E8</v>
      </c>
      <c r="F38" s="12">
        <v>1.0</v>
      </c>
      <c r="G38" s="13">
        <v>0.14</v>
      </c>
      <c r="H38" s="27">
        <f>IFERROR(__xludf.DUMMYFUNCTION("IF(F38=1, RANK(G38, FILTER($G$3:$G$65,$F$3:$F$65=1),0)/COUNTIF($F$3:$F$65,""=1""),0)*100"),63.63636363636363)</f>
        <v>63.63636364</v>
      </c>
      <c r="I38" s="13">
        <v>1325.0</v>
      </c>
      <c r="J38" s="27">
        <f>IFERROR(__xludf.DUMMYFUNCTION("IF(F38=1, RANK(I38,FILTER($I$3:$I$65,$F$3:$F$65=1),0)/COUNTIF($F$3:$F$65,""=1""),0)*100"),45.45454545454545)</f>
        <v>45.45454545</v>
      </c>
      <c r="K38" s="27">
        <f t="shared" si="1"/>
        <v>2892.561983</v>
      </c>
      <c r="L38" s="27">
        <f>IFERROR(__xludf.DUMMYFUNCTION("IF(F38=1, RANK(K38,FILTER($K$3:$K$65,$F$3:$F$65=1),1)/COUNTIF($F$3:$F$65,""=1""),0)*100"),58.18181818181818)</f>
        <v>58.18181818</v>
      </c>
      <c r="M38" s="28">
        <f t="shared" si="2"/>
        <v>87.45454545</v>
      </c>
      <c r="N38" s="13">
        <v>1.0</v>
      </c>
      <c r="O38" s="13">
        <v>0.55</v>
      </c>
      <c r="P38" s="27">
        <f>IFERROR(__xludf.DUMMYFUNCTION("IF(N38=1, RANK(O38, FILTER($O$3:$O$65,$N$3:$N$65=1),0)/COUNTIF($N$3:$N$65,""=1""),0)*100"),67.85714285714286)</f>
        <v>67.85714286</v>
      </c>
      <c r="Q38" s="13">
        <v>3129.0</v>
      </c>
      <c r="R38" s="27">
        <f>IFERROR(__xludf.DUMMYFUNCTION("IF(N38=1, RANK(Q38, FILTER($Q$3:$Q$65,$N$3:$N$65=1),0)/COUNTIF($N$3:$N$65,""=1""),0)*100"),62.5)</f>
        <v>62.5</v>
      </c>
      <c r="S38" s="27">
        <f t="shared" si="3"/>
        <v>4241.071429</v>
      </c>
      <c r="T38" s="27">
        <f>IFERROR(__xludf.DUMMYFUNCTION("IF(N38=1, RANK(S38,FILTER($S$3:$S$65,$N$3:$N$65=1),1)/COUNTIF($N$3:$N$65,""=1""),0)*100"),78.57142857142857)</f>
        <v>78.57142857</v>
      </c>
      <c r="U38" s="28">
        <f t="shared" si="4"/>
        <v>93.57142857</v>
      </c>
      <c r="V38" s="12">
        <v>1.0</v>
      </c>
      <c r="W38" s="13">
        <v>3.82</v>
      </c>
      <c r="X38" s="27">
        <f>IFERROR(__xludf.DUMMYFUNCTION("IF(V38=1, RANK(W38, FILTER($W$3:$W$65,$V$3:$V$65=1),0)/COUNTIF($V$3:$V$65,""=1""),0)*100"),67.9245283018868)</f>
        <v>67.9245283</v>
      </c>
      <c r="Y38" s="13">
        <v>9945.0</v>
      </c>
      <c r="Z38" s="27">
        <f>IFERROR(__xludf.DUMMYFUNCTION("IF(V38=1, RANK(Y38, FILTER($Y$3:$Y$65,$V$3:$V$65=1),0)/COUNTIF($V$3:$V$65,""=1""),0)*100"),54.71698113207547)</f>
        <v>54.71698113</v>
      </c>
      <c r="AA38" s="27">
        <f t="shared" si="5"/>
        <v>3716.625133</v>
      </c>
      <c r="AB38" s="27">
        <f>IFERROR(__xludf.DUMMYFUNCTION("IF(V38=1, RANK(AA38,FILTER($AA$3:$AA$65,$V$3:$V$65=1),1)/COUNTIF($V$3:$V$65,""=1""),0)*100"),77.35849056603774)</f>
        <v>77.35849057</v>
      </c>
      <c r="AC38" s="28">
        <f t="shared" si="6"/>
        <v>93.20754717</v>
      </c>
      <c r="AD38" s="12">
        <v>1.0</v>
      </c>
      <c r="AE38" s="13">
        <v>13.41</v>
      </c>
      <c r="AF38" s="27">
        <f>IFERROR(__xludf.DUMMYFUNCTION("IF(AD38=1, RANK(AE38, FILTER($AE$3:$AE$65,$AD$3:$AD$65=1),0)/COUNTIF($AD$3:$AD$65,""=1""),0)*100"),79.24528301886792)</f>
        <v>79.24528302</v>
      </c>
      <c r="AG38" s="13">
        <v>12482.0</v>
      </c>
      <c r="AH38" s="27">
        <f>IFERROR(__xludf.DUMMYFUNCTION("IF(AD38=1, RANK(AG38, FILTER($AG$3:$AG$65,$AD$3:$AD$65=1),0)/COUNTIF($AD$3:$AD$65,""=1""),0)*100"),71.69811320754717)</f>
        <v>71.69811321</v>
      </c>
      <c r="AI38" s="27">
        <f t="shared" si="7"/>
        <v>5681.737273</v>
      </c>
      <c r="AJ38" s="27">
        <f>IFERROR(__xludf.DUMMYFUNCTION("IF(AD38=1, RANK(AI38,FILTER($AI$3:$AI$65,$AD$3:$AD$65=1),1)/COUNTIF($AD$3:$AD$65,""=1""),0)*100"),88.67924528301887)</f>
        <v>88.67924528</v>
      </c>
      <c r="AK38" s="28">
        <f t="shared" si="8"/>
        <v>96.60377358</v>
      </c>
      <c r="AL38" s="27"/>
      <c r="AM38" s="24">
        <f t="shared" si="10"/>
        <v>92.7093237</v>
      </c>
    </row>
    <row r="39">
      <c r="A39" s="9"/>
      <c r="B39" s="58"/>
      <c r="C39" s="26" t="s">
        <v>103</v>
      </c>
      <c r="D39" s="26" t="s">
        <v>104</v>
      </c>
      <c r="E39" s="26">
        <v>3.1255113E8</v>
      </c>
      <c r="F39" s="12">
        <v>1.0</v>
      </c>
      <c r="G39" s="13">
        <v>0.13</v>
      </c>
      <c r="H39" s="27">
        <f>IFERROR(__xludf.DUMMYFUNCTION("IF(F39=1, RANK(G39, FILTER($G$3:$G$65,$F$3:$F$65=1),0)/COUNTIF($F$3:$F$65,""=1""),0)*100"),67.27272727272727)</f>
        <v>67.27272727</v>
      </c>
      <c r="I39" s="13">
        <v>641.0</v>
      </c>
      <c r="J39" s="27">
        <f>IFERROR(__xludf.DUMMYFUNCTION("IF(F39=1, RANK(I39,FILTER($I$3:$I$65,$F$3:$F$65=1),0)/COUNTIF($F$3:$F$65,""=1""),0)*100"),87.27272727272727)</f>
        <v>87.27272727</v>
      </c>
      <c r="K39" s="27">
        <f t="shared" si="1"/>
        <v>5871.07438</v>
      </c>
      <c r="L39" s="27">
        <f>IFERROR(__xludf.DUMMYFUNCTION("IF(F39=1, RANK(K39,FILTER($K$3:$K$65,$F$3:$F$65=1),1)/COUNTIF($F$3:$F$65,""=1""),0)*100"),98.18181818181819)</f>
        <v>98.18181818</v>
      </c>
      <c r="M39" s="28">
        <f t="shared" si="2"/>
        <v>99.45454545</v>
      </c>
      <c r="N39" s="13">
        <v>1.0</v>
      </c>
      <c r="O39" s="13">
        <v>0.28</v>
      </c>
      <c r="P39" s="27">
        <f>IFERROR(__xludf.DUMMYFUNCTION("IF(N39=1, RANK(O39, FILTER($O$3:$O$65,$N$3:$N$65=1),0)/COUNTIF($N$3:$N$65,""=1""),0)*100"),83.92857142857143)</f>
        <v>83.92857143</v>
      </c>
      <c r="Q39" s="13">
        <v>3050.0</v>
      </c>
      <c r="R39" s="27">
        <f>IFERROR(__xludf.DUMMYFUNCTION("IF(N39=1, RANK(Q39, FILTER($Q$3:$Q$65,$N$3:$N$65=1),0)/COUNTIF($N$3:$N$65,""=1""),0)*100"),69.64285714285714)</f>
        <v>69.64285714</v>
      </c>
      <c r="S39" s="27">
        <f t="shared" si="3"/>
        <v>5845.02551</v>
      </c>
      <c r="T39" s="27">
        <f>IFERROR(__xludf.DUMMYFUNCTION("IF(N39=1, RANK(S39,FILTER($S$3:$S$65,$N$3:$N$65=1),1)/COUNTIF($N$3:$N$65,""=1""),0)*100"),94.64285714285714)</f>
        <v>94.64285714</v>
      </c>
      <c r="U39" s="28">
        <f t="shared" si="4"/>
        <v>98.39285714</v>
      </c>
      <c r="V39" s="12">
        <v>1.0</v>
      </c>
      <c r="W39" s="13">
        <v>8.53</v>
      </c>
      <c r="X39" s="27">
        <f>IFERROR(__xludf.DUMMYFUNCTION("IF(V39=1, RANK(W39, FILTER($W$3:$W$65,$V$3:$V$65=1),0)/COUNTIF($V$3:$V$65,""=1""),0)*100"),52.83018867924528)</f>
        <v>52.83018868</v>
      </c>
      <c r="Y39" s="13">
        <v>9185.0</v>
      </c>
      <c r="Z39" s="27">
        <f>IFERROR(__xludf.DUMMYFUNCTION("IF(V39=1, RANK(Y39, FILTER($Y$3:$Y$65,$V$3:$V$65=1),0)/COUNTIF($V$3:$V$65,""=1""),0)*100"),58.490566037735846)</f>
        <v>58.49056604</v>
      </c>
      <c r="AA39" s="27">
        <f t="shared" si="5"/>
        <v>3090.06764</v>
      </c>
      <c r="AB39" s="27">
        <f>IFERROR(__xludf.DUMMYFUNCTION("IF(V39=1, RANK(AA39,FILTER($AA$3:$AA$65,$V$3:$V$65=1),1)/COUNTIF($V$3:$V$65,""=1""),0)*100"),66.0377358490566)</f>
        <v>66.03773585</v>
      </c>
      <c r="AC39" s="28">
        <f t="shared" si="6"/>
        <v>89.81132075</v>
      </c>
      <c r="AD39" s="12">
        <v>1.0</v>
      </c>
      <c r="AE39" s="13">
        <v>21.7</v>
      </c>
      <c r="AF39" s="27">
        <f>IFERROR(__xludf.DUMMYFUNCTION("IF(AD39=1, RANK(AE39, FILTER($AE$3:$AE$65,$AD$3:$AD$65=1),0)/COUNTIF($AD$3:$AD$65,""=1""),0)*100"),66.0377358490566)</f>
        <v>66.03773585</v>
      </c>
      <c r="AG39" s="13">
        <v>12503.0</v>
      </c>
      <c r="AH39" s="27">
        <f>IFERROR(__xludf.DUMMYFUNCTION("IF(AD39=1, RANK(AG39, FILTER($AG$3:$AG$65,$AD$3:$AD$65=1),0)/COUNTIF($AD$3:$AD$65,""=1""),0)*100"),69.81132075471697)</f>
        <v>69.81132075</v>
      </c>
      <c r="AI39" s="27">
        <f t="shared" si="7"/>
        <v>4610.181559</v>
      </c>
      <c r="AJ39" s="27">
        <f>IFERROR(__xludf.DUMMYFUNCTION("IF(AD39=1, RANK(AI39,FILTER($AI$3:$AI$65,$AD$3:$AD$65=1),1)/COUNTIF($AD$3:$AD$65,""=1""),0)*100"),77.35849056603774)</f>
        <v>77.35849057</v>
      </c>
      <c r="AK39" s="28">
        <f t="shared" si="8"/>
        <v>93.20754717</v>
      </c>
      <c r="AL39" s="27"/>
      <c r="AM39" s="24">
        <f t="shared" si="10"/>
        <v>95.21656763</v>
      </c>
    </row>
    <row r="40">
      <c r="A40" s="9"/>
      <c r="B40" s="58"/>
      <c r="C40" s="26" t="s">
        <v>105</v>
      </c>
      <c r="D40" s="26" t="s">
        <v>106</v>
      </c>
      <c r="E40" s="26">
        <v>3.12551133E8</v>
      </c>
      <c r="F40" s="12">
        <v>1.0</v>
      </c>
      <c r="G40" s="13">
        <v>0.37</v>
      </c>
      <c r="H40" s="27">
        <f>IFERROR(__xludf.DUMMYFUNCTION("IF(F40=1, RANK(G40, FILTER($G$3:$G$65,$F$3:$F$65=1),0)/COUNTIF($F$3:$F$65,""=1""),0)*100"),49.09090909090909)</f>
        <v>49.09090909</v>
      </c>
      <c r="I40" s="13">
        <v>395.0</v>
      </c>
      <c r="J40" s="27">
        <f>IFERROR(__xludf.DUMMYFUNCTION("IF(F40=1, RANK(I40,FILTER($I$3:$I$65,$F$3:$F$65=1),0)/COUNTIF($F$3:$F$65,""=1""),0)*100"),94.54545454545455)</f>
        <v>94.54545455</v>
      </c>
      <c r="K40" s="27">
        <f t="shared" si="1"/>
        <v>4641.322314</v>
      </c>
      <c r="L40" s="27">
        <f>IFERROR(__xludf.DUMMYFUNCTION("IF(F40=1, RANK(K40,FILTER($K$3:$K$65,$F$3:$F$65=1),1)/COUNTIF($F$3:$F$65,""=1""),0)*100"),83.63636363636363)</f>
        <v>83.63636364</v>
      </c>
      <c r="M40" s="28">
        <f t="shared" si="2"/>
        <v>95.09090909</v>
      </c>
      <c r="N40" s="13">
        <v>1.0</v>
      </c>
      <c r="O40" s="13">
        <v>0.78</v>
      </c>
      <c r="P40" s="27">
        <f>IFERROR(__xludf.DUMMYFUNCTION("IF(N40=1, RANK(O40, FILTER($O$3:$O$65,$N$3:$N$65=1),0)/COUNTIF($N$3:$N$65,""=1""),0)*100"),51.78571428571429)</f>
        <v>51.78571429</v>
      </c>
      <c r="Q40" s="13">
        <v>2438.0</v>
      </c>
      <c r="R40" s="27">
        <f>IFERROR(__xludf.DUMMYFUNCTION("IF(N40=1, RANK(Q40, FILTER($Q$3:$Q$65,$N$3:$N$65=1),0)/COUNTIF($N$3:$N$65,""=1""),0)*100"),87.5)</f>
        <v>87.5</v>
      </c>
      <c r="S40" s="27">
        <f t="shared" si="3"/>
        <v>4531.25</v>
      </c>
      <c r="T40" s="27">
        <f>IFERROR(__xludf.DUMMYFUNCTION("IF(N40=1, RANK(S40,FILTER($S$3:$S$65,$N$3:$N$65=1),1)/COUNTIF($N$3:$N$65,""=1""),0)*100"),85.71428571428571)</f>
        <v>85.71428571</v>
      </c>
      <c r="U40" s="28">
        <f t="shared" si="4"/>
        <v>95.71428571</v>
      </c>
      <c r="V40" s="12">
        <v>0.0</v>
      </c>
      <c r="W40" s="27"/>
      <c r="X40" s="27">
        <f>IFERROR(__xludf.DUMMYFUNCTION("IF(V40=1, RANK(W40, FILTER($W$3:$W$65,$V$3:$V$65=1),0)/COUNTIF($V$3:$V$65,""=1""),0)*100"),0.0)</f>
        <v>0</v>
      </c>
      <c r="Y40" s="27"/>
      <c r="Z40" s="27">
        <f>IFERROR(__xludf.DUMMYFUNCTION("IF(V40=1, RANK(Y40, FILTER($Y$3:$Y$65,$V$3:$V$65=1),0)/COUNTIF($V$3:$V$65,""=1""),0)*100"),0.0)</f>
        <v>0</v>
      </c>
      <c r="AA40" s="27">
        <f t="shared" si="5"/>
        <v>0</v>
      </c>
      <c r="AB40" s="27">
        <f>IFERROR(__xludf.DUMMYFUNCTION("IF(V40=1, RANK(AA40,FILTER($AA$3:$AA$65,$V$3:$V$65=1),1)/COUNTIF($V$3:$V$65,""=1""),0)*100"),0.0)</f>
        <v>0</v>
      </c>
      <c r="AC40" s="28">
        <f t="shared" si="6"/>
        <v>0</v>
      </c>
      <c r="AD40" s="12">
        <v>1.0</v>
      </c>
      <c r="AE40" s="13">
        <v>733.61</v>
      </c>
      <c r="AF40" s="27">
        <f>IFERROR(__xludf.DUMMYFUNCTION("IF(AD40=1, RANK(AE40, FILTER($AE$3:$AE$65,$AD$3:$AD$65=1),0)/COUNTIF($AD$3:$AD$65,""=1""),0)*100"),7.547169811320755)</f>
        <v>7.547169811</v>
      </c>
      <c r="AG40" s="13">
        <v>16989.0</v>
      </c>
      <c r="AH40" s="27">
        <f>IFERROR(__xludf.DUMMYFUNCTION("IF(AD40=1, RANK(AG40, FILTER($AG$3:$AG$65,$AD$3:$AD$65=1),0)/COUNTIF($AD$3:$AD$65,""=1""),0)*100"),45.28301886792453)</f>
        <v>45.28301887</v>
      </c>
      <c r="AI40" s="27">
        <f t="shared" si="7"/>
        <v>341.758633</v>
      </c>
      <c r="AJ40" s="27">
        <f>IFERROR(__xludf.DUMMYFUNCTION("IF(AD40=1, RANK(AI40,FILTER($AI$3:$AI$65,$AD$3:$AD$65=1),1)/COUNTIF($AD$3:$AD$65,""=1""),0)*100"),11.320754716981133)</f>
        <v>11.32075472</v>
      </c>
      <c r="AK40" s="28">
        <f t="shared" si="8"/>
        <v>73.39622642</v>
      </c>
      <c r="AL40" s="27"/>
      <c r="AM40" s="24">
        <f t="shared" si="10"/>
        <v>66.05035531</v>
      </c>
    </row>
    <row r="41">
      <c r="A41" s="9"/>
      <c r="B41" s="58"/>
      <c r="C41" s="26" t="s">
        <v>107</v>
      </c>
      <c r="D41" s="26" t="s">
        <v>108</v>
      </c>
      <c r="E41" s="26">
        <v>3.12551134E8</v>
      </c>
      <c r="F41" s="12">
        <v>1.0</v>
      </c>
      <c r="G41" s="13">
        <v>0.19</v>
      </c>
      <c r="H41" s="27">
        <f>IFERROR(__xludf.DUMMYFUNCTION("IF(F41=1, RANK(G41, FILTER($G$3:$G$65,$F$3:$F$65=1),0)/COUNTIF($F$3:$F$65,""=1""),0)*100"),58.18181818181818)</f>
        <v>58.18181818</v>
      </c>
      <c r="I41" s="13">
        <v>900.0</v>
      </c>
      <c r="J41" s="27">
        <f>IFERROR(__xludf.DUMMYFUNCTION("IF(F41=1, RANK(I41,FILTER($I$3:$I$65,$F$3:$F$65=1),0)/COUNTIF($F$3:$F$65,""=1""),0)*100"),69.0909090909091)</f>
        <v>69.09090909</v>
      </c>
      <c r="K41" s="27">
        <f t="shared" si="1"/>
        <v>4019.834711</v>
      </c>
      <c r="L41" s="27">
        <f>IFERROR(__xludf.DUMMYFUNCTION("IF(F41=1, RANK(K41,FILTER($K$3:$K$65,$F$3:$F$65=1),1)/COUNTIF($F$3:$F$65,""=1""),0)*100"),76.36363636363637)</f>
        <v>76.36363636</v>
      </c>
      <c r="M41" s="28">
        <f t="shared" si="2"/>
        <v>92.90909091</v>
      </c>
      <c r="N41" s="13">
        <v>1.0</v>
      </c>
      <c r="O41" s="13">
        <v>0.84</v>
      </c>
      <c r="P41" s="27">
        <f>IFERROR(__xludf.DUMMYFUNCTION("IF(N41=1, RANK(O41, FILTER($O$3:$O$65,$N$3:$N$65=1),0)/COUNTIF($N$3:$N$65,""=1""),0)*100"),48.214285714285715)</f>
        <v>48.21428571</v>
      </c>
      <c r="Q41" s="13">
        <v>2696.0</v>
      </c>
      <c r="R41" s="27">
        <f>IFERROR(__xludf.DUMMYFUNCTION("IF(N41=1, RANK(Q41, FILTER($Q$3:$Q$65,$N$3:$N$65=1),0)/COUNTIF($N$3:$N$65,""=1""),0)*100"),78.57142857142857)</f>
        <v>78.57142857</v>
      </c>
      <c r="S41" s="27">
        <f t="shared" si="3"/>
        <v>3788.265306</v>
      </c>
      <c r="T41" s="27">
        <f>IFERROR(__xludf.DUMMYFUNCTION("IF(N41=1, RANK(S41,FILTER($S$3:$S$65,$N$3:$N$65=1),1)/COUNTIF($N$3:$N$65,""=1""),0)*100"),73.21428571428571)</f>
        <v>73.21428571</v>
      </c>
      <c r="U41" s="28">
        <f t="shared" si="4"/>
        <v>91.96428571</v>
      </c>
      <c r="V41" s="12">
        <v>1.0</v>
      </c>
      <c r="W41" s="13">
        <v>2.0</v>
      </c>
      <c r="X41" s="27">
        <f>IFERROR(__xludf.DUMMYFUNCTION("IF(V41=1, RANK(W41, FILTER($W$3:$W$65,$V$3:$V$65=1),0)/COUNTIF($V$3:$V$65,""=1""),0)*100"),86.79245283018868)</f>
        <v>86.79245283</v>
      </c>
      <c r="Y41" s="13">
        <v>1029.0</v>
      </c>
      <c r="Z41" s="27">
        <f>IFERROR(__xludf.DUMMYFUNCTION("IF(V41=1, RANK(Y41, FILTER($Y$3:$Y$65,$V$3:$V$65=1),0)/COUNTIF($V$3:$V$65,""=1""),0)*100"),100.0)</f>
        <v>100</v>
      </c>
      <c r="AA41" s="27">
        <f t="shared" si="5"/>
        <v>8679.245283</v>
      </c>
      <c r="AB41" s="27">
        <f>IFERROR(__xludf.DUMMYFUNCTION("IF(V41=1, RANK(AA41,FILTER($AA$3:$AA$65,$V$3:$V$65=1),1)/COUNTIF($V$3:$V$65,""=1""),0)*100"),100.0)</f>
        <v>100</v>
      </c>
      <c r="AC41" s="28">
        <f t="shared" si="6"/>
        <v>100</v>
      </c>
      <c r="AD41" s="12">
        <v>1.0</v>
      </c>
      <c r="AE41" s="13">
        <v>5.53</v>
      </c>
      <c r="AF41" s="27">
        <f>IFERROR(__xludf.DUMMYFUNCTION("IF(AD41=1, RANK(AE41, FILTER($AE$3:$AE$65,$AD$3:$AD$65=1),0)/COUNTIF($AD$3:$AD$65,""=1""),0)*100"),86.79245283018868)</f>
        <v>86.79245283</v>
      </c>
      <c r="AG41" s="13">
        <v>7531.0</v>
      </c>
      <c r="AH41" s="27">
        <f>IFERROR(__xludf.DUMMYFUNCTION("IF(AD41=1, RANK(AG41, FILTER($AG$3:$AG$65,$AD$3:$AD$65=1),0)/COUNTIF($AD$3:$AD$65,""=1""),0)*100"),90.56603773584906)</f>
        <v>90.56603774</v>
      </c>
      <c r="AI41" s="27">
        <f t="shared" si="7"/>
        <v>7860.448558</v>
      </c>
      <c r="AJ41" s="27">
        <f>IFERROR(__xludf.DUMMYFUNCTION("IF(AD41=1, RANK(AI41,FILTER($AI$3:$AI$65,$AD$3:$AD$65=1),1)/COUNTIF($AD$3:$AD$65,""=1""),0)*100"),100.0)</f>
        <v>100</v>
      </c>
      <c r="AK41" s="28">
        <f t="shared" si="8"/>
        <v>100</v>
      </c>
      <c r="AL41" s="27"/>
      <c r="AM41" s="24">
        <f t="shared" si="10"/>
        <v>96.21834416</v>
      </c>
    </row>
    <row r="42">
      <c r="A42" s="9"/>
      <c r="B42" s="58"/>
      <c r="C42" s="26" t="s">
        <v>109</v>
      </c>
      <c r="D42" s="26" t="s">
        <v>110</v>
      </c>
      <c r="E42" s="26">
        <v>3.12554005E8</v>
      </c>
      <c r="F42" s="12">
        <v>1.0</v>
      </c>
      <c r="G42" s="13">
        <v>1.05</v>
      </c>
      <c r="H42" s="27">
        <f>IFERROR(__xludf.DUMMYFUNCTION("IF(F42=1, RANK(G42, FILTER($G$3:$G$65,$F$3:$F$65=1),0)/COUNTIF($F$3:$F$65,""=1""),0)*100"),30.909090909090907)</f>
        <v>30.90909091</v>
      </c>
      <c r="I42" s="13">
        <v>765.0</v>
      </c>
      <c r="J42" s="27">
        <f>IFERROR(__xludf.DUMMYFUNCTION("IF(F42=1, RANK(I42,FILTER($I$3:$I$65,$F$3:$F$65=1),0)/COUNTIF($F$3:$F$65,""=1""),0)*100"),81.81818181818183)</f>
        <v>81.81818182</v>
      </c>
      <c r="K42" s="27">
        <f t="shared" si="1"/>
        <v>2528.92562</v>
      </c>
      <c r="L42" s="27">
        <f>IFERROR(__xludf.DUMMYFUNCTION("IF(F42=1, RANK(K42,FILTER($K$3:$K$65,$F$3:$F$65=1),1)/COUNTIF($F$3:$F$65,""=1""),0)*100"),47.27272727272727)</f>
        <v>47.27272727</v>
      </c>
      <c r="M42" s="28">
        <f t="shared" si="2"/>
        <v>84.18181818</v>
      </c>
      <c r="N42" s="13">
        <v>1.0</v>
      </c>
      <c r="O42" s="13">
        <v>5.31</v>
      </c>
      <c r="P42" s="27">
        <f>IFERROR(__xludf.DUMMYFUNCTION("IF(N42=1, RANK(O42, FILTER($O$3:$O$65,$N$3:$N$65=1),0)/COUNTIF($N$3:$N$65,""=1""),0)*100"),21.428571428571427)</f>
        <v>21.42857143</v>
      </c>
      <c r="Q42" s="13">
        <v>2317.0</v>
      </c>
      <c r="R42" s="27">
        <f>IFERROR(__xludf.DUMMYFUNCTION("IF(N42=1, RANK(Q42, FILTER($Q$3:$Q$65,$N$3:$N$65=1),0)/COUNTIF($N$3:$N$65,""=1""),0)*100"),94.64285714285714)</f>
        <v>94.64285714</v>
      </c>
      <c r="S42" s="27">
        <f t="shared" si="3"/>
        <v>2028.061224</v>
      </c>
      <c r="T42" s="27">
        <f>IFERROR(__xludf.DUMMYFUNCTION("IF(N42=1, RANK(S42,FILTER($S$3:$S$65,$N$3:$N$65=1),1)/COUNTIF($N$3:$N$65,""=1""),0)*100"),46.42857142857143)</f>
        <v>46.42857143</v>
      </c>
      <c r="U42" s="28">
        <f t="shared" si="4"/>
        <v>83.92857143</v>
      </c>
      <c r="V42" s="12">
        <v>1.0</v>
      </c>
      <c r="W42" s="13">
        <v>52.02</v>
      </c>
      <c r="X42" s="27">
        <f>IFERROR(__xludf.DUMMYFUNCTION("IF(V42=1, RANK(W42, FILTER($W$3:$W$65,$V$3:$V$65=1),0)/COUNTIF($V$3:$V$65,""=1""),0)*100"),18.867924528301888)</f>
        <v>18.86792453</v>
      </c>
      <c r="Y42" s="13">
        <v>4720.0</v>
      </c>
      <c r="Z42" s="27">
        <f>IFERROR(__xludf.DUMMYFUNCTION("IF(V42=1, RANK(Y42, FILTER($Y$3:$Y$65,$V$3:$V$65=1),0)/COUNTIF($V$3:$V$65,""=1""),0)*100"),75.47169811320755)</f>
        <v>75.47169811</v>
      </c>
      <c r="AA42" s="27">
        <f t="shared" si="5"/>
        <v>1423.994304</v>
      </c>
      <c r="AB42" s="27">
        <f>IFERROR(__xludf.DUMMYFUNCTION("IF(V42=1, RANK(AA42,FILTER($AA$3:$AA$65,$V$3:$V$65=1),1)/COUNTIF($V$3:$V$65,""=1""),0)*100"),37.735849056603776)</f>
        <v>37.73584906</v>
      </c>
      <c r="AC42" s="28">
        <f t="shared" si="6"/>
        <v>81.32075472</v>
      </c>
      <c r="AD42" s="12">
        <v>1.0</v>
      </c>
      <c r="AE42" s="13">
        <v>258.27</v>
      </c>
      <c r="AF42" s="27">
        <f>IFERROR(__xludf.DUMMYFUNCTION("IF(AD42=1, RANK(AE42, FILTER($AE$3:$AE$65,$AD$3:$AD$65=1),0)/COUNTIF($AD$3:$AD$65,""=1""),0)*100"),18.867924528301888)</f>
        <v>18.86792453</v>
      </c>
      <c r="AG42" s="13">
        <v>15018.0</v>
      </c>
      <c r="AH42" s="27">
        <f>IFERROR(__xludf.DUMMYFUNCTION("IF(AD42=1, RANK(AG42, FILTER($AG$3:$AG$65,$AD$3:$AD$65=1),0)/COUNTIF($AD$3:$AD$65,""=1""),0)*100"),54.71698113207547)</f>
        <v>54.71698113</v>
      </c>
      <c r="AI42" s="27">
        <f t="shared" si="7"/>
        <v>1032.39587</v>
      </c>
      <c r="AJ42" s="27">
        <f>IFERROR(__xludf.DUMMYFUNCTION("IF(AD42=1, RANK(AI42,FILTER($AI$3:$AI$65,$AD$3:$AD$65=1),1)/COUNTIF($AD$3:$AD$65,""=1""),0)*100"),35.84905660377358)</f>
        <v>35.8490566</v>
      </c>
      <c r="AK42" s="28">
        <f t="shared" si="8"/>
        <v>80.75471698</v>
      </c>
      <c r="AL42" s="27"/>
      <c r="AM42" s="24">
        <f t="shared" si="10"/>
        <v>82.54646533</v>
      </c>
    </row>
    <row r="43">
      <c r="A43" s="9"/>
      <c r="B43" s="58"/>
      <c r="C43" s="26" t="s">
        <v>111</v>
      </c>
      <c r="D43" s="26" t="s">
        <v>112</v>
      </c>
      <c r="E43" s="26">
        <v>3.12581032E8</v>
      </c>
      <c r="F43" s="12">
        <v>1.0</v>
      </c>
      <c r="G43" s="13">
        <v>0.65</v>
      </c>
      <c r="H43" s="27">
        <f>IFERROR(__xludf.DUMMYFUNCTION("IF(F43=1, RANK(G43, FILTER($G$3:$G$65,$F$3:$F$65=1),0)/COUNTIF($F$3:$F$65,""=1""),0)*100"),41.81818181818181)</f>
        <v>41.81818182</v>
      </c>
      <c r="I43" s="13">
        <v>1412.0</v>
      </c>
      <c r="J43" s="27">
        <f>IFERROR(__xludf.DUMMYFUNCTION("IF(F43=1, RANK(I43,FILTER($I$3:$I$65,$F$3:$F$65=1),0)/COUNTIF($F$3:$F$65,""=1""),0)*100"),41.81818181818181)</f>
        <v>41.81818182</v>
      </c>
      <c r="K43" s="27">
        <f t="shared" si="1"/>
        <v>1748.760331</v>
      </c>
      <c r="L43" s="27">
        <f>IFERROR(__xludf.DUMMYFUNCTION("IF(F43=1, RANK(K43,FILTER($K$3:$K$65,$F$3:$F$65=1),1)/COUNTIF($F$3:$F$65,""=1""),0)*100"),38.18181818181819)</f>
        <v>38.18181818</v>
      </c>
      <c r="M43" s="28">
        <f t="shared" si="2"/>
        <v>81.45454545</v>
      </c>
      <c r="N43" s="13">
        <v>1.0</v>
      </c>
      <c r="O43" s="13">
        <v>1.42</v>
      </c>
      <c r="P43" s="27">
        <f>IFERROR(__xludf.DUMMYFUNCTION("IF(N43=1, RANK(O43, FILTER($O$3:$O$65,$N$3:$N$65=1),0)/COUNTIF($N$3:$N$65,""=1""),0)*100"),44.642857142857146)</f>
        <v>44.64285714</v>
      </c>
      <c r="Q43" s="13">
        <v>3017.0</v>
      </c>
      <c r="R43" s="27">
        <f>IFERROR(__xludf.DUMMYFUNCTION("IF(N43=1, RANK(Q43, FILTER($Q$3:$Q$65,$N$3:$N$65=1),0)/COUNTIF($N$3:$N$65,""=1""),0)*100"),71.42857142857143)</f>
        <v>71.42857143</v>
      </c>
      <c r="S43" s="27">
        <f t="shared" si="3"/>
        <v>3188.77551</v>
      </c>
      <c r="T43" s="27">
        <f>IFERROR(__xludf.DUMMYFUNCTION("IF(N43=1, RANK(S43,FILTER($S$3:$S$65,$N$3:$N$65=1),1)/COUNTIF($N$3:$N$65,""=1""),0)*100"),64.28571428571429)</f>
        <v>64.28571429</v>
      </c>
      <c r="U43" s="28">
        <f t="shared" si="4"/>
        <v>89.28571429</v>
      </c>
      <c r="V43" s="12">
        <v>1.0</v>
      </c>
      <c r="W43" s="13">
        <v>10.13</v>
      </c>
      <c r="X43" s="27">
        <f>IFERROR(__xludf.DUMMYFUNCTION("IF(V43=1, RANK(W43, FILTER($W$3:$W$65,$V$3:$V$65=1),0)/COUNTIF($V$3:$V$65,""=1""),0)*100"),47.16981132075472)</f>
        <v>47.16981132</v>
      </c>
      <c r="Y43" s="13">
        <v>15958.0</v>
      </c>
      <c r="Z43" s="27">
        <f>IFERROR(__xludf.DUMMYFUNCTION("IF(V43=1, RANK(Y43, FILTER($Y$3:$Y$65,$V$3:$V$65=1),0)/COUNTIF($V$3:$V$65,""=1""),0)*100"),28.30188679245283)</f>
        <v>28.30188679</v>
      </c>
      <c r="AA43" s="27">
        <f t="shared" si="5"/>
        <v>1334.99466</v>
      </c>
      <c r="AB43" s="27">
        <f>IFERROR(__xludf.DUMMYFUNCTION("IF(V43=1, RANK(AA43,FILTER($AA$3:$AA$65,$V$3:$V$65=1),1)/COUNTIF($V$3:$V$65,""=1""),0)*100"),32.075471698113205)</f>
        <v>32.0754717</v>
      </c>
      <c r="AC43" s="28">
        <f t="shared" si="6"/>
        <v>79.62264151</v>
      </c>
      <c r="AD43" s="12">
        <v>1.0</v>
      </c>
      <c r="AE43" s="13">
        <v>34.33</v>
      </c>
      <c r="AF43" s="27">
        <f>IFERROR(__xludf.DUMMYFUNCTION("IF(AD43=1, RANK(AE43, FILTER($AE$3:$AE$65,$AD$3:$AD$65=1),0)/COUNTIF($AD$3:$AD$65,""=1""),0)*100"),52.83018867924528)</f>
        <v>52.83018868</v>
      </c>
      <c r="AG43" s="13">
        <v>27326.0</v>
      </c>
      <c r="AH43" s="27">
        <f>IFERROR(__xludf.DUMMYFUNCTION("IF(AD43=1, RANK(AG43, FILTER($AG$3:$AG$65,$AD$3:$AD$65=1),0)/COUNTIF($AD$3:$AD$65,""=1""),0)*100"),26.41509433962264)</f>
        <v>26.41509434</v>
      </c>
      <c r="AI43" s="27">
        <f t="shared" si="7"/>
        <v>1395.514418</v>
      </c>
      <c r="AJ43" s="27">
        <f>IFERROR(__xludf.DUMMYFUNCTION("IF(AD43=1, RANK(AI43,FILTER($AI$3:$AI$65,$AD$3:$AD$65=1),1)/COUNTIF($AD$3:$AD$65,""=1""),0)*100"),43.39622641509434)</f>
        <v>43.39622642</v>
      </c>
      <c r="AK43" s="28">
        <f t="shared" si="8"/>
        <v>83.01886792</v>
      </c>
      <c r="AL43" s="27"/>
      <c r="AM43" s="24">
        <f t="shared" si="10"/>
        <v>83.34544229</v>
      </c>
    </row>
    <row r="44">
      <c r="A44" s="9"/>
      <c r="B44" s="58"/>
      <c r="C44" s="26" t="s">
        <v>113</v>
      </c>
      <c r="D44" s="26" t="s">
        <v>114</v>
      </c>
      <c r="E44" s="26">
        <v>3.12511036E8</v>
      </c>
      <c r="F44" s="12">
        <v>1.0</v>
      </c>
      <c r="G44" s="13">
        <v>0.06</v>
      </c>
      <c r="H44" s="27">
        <f>IFERROR(__xludf.DUMMYFUNCTION("IF(F44=1, RANK(G44, FILTER($G$3:$G$65,$F$3:$F$65=1),0)/COUNTIF($F$3:$F$65,""=1""),0)*100"),90.9090909090909)</f>
        <v>90.90909091</v>
      </c>
      <c r="I44" s="13">
        <v>1030.0</v>
      </c>
      <c r="J44" s="27">
        <f>IFERROR(__xludf.DUMMYFUNCTION("IF(F44=1, RANK(I44,FILTER($I$3:$I$65,$F$3:$F$65=1),0)/COUNTIF($F$3:$F$65,""=1""),0)*100"),61.81818181818181)</f>
        <v>61.81818182</v>
      </c>
      <c r="K44" s="27">
        <f t="shared" si="1"/>
        <v>5619.834711</v>
      </c>
      <c r="L44" s="27">
        <f>IFERROR(__xludf.DUMMYFUNCTION("IF(F44=1, RANK(K44,FILTER($K$3:$K$65,$F$3:$F$65=1),1)/COUNTIF($F$3:$F$65,""=1""),0)*100"),87.27272727272727)</f>
        <v>87.27272727</v>
      </c>
      <c r="M44" s="28">
        <f t="shared" si="2"/>
        <v>96.18181818</v>
      </c>
      <c r="N44" s="13">
        <v>1.0</v>
      </c>
      <c r="O44" s="13">
        <v>0.19</v>
      </c>
      <c r="P44" s="27">
        <f>IFERROR(__xludf.DUMMYFUNCTION("IF(N44=1, RANK(O44, FILTER($O$3:$O$65,$N$3:$N$65=1),0)/COUNTIF($N$3:$N$65,""=1""),0)*100"),92.85714285714286)</f>
        <v>92.85714286</v>
      </c>
      <c r="Q44" s="13">
        <v>2548.0</v>
      </c>
      <c r="R44" s="27">
        <f>IFERROR(__xludf.DUMMYFUNCTION("IF(N44=1, RANK(Q44, FILTER($Q$3:$Q$65,$N$3:$N$65=1),0)/COUNTIF($N$3:$N$65,""=1""),0)*100"),83.92857142857143)</f>
        <v>83.92857143</v>
      </c>
      <c r="S44" s="27">
        <f t="shared" si="3"/>
        <v>7793.367347</v>
      </c>
      <c r="T44" s="27">
        <f>IFERROR(__xludf.DUMMYFUNCTION("IF(N44=1, RANK(S44,FILTER($S$3:$S$65,$N$3:$N$65=1),1)/COUNTIF($N$3:$N$65,""=1""),0)*100"),100.0)</f>
        <v>100</v>
      </c>
      <c r="U44" s="28">
        <f t="shared" si="4"/>
        <v>100</v>
      </c>
      <c r="V44" s="12">
        <v>1.0</v>
      </c>
      <c r="W44" s="13">
        <v>1.56</v>
      </c>
      <c r="X44" s="27">
        <f>IFERROR(__xludf.DUMMYFUNCTION("IF(V44=1, RANK(W44, FILTER($W$3:$W$65,$V$3:$V$65=1),0)/COUNTIF($V$3:$V$65,""=1""),0)*100"),90.56603773584906)</f>
        <v>90.56603774</v>
      </c>
      <c r="Y44" s="13">
        <v>2282.0</v>
      </c>
      <c r="Z44" s="27">
        <f>IFERROR(__xludf.DUMMYFUNCTION("IF(V44=1, RANK(Y44, FILTER($Y$3:$Y$65,$V$3:$V$65=1),0)/COUNTIF($V$3:$V$65,""=1""),0)*100"),88.67924528301887)</f>
        <v>88.67924528</v>
      </c>
      <c r="AA44" s="27">
        <f t="shared" si="5"/>
        <v>8031.327875</v>
      </c>
      <c r="AB44" s="27">
        <f>IFERROR(__xludf.DUMMYFUNCTION("IF(V44=1, RANK(AA44,FILTER($AA$3:$AA$65,$V$3:$V$65=1),1)/COUNTIF($V$3:$V$65,""=1""),0)*100"),98.11320754716981)</f>
        <v>98.11320755</v>
      </c>
      <c r="AC44" s="28">
        <f t="shared" si="6"/>
        <v>99.43396226</v>
      </c>
      <c r="AD44" s="12">
        <v>1.0</v>
      </c>
      <c r="AE44" s="13">
        <v>5.23</v>
      </c>
      <c r="AF44" s="27">
        <f>IFERROR(__xludf.DUMMYFUNCTION("IF(AD44=1, RANK(AE44, FILTER($AE$3:$AE$65,$AD$3:$AD$65=1),0)/COUNTIF($AD$3:$AD$65,""=1""),0)*100"),88.67924528301887)</f>
        <v>88.67924528</v>
      </c>
      <c r="AG44" s="13">
        <v>9446.0</v>
      </c>
      <c r="AH44" s="27">
        <f>IFERROR(__xludf.DUMMYFUNCTION("IF(AD44=1, RANK(AG44, FILTER($AG$3:$AG$65,$AD$3:$AD$65=1),0)/COUNTIF($AD$3:$AD$65,""=1""),0)*100"),81.13207547169812)</f>
        <v>81.13207547</v>
      </c>
      <c r="AI44" s="27">
        <f t="shared" si="7"/>
        <v>7194.731221</v>
      </c>
      <c r="AJ44" s="27">
        <f>IFERROR(__xludf.DUMMYFUNCTION("IF(AD44=1, RANK(AI44,FILTER($AI$3:$AI$65,$AD$3:$AD$65=1),1)/COUNTIF($AD$3:$AD$65,""=1""),0)*100"),94.33962264150944)</f>
        <v>94.33962264</v>
      </c>
      <c r="AK44" s="28">
        <f t="shared" si="8"/>
        <v>98.30188679</v>
      </c>
      <c r="AL44" s="27"/>
      <c r="AM44" s="24">
        <f t="shared" si="10"/>
        <v>98.47941681</v>
      </c>
    </row>
    <row r="45">
      <c r="A45" s="9"/>
      <c r="B45" s="58"/>
      <c r="C45" s="26" t="s">
        <v>115</v>
      </c>
      <c r="D45" s="26" t="s">
        <v>116</v>
      </c>
      <c r="E45" s="26">
        <v>3.1251104E8</v>
      </c>
      <c r="F45" s="12">
        <v>1.0</v>
      </c>
      <c r="G45" s="13">
        <v>0.25</v>
      </c>
      <c r="H45" s="27">
        <f>IFERROR(__xludf.DUMMYFUNCTION("IF(F45=1, RANK(G45, FILTER($G$3:$G$65,$F$3:$F$65=1),0)/COUNTIF($F$3:$F$65,""=1""),0)*100"),54.54545454545454)</f>
        <v>54.54545455</v>
      </c>
      <c r="I45" s="13">
        <v>999.0</v>
      </c>
      <c r="J45" s="27">
        <f>IFERROR(__xludf.DUMMYFUNCTION("IF(F45=1, RANK(I45,FILTER($I$3:$I$65,$F$3:$F$65=1),0)/COUNTIF($F$3:$F$65,""=1""),0)*100"),67.27272727272727)</f>
        <v>67.27272727</v>
      </c>
      <c r="K45" s="27">
        <f t="shared" si="1"/>
        <v>3669.421488</v>
      </c>
      <c r="L45" s="27">
        <f>IFERROR(__xludf.DUMMYFUNCTION("IF(F45=1, RANK(K45,FILTER($K$3:$K$65,$F$3:$F$65=1),1)/COUNTIF($F$3:$F$65,""=1""),0)*100"),67.27272727272727)</f>
        <v>67.27272727</v>
      </c>
      <c r="M45" s="28">
        <f t="shared" si="2"/>
        <v>90.18181818</v>
      </c>
      <c r="N45" s="13">
        <v>1.0</v>
      </c>
      <c r="O45" s="13">
        <v>0.45</v>
      </c>
      <c r="P45" s="27">
        <f>IFERROR(__xludf.DUMMYFUNCTION("IF(N45=1, RANK(O45, FILTER($O$3:$O$65,$N$3:$N$65=1),0)/COUNTIF($N$3:$N$65,""=1""),0)*100"),75.0)</f>
        <v>75</v>
      </c>
      <c r="Q45" s="13">
        <v>2563.0</v>
      </c>
      <c r="R45" s="27">
        <f>IFERROR(__xludf.DUMMYFUNCTION("IF(N45=1, RANK(Q45, FILTER($Q$3:$Q$65,$N$3:$N$65=1),0)/COUNTIF($N$3:$N$65,""=1""),0)*100"),82.14285714285714)</f>
        <v>82.14285714</v>
      </c>
      <c r="S45" s="27">
        <f t="shared" si="3"/>
        <v>6160.714286</v>
      </c>
      <c r="T45" s="27">
        <f>IFERROR(__xludf.DUMMYFUNCTION("IF(N45=1, RANK(S45,FILTER($S$3:$S$65,$N$3:$N$65=1),1)/COUNTIF($N$3:$N$65,""=1""),0)*100"),98.21428571428571)</f>
        <v>98.21428571</v>
      </c>
      <c r="U45" s="28">
        <f t="shared" si="4"/>
        <v>99.46428571</v>
      </c>
      <c r="V45" s="12">
        <v>1.0</v>
      </c>
      <c r="W45" s="13">
        <v>4.42</v>
      </c>
      <c r="X45" s="27">
        <f>IFERROR(__xludf.DUMMYFUNCTION("IF(V45=1, RANK(W45, FILTER($W$3:$W$65,$V$3:$V$65=1),0)/COUNTIF($V$3:$V$65,""=1""),0)*100"),64.15094339622641)</f>
        <v>64.1509434</v>
      </c>
      <c r="Y45" s="13">
        <v>2128.0</v>
      </c>
      <c r="Z45" s="27">
        <f>IFERROR(__xludf.DUMMYFUNCTION("IF(V45=1, RANK(Y45, FILTER($Y$3:$Y$65,$V$3:$V$65=1),0)/COUNTIF($V$3:$V$65,""=1""),0)*100"),90.56603773584906)</f>
        <v>90.56603774</v>
      </c>
      <c r="AA45" s="27">
        <f t="shared" si="5"/>
        <v>5809.89676</v>
      </c>
      <c r="AB45" s="27">
        <f>IFERROR(__xludf.DUMMYFUNCTION("IF(V45=1, RANK(AA45,FILTER($AA$3:$AA$65,$V$3:$V$65=1),1)/COUNTIF($V$3:$V$65,""=1""),0)*100"),90.56603773584906)</f>
        <v>90.56603774</v>
      </c>
      <c r="AC45" s="28">
        <f t="shared" si="6"/>
        <v>97.16981132</v>
      </c>
      <c r="AD45" s="12">
        <v>1.0</v>
      </c>
      <c r="AE45" s="13">
        <v>15.36</v>
      </c>
      <c r="AF45" s="27">
        <f>IFERROR(__xludf.DUMMYFUNCTION("IF(AD45=1, RANK(AE45, FILTER($AE$3:$AE$65,$AD$3:$AD$65=1),0)/COUNTIF($AD$3:$AD$65,""=1""),0)*100"),77.35849056603774)</f>
        <v>77.35849057</v>
      </c>
      <c r="AG45" s="13">
        <v>7778.0</v>
      </c>
      <c r="AH45" s="27">
        <f>IFERROR(__xludf.DUMMYFUNCTION("IF(AD45=1, RANK(AG45, FILTER($AG$3:$AG$65,$AD$3:$AD$65=1),0)/COUNTIF($AD$3:$AD$65,""=1""),0)*100"),86.79245283018868)</f>
        <v>86.79245283</v>
      </c>
      <c r="AI45" s="27">
        <f t="shared" si="7"/>
        <v>6714.133143</v>
      </c>
      <c r="AJ45" s="27">
        <f>IFERROR(__xludf.DUMMYFUNCTION("IF(AD45=1, RANK(AI45,FILTER($AI$3:$AI$65,$AD$3:$AD$65=1),1)/COUNTIF($AD$3:$AD$65,""=1""),0)*100"),92.45283018867924)</f>
        <v>92.45283019</v>
      </c>
      <c r="AK45" s="28">
        <f t="shared" si="8"/>
        <v>97.73584906</v>
      </c>
      <c r="AL45" s="27"/>
      <c r="AM45" s="24">
        <f t="shared" si="10"/>
        <v>96.13794107</v>
      </c>
    </row>
    <row r="46">
      <c r="A46" s="9"/>
      <c r="B46" s="57" t="s">
        <v>87</v>
      </c>
      <c r="C46" s="26" t="s">
        <v>117</v>
      </c>
      <c r="D46" s="26" t="s">
        <v>118</v>
      </c>
      <c r="E46" s="26">
        <v>3.12511048E8</v>
      </c>
      <c r="F46" s="12">
        <v>1.0</v>
      </c>
      <c r="G46" s="13">
        <v>0.15</v>
      </c>
      <c r="H46" s="27">
        <f>IFERROR(__xludf.DUMMYFUNCTION("IF(F46=1, RANK(G46, FILTER($G$3:$G$65,$F$3:$F$65=1),0)/COUNTIF($F$3:$F$65,""=1""),0)*100"),61.81818181818181)</f>
        <v>61.81818182</v>
      </c>
      <c r="I46" s="13">
        <v>409.0</v>
      </c>
      <c r="J46" s="27">
        <f>IFERROR(__xludf.DUMMYFUNCTION("IF(F46=1, RANK(I46,FILTER($I$3:$I$65,$F$3:$F$65=1),0)/COUNTIF($F$3:$F$65,""=1""),0)*100"),92.72727272727272)</f>
        <v>92.72727273</v>
      </c>
      <c r="K46" s="27">
        <f t="shared" si="1"/>
        <v>5732.231405</v>
      </c>
      <c r="L46" s="27">
        <f>IFERROR(__xludf.DUMMYFUNCTION("IF(F46=1, RANK(K46,FILTER($K$3:$K$65,$F$3:$F$65=1),1)/COUNTIF($F$3:$F$65,""=1""),0)*100"),92.72727272727272)</f>
        <v>92.72727273</v>
      </c>
      <c r="M46" s="28">
        <f t="shared" si="2"/>
        <v>97.81818182</v>
      </c>
      <c r="N46" s="13">
        <v>1.0</v>
      </c>
      <c r="O46" s="13">
        <v>0.35</v>
      </c>
      <c r="P46" s="27">
        <f>IFERROR(__xludf.DUMMYFUNCTION("IF(N46=1, RANK(O46, FILTER($O$3:$O$65,$N$3:$N$65=1),0)/COUNTIF($N$3:$N$65,""=1""),0)*100"),76.78571428571429)</f>
        <v>76.78571429</v>
      </c>
      <c r="Q46" s="13">
        <v>3370.0</v>
      </c>
      <c r="R46" s="27">
        <f>IFERROR(__xludf.DUMMYFUNCTION("IF(N46=1, RANK(Q46, FILTER($Q$3:$Q$65,$N$3:$N$65=1),0)/COUNTIF($N$3:$N$65,""=1""),0)*100"),58.92857142857143)</f>
        <v>58.92857143</v>
      </c>
      <c r="S46" s="27">
        <f t="shared" si="3"/>
        <v>4524.872449</v>
      </c>
      <c r="T46" s="27">
        <f>IFERROR(__xludf.DUMMYFUNCTION("IF(N46=1, RANK(S46,FILTER($S$3:$S$65,$N$3:$N$65=1),1)/COUNTIF($N$3:$N$65,""=1""),0)*100"),83.92857142857143)</f>
        <v>83.92857143</v>
      </c>
      <c r="U46" s="28">
        <f t="shared" si="4"/>
        <v>95.17857143</v>
      </c>
      <c r="V46" s="12">
        <v>1.0</v>
      </c>
      <c r="W46" s="13">
        <v>1.79</v>
      </c>
      <c r="X46" s="27">
        <f>IFERROR(__xludf.DUMMYFUNCTION("IF(V46=1, RANK(W46, FILTER($W$3:$W$65,$V$3:$V$65=1),0)/COUNTIF($V$3:$V$65,""=1""),0)*100"),88.67924528301887)</f>
        <v>88.67924528</v>
      </c>
      <c r="Y46" s="13">
        <v>11586.0</v>
      </c>
      <c r="Z46" s="27">
        <f>IFERROR(__xludf.DUMMYFUNCTION("IF(V46=1, RANK(Y46, FILTER($Y$3:$Y$65,$V$3:$V$65=1),0)/COUNTIF($V$3:$V$65,""=1""),0)*100"),35.84905660377358)</f>
        <v>35.8490566</v>
      </c>
      <c r="AA46" s="27">
        <f t="shared" si="5"/>
        <v>3179.067284</v>
      </c>
      <c r="AB46" s="27">
        <f>IFERROR(__xludf.DUMMYFUNCTION("IF(V46=1, RANK(AA46,FILTER($AA$3:$AA$65,$V$3:$V$65=1),1)/COUNTIF($V$3:$V$65,""=1""),0)*100"),69.81132075471697)</f>
        <v>69.81132075</v>
      </c>
      <c r="AC46" s="28">
        <f t="shared" si="6"/>
        <v>90.94339623</v>
      </c>
      <c r="AD46" s="12">
        <v>1.0</v>
      </c>
      <c r="AE46" s="13">
        <v>19.78</v>
      </c>
      <c r="AF46" s="27">
        <f>IFERROR(__xludf.DUMMYFUNCTION("IF(AD46=1, RANK(AE46, FILTER($AE$3:$AE$65,$AD$3:$AD$65=1),0)/COUNTIF($AD$3:$AD$65,""=1""),0)*100"),69.81132075471697)</f>
        <v>69.81132075</v>
      </c>
      <c r="AG46" s="13">
        <v>12585.0</v>
      </c>
      <c r="AH46" s="27">
        <f>IFERROR(__xludf.DUMMYFUNCTION("IF(AD46=1, RANK(AG46, FILTER($AG$3:$AG$65,$AD$3:$AD$65=1),0)/COUNTIF($AD$3:$AD$65,""=1""),0)*100"),67.9245283018868)</f>
        <v>67.9245283</v>
      </c>
      <c r="AI46" s="27">
        <f t="shared" si="7"/>
        <v>4741.901032</v>
      </c>
      <c r="AJ46" s="27">
        <f>IFERROR(__xludf.DUMMYFUNCTION("IF(AD46=1, RANK(AI46,FILTER($AI$3:$AI$65,$AD$3:$AD$65=1),1)/COUNTIF($AD$3:$AD$65,""=1""),0)*100"),81.13207547169812)</f>
        <v>81.13207547</v>
      </c>
      <c r="AK46" s="28">
        <f t="shared" si="8"/>
        <v>94.33962264</v>
      </c>
      <c r="AL46" s="13">
        <v>5.0</v>
      </c>
      <c r="AM46" s="24">
        <f t="shared" si="10"/>
        <v>89.56994303</v>
      </c>
    </row>
    <row r="47">
      <c r="A47" s="9"/>
      <c r="B47" s="58"/>
      <c r="C47" s="26" t="s">
        <v>119</v>
      </c>
      <c r="D47" s="26" t="s">
        <v>120</v>
      </c>
      <c r="E47" s="26">
        <v>3.12511051E8</v>
      </c>
      <c r="F47" s="12">
        <v>1.0</v>
      </c>
      <c r="G47" s="13">
        <v>6.28</v>
      </c>
      <c r="H47" s="27">
        <f>IFERROR(__xludf.DUMMYFUNCTION("IF(F47=1, RANK(G47, FILTER($G$3:$G$65,$F$3:$F$65=1),0)/COUNTIF($F$3:$F$65,""=1""),0)*100"),10.909090909090908)</f>
        <v>10.90909091</v>
      </c>
      <c r="I47" s="13">
        <v>1017.0</v>
      </c>
      <c r="J47" s="27">
        <f>IFERROR(__xludf.DUMMYFUNCTION("IF(F47=1, RANK(I47,FILTER($I$3:$I$65,$F$3:$F$65=1),0)/COUNTIF($F$3:$F$65,""=1""),0)*100"),65.45454545454545)</f>
        <v>65.45454545</v>
      </c>
      <c r="K47" s="27">
        <f t="shared" si="1"/>
        <v>714.0495868</v>
      </c>
      <c r="L47" s="27">
        <f>IFERROR(__xludf.DUMMYFUNCTION("IF(F47=1, RANK(K47,FILTER($K$3:$K$65,$F$3:$F$65=1),1)/COUNTIF($F$3:$F$65,""=1""),0)*100"),27.27272727272727)</f>
        <v>27.27272727</v>
      </c>
      <c r="M47" s="28">
        <f t="shared" si="2"/>
        <v>78.18181818</v>
      </c>
      <c r="N47" s="13">
        <v>1.0</v>
      </c>
      <c r="O47" s="13">
        <v>10.5</v>
      </c>
      <c r="P47" s="27">
        <f>IFERROR(__xludf.DUMMYFUNCTION("IF(N47=1, RANK(O47, FILTER($O$3:$O$65,$N$3:$N$65=1),0)/COUNTIF($N$3:$N$65,""=1""),0)*100"),14.285714285714285)</f>
        <v>14.28571429</v>
      </c>
      <c r="Q47" s="13">
        <v>2600.0</v>
      </c>
      <c r="R47" s="27">
        <f>IFERROR(__xludf.DUMMYFUNCTION("IF(N47=1, RANK(Q47, FILTER($Q$3:$Q$65,$N$3:$N$65=1),0)/COUNTIF($N$3:$N$65,""=1""),0)*100"),80.35714285714286)</f>
        <v>80.35714286</v>
      </c>
      <c r="S47" s="27">
        <f t="shared" si="3"/>
        <v>1147.959184</v>
      </c>
      <c r="T47" s="27">
        <f>IFERROR(__xludf.DUMMYFUNCTION("IF(N47=1, RANK(S47,FILTER($S$3:$S$65,$N$3:$N$65=1),1)/COUNTIF($N$3:$N$65,""=1""),0)*100"),32.142857142857146)</f>
        <v>32.14285714</v>
      </c>
      <c r="U47" s="28">
        <f t="shared" si="4"/>
        <v>79.64285714</v>
      </c>
      <c r="V47" s="12">
        <v>1.0</v>
      </c>
      <c r="W47" s="13">
        <v>40.96</v>
      </c>
      <c r="X47" s="27">
        <f>IFERROR(__xludf.DUMMYFUNCTION("IF(V47=1, RANK(W47, FILTER($W$3:$W$65,$V$3:$V$65=1),0)/COUNTIF($V$3:$V$65,""=1""),0)*100"),20.754716981132077)</f>
        <v>20.75471698</v>
      </c>
      <c r="Y47" s="13">
        <v>1755.0</v>
      </c>
      <c r="Z47" s="27">
        <f>IFERROR(__xludf.DUMMYFUNCTION("IF(V47=1, RANK(Y47, FILTER($Y$3:$Y$65,$V$3:$V$65=1),0)/COUNTIF($V$3:$V$65,""=1""),0)*100"),94.33962264150944)</f>
        <v>94.33962264</v>
      </c>
      <c r="AA47" s="27">
        <f t="shared" si="5"/>
        <v>1957.992168</v>
      </c>
      <c r="AB47" s="27">
        <f>IFERROR(__xludf.DUMMYFUNCTION("IF(V47=1, RANK(AA47,FILTER($AA$3:$AA$65,$V$3:$V$65=1),1)/COUNTIF($V$3:$V$65,""=1""),0)*100"),47.16981132075472)</f>
        <v>47.16981132</v>
      </c>
      <c r="AC47" s="28">
        <f t="shared" si="6"/>
        <v>84.1509434</v>
      </c>
      <c r="AD47" s="12">
        <v>1.0</v>
      </c>
      <c r="AE47" s="13">
        <v>169.56</v>
      </c>
      <c r="AF47" s="27">
        <f>IFERROR(__xludf.DUMMYFUNCTION("IF(AD47=1, RANK(AE47, FILTER($AE$3:$AE$65,$AD$3:$AD$65=1),0)/COUNTIF($AD$3:$AD$65,""=1""),0)*100"),24.528301886792452)</f>
        <v>24.52830189</v>
      </c>
      <c r="AG47" s="13">
        <v>9327.0</v>
      </c>
      <c r="AH47" s="27">
        <f>IFERROR(__xludf.DUMMYFUNCTION("IF(AD47=1, RANK(AG47, FILTER($AG$3:$AG$65,$AD$3:$AD$65=1),0)/COUNTIF($AD$3:$AD$65,""=1""),0)*100"),83.01886792452831)</f>
        <v>83.01886792</v>
      </c>
      <c r="AI47" s="27">
        <f t="shared" si="7"/>
        <v>2036.311855</v>
      </c>
      <c r="AJ47" s="27">
        <f>IFERROR(__xludf.DUMMYFUNCTION("IF(AD47=1, RANK(AI47,FILTER($AI$3:$AI$65,$AD$3:$AD$65=1),1)/COUNTIF($AD$3:$AD$65,""=1""),0)*100"),52.83018867924528)</f>
        <v>52.83018868</v>
      </c>
      <c r="AK47" s="28">
        <f t="shared" si="8"/>
        <v>85.8490566</v>
      </c>
      <c r="AL47" s="27"/>
      <c r="AM47" s="24">
        <f t="shared" si="10"/>
        <v>81.95616883</v>
      </c>
    </row>
    <row r="48">
      <c r="A48" s="9"/>
      <c r="B48" s="57" t="s">
        <v>87</v>
      </c>
      <c r="C48" s="26" t="s">
        <v>121</v>
      </c>
      <c r="D48" s="26" t="s">
        <v>122</v>
      </c>
      <c r="E48" s="26">
        <v>3.12511052E8</v>
      </c>
      <c r="F48" s="12">
        <v>1.0</v>
      </c>
      <c r="G48" s="13">
        <v>0.12</v>
      </c>
      <c r="H48" s="27">
        <f>IFERROR(__xludf.DUMMYFUNCTION("IF(F48=1, RANK(G48, FILTER($G$3:$G$65,$F$3:$F$65=1),0)/COUNTIF($F$3:$F$65,""=1""),0)*100"),70.9090909090909)</f>
        <v>70.90909091</v>
      </c>
      <c r="I48" s="13">
        <v>616.0</v>
      </c>
      <c r="J48" s="27">
        <f>IFERROR(__xludf.DUMMYFUNCTION("IF(F48=1, RANK(I48,FILTER($I$3:$I$65,$F$3:$F$65=1),0)/COUNTIF($F$3:$F$65,""=1""),0)*100"),89.0909090909091)</f>
        <v>89.09090909</v>
      </c>
      <c r="K48" s="27">
        <f t="shared" si="1"/>
        <v>6317.355372</v>
      </c>
      <c r="L48" s="27">
        <f>IFERROR(__xludf.DUMMYFUNCTION("IF(F48=1, RANK(K48,FILTER($K$3:$K$65,$F$3:$F$65=1),1)/COUNTIF($F$3:$F$65,""=1""),0)*100"),100.0)</f>
        <v>100</v>
      </c>
      <c r="M48" s="28">
        <f t="shared" si="2"/>
        <v>100</v>
      </c>
      <c r="N48" s="13">
        <v>1.0</v>
      </c>
      <c r="O48" s="13">
        <v>0.47</v>
      </c>
      <c r="P48" s="27">
        <f>IFERROR(__xludf.DUMMYFUNCTION("IF(N48=1, RANK(O48, FILTER($O$3:$O$65,$N$3:$N$65=1),0)/COUNTIF($N$3:$N$65,""=1""),0)*100"),71.42857142857143)</f>
        <v>71.42857143</v>
      </c>
      <c r="Q48" s="13">
        <v>2809.0</v>
      </c>
      <c r="R48" s="27">
        <f>IFERROR(__xludf.DUMMYFUNCTION("IF(N48=1, RANK(Q48, FILTER($Q$3:$Q$65,$N$3:$N$65=1),0)/COUNTIF($N$3:$N$65,""=1""),0)*100"),76.78571428571429)</f>
        <v>76.78571429</v>
      </c>
      <c r="S48" s="27">
        <f t="shared" si="3"/>
        <v>5484.693878</v>
      </c>
      <c r="T48" s="27">
        <f>IFERROR(__xludf.DUMMYFUNCTION("IF(N48=1, RANK(S48,FILTER($S$3:$S$65,$N$3:$N$65=1),1)/COUNTIF($N$3:$N$65,""=1""),0)*100"),91.07142857142857)</f>
        <v>91.07142857</v>
      </c>
      <c r="U48" s="28">
        <f t="shared" si="4"/>
        <v>97.32142857</v>
      </c>
      <c r="V48" s="12">
        <v>0.0</v>
      </c>
      <c r="W48" s="27"/>
      <c r="X48" s="27">
        <f>IFERROR(__xludf.DUMMYFUNCTION("IF(V48=1, RANK(W48, FILTER($W$3:$W$65,$V$3:$V$65=1),0)/COUNTIF($V$3:$V$65,""=1""),0)*100"),0.0)</f>
        <v>0</v>
      </c>
      <c r="Y48" s="27"/>
      <c r="Z48" s="27">
        <f>IFERROR(__xludf.DUMMYFUNCTION("IF(V48=1, RANK(Y48, FILTER($Y$3:$Y$65,$V$3:$V$65=1),0)/COUNTIF($V$3:$V$65,""=1""),0)*100"),0.0)</f>
        <v>0</v>
      </c>
      <c r="AA48" s="27">
        <f t="shared" si="5"/>
        <v>0</v>
      </c>
      <c r="AB48" s="27">
        <f>IFERROR(__xludf.DUMMYFUNCTION("IF(V48=1, RANK(AA48,FILTER($AA$3:$AA$65,$V$3:$V$65=1),1)/COUNTIF($V$3:$V$65,""=1""),0)*100"),0.0)</f>
        <v>0</v>
      </c>
      <c r="AC48" s="28">
        <f t="shared" si="6"/>
        <v>0</v>
      </c>
      <c r="AD48" s="12">
        <v>1.0</v>
      </c>
      <c r="AE48" s="13">
        <v>8.18</v>
      </c>
      <c r="AF48" s="27">
        <f>IFERROR(__xludf.DUMMYFUNCTION("IF(AD48=1, RANK(AE48, FILTER($AE$3:$AE$65,$AD$3:$AD$65=1),0)/COUNTIF($AD$3:$AD$65,""=1""),0)*100"),84.90566037735849)</f>
        <v>84.90566038</v>
      </c>
      <c r="AG48" s="13">
        <v>7982.0</v>
      </c>
      <c r="AH48" s="27">
        <f>IFERROR(__xludf.DUMMYFUNCTION("IF(AD48=1, RANK(AG48, FILTER($AG$3:$AG$65,$AD$3:$AD$65=1),0)/COUNTIF($AD$3:$AD$65,""=1""),0)*100"),84.90566037735849)</f>
        <v>84.90566038</v>
      </c>
      <c r="AI48" s="27">
        <f t="shared" si="7"/>
        <v>7208.971164</v>
      </c>
      <c r="AJ48" s="27">
        <f>IFERROR(__xludf.DUMMYFUNCTION("IF(AD48=1, RANK(AI48,FILTER($AI$3:$AI$65,$AD$3:$AD$65=1),1)/COUNTIF($AD$3:$AD$65,""=1""),0)*100"),96.22641509433963)</f>
        <v>96.22641509</v>
      </c>
      <c r="AK48" s="28">
        <f t="shared" si="8"/>
        <v>98.86792453</v>
      </c>
      <c r="AL48" s="13">
        <v>5.0</v>
      </c>
      <c r="AM48" s="24">
        <f t="shared" si="10"/>
        <v>69.04733827</v>
      </c>
    </row>
    <row r="49">
      <c r="A49" s="9"/>
      <c r="B49" s="58"/>
      <c r="C49" s="26" t="s">
        <v>123</v>
      </c>
      <c r="D49" s="26" t="s">
        <v>124</v>
      </c>
      <c r="E49" s="26">
        <v>3.12511065E8</v>
      </c>
      <c r="F49" s="12">
        <v>1.0</v>
      </c>
      <c r="G49" s="13">
        <v>120.17</v>
      </c>
      <c r="H49" s="27">
        <f>IFERROR(__xludf.DUMMYFUNCTION("IF(F49=1, RANK(G49, FILTER($G$3:$G$65,$F$3:$F$65=1),0)/COUNTIF($F$3:$F$65,""=1""),0)*100"),3.6363636363636362)</f>
        <v>3.636363636</v>
      </c>
      <c r="I49" s="13">
        <v>4007.0</v>
      </c>
      <c r="J49" s="27">
        <f>IFERROR(__xludf.DUMMYFUNCTION("IF(F49=1, RANK(I49,FILTER($I$3:$I$65,$F$3:$F$65=1),0)/COUNTIF($F$3:$F$65,""=1""),0)*100"),16.363636363636363)</f>
        <v>16.36363636</v>
      </c>
      <c r="K49" s="27">
        <f t="shared" si="1"/>
        <v>59.50413223</v>
      </c>
      <c r="L49" s="27">
        <f>IFERROR(__xludf.DUMMYFUNCTION("IF(F49=1, RANK(K49,FILTER($K$3:$K$65,$F$3:$F$65=1),1)/COUNTIF($F$3:$F$65,""=1""),0)*100"),1.8181818181818181)</f>
        <v>1.818181818</v>
      </c>
      <c r="M49" s="28">
        <f t="shared" si="2"/>
        <v>70.54545455</v>
      </c>
      <c r="N49" s="13">
        <v>1.0</v>
      </c>
      <c r="O49" s="13">
        <v>565.67</v>
      </c>
      <c r="P49" s="27">
        <f>IFERROR(__xludf.DUMMYFUNCTION("IF(N49=1, RANK(O49, FILTER($O$3:$O$65,$N$3:$N$65=1),0)/COUNTIF($N$3:$N$65,""=1""),0)*100"),1.7857142857142856)</f>
        <v>1.785714286</v>
      </c>
      <c r="Q49" s="13">
        <v>9746.0</v>
      </c>
      <c r="R49" s="27">
        <f>IFERROR(__xludf.DUMMYFUNCTION("IF(N49=1, RANK(Q49, FILTER($Q$3:$Q$65,$N$3:$N$65=1),0)/COUNTIF($N$3:$N$65,""=1""),0)*100"),16.071428571428573)</f>
        <v>16.07142857</v>
      </c>
      <c r="S49" s="27">
        <f t="shared" si="3"/>
        <v>28.69897959</v>
      </c>
      <c r="T49" s="27">
        <f>IFERROR(__xludf.DUMMYFUNCTION("IF(N49=1, RANK(S49,FILTER($S$3:$S$65,$N$3:$N$65=1),1)/COUNTIF($N$3:$N$65,""=1""),0)*100"),1.7857142857142856)</f>
        <v>1.785714286</v>
      </c>
      <c r="U49" s="28">
        <f t="shared" si="4"/>
        <v>70.53571429</v>
      </c>
      <c r="V49" s="12">
        <v>1.0</v>
      </c>
      <c r="W49" s="13">
        <v>0.88</v>
      </c>
      <c r="X49" s="27">
        <f>IFERROR(__xludf.DUMMYFUNCTION("IF(V49=1, RANK(W49, FILTER($W$3:$W$65,$V$3:$V$65=1),0)/COUNTIF($V$3:$V$65,""=1""),0)*100"),96.22641509433963)</f>
        <v>96.22641509</v>
      </c>
      <c r="Y49" s="13">
        <v>108960.0</v>
      </c>
      <c r="Z49" s="27">
        <f>IFERROR(__xludf.DUMMYFUNCTION("IF(V49=1, RANK(Y49, FILTER($Y$3:$Y$65,$V$3:$V$65=1),0)/COUNTIF($V$3:$V$65,""=1""),0)*100"),7.547169811320755)</f>
        <v>7.547169811</v>
      </c>
      <c r="AA49" s="27">
        <f t="shared" si="5"/>
        <v>726.2370951</v>
      </c>
      <c r="AB49" s="27">
        <f>IFERROR(__xludf.DUMMYFUNCTION("IF(V49=1, RANK(AA49,FILTER($AA$3:$AA$65,$V$3:$V$65=1),1)/COUNTIF($V$3:$V$65,""=1""),0)*100"),18.867924528301888)</f>
        <v>18.86792453</v>
      </c>
      <c r="AC49" s="28">
        <f t="shared" si="6"/>
        <v>75.66037736</v>
      </c>
      <c r="AD49" s="12">
        <v>1.0</v>
      </c>
      <c r="AE49" s="13">
        <v>2.96</v>
      </c>
      <c r="AF49" s="27">
        <f>IFERROR(__xludf.DUMMYFUNCTION("IF(AD49=1, RANK(AE49, FILTER($AE$3:$AE$65,$AD$3:$AD$65=1),0)/COUNTIF($AD$3:$AD$65,""=1""),0)*100"),92.45283018867924)</f>
        <v>92.45283019</v>
      </c>
      <c r="AG49" s="13">
        <v>302634.0</v>
      </c>
      <c r="AH49" s="27">
        <f>IFERROR(__xludf.DUMMYFUNCTION("IF(AD49=1, RANK(AG49, FILTER($AG$3:$AG$65,$AD$3:$AD$65=1),0)/COUNTIF($AD$3:$AD$65,""=1""),0)*100"),7.547169811320755)</f>
        <v>7.547169811</v>
      </c>
      <c r="AI49" s="27">
        <f t="shared" si="7"/>
        <v>697.757209</v>
      </c>
      <c r="AJ49" s="27">
        <f>IFERROR(__xludf.DUMMYFUNCTION("IF(AD49=1, RANK(AI49,FILTER($AI$3:$AI$65,$AD$3:$AD$65=1),1)/COUNTIF($AD$3:$AD$65,""=1""),0)*100"),22.641509433962266)</f>
        <v>22.64150943</v>
      </c>
      <c r="AK49" s="28">
        <f t="shared" si="8"/>
        <v>76.79245283</v>
      </c>
      <c r="AL49" s="27"/>
      <c r="AM49" s="24">
        <f t="shared" si="10"/>
        <v>73.38349975</v>
      </c>
    </row>
    <row r="50">
      <c r="A50" s="9"/>
      <c r="B50" s="57" t="s">
        <v>87</v>
      </c>
      <c r="C50" s="26" t="s">
        <v>125</v>
      </c>
      <c r="D50" s="26" t="s">
        <v>126</v>
      </c>
      <c r="E50" s="26">
        <v>3.12511066E8</v>
      </c>
      <c r="F50" s="12">
        <v>0.0</v>
      </c>
      <c r="G50" s="27"/>
      <c r="H50" s="27">
        <f>IFERROR(__xludf.DUMMYFUNCTION("IF(F50=1, RANK(G50, FILTER($G$3:$G$65,$F$3:$F$65=1),0)/COUNTIF($F$3:$F$65,""=1""),0)*100"),0.0)</f>
        <v>0</v>
      </c>
      <c r="I50" s="27"/>
      <c r="J50" s="27">
        <f>IFERROR(__xludf.DUMMYFUNCTION("IF(F50=1, RANK(I50,FILTER($I$3:$I$65,$F$3:$F$65=1),0)/COUNTIF($F$3:$F$65,""=1""),0)*100"),0.0)</f>
        <v>0</v>
      </c>
      <c r="K50" s="27">
        <f t="shared" si="1"/>
        <v>0</v>
      </c>
      <c r="L50" s="27">
        <f>IFERROR(__xludf.DUMMYFUNCTION("IF(F50=1, RANK(K50,FILTER($K$3:$K$65,$F$3:$F$65=1),1)/COUNTIF($F$3:$F$65,""=1""),0)*100"),0.0)</f>
        <v>0</v>
      </c>
      <c r="M50" s="28">
        <f t="shared" si="2"/>
        <v>0</v>
      </c>
      <c r="N50" s="13">
        <v>0.0</v>
      </c>
      <c r="O50" s="27"/>
      <c r="P50" s="27">
        <f>IFERROR(__xludf.DUMMYFUNCTION("IF(N50=1, RANK(O50, FILTER($O$3:$O$65,$N$3:$N$65=1),0)/COUNTIF($N$3:$N$65,""=1""),0)*100"),0.0)</f>
        <v>0</v>
      </c>
      <c r="Q50" s="27"/>
      <c r="R50" s="27">
        <f>IFERROR(__xludf.DUMMYFUNCTION("IF(N50=1, RANK(Q50, FILTER($Q$3:$Q$65,$N$3:$N$65=1),0)/COUNTIF($N$3:$N$65,""=1""),0)*100"),0.0)</f>
        <v>0</v>
      </c>
      <c r="S50" s="27">
        <f t="shared" si="3"/>
        <v>0</v>
      </c>
      <c r="T50" s="27">
        <f>IFERROR(__xludf.DUMMYFUNCTION("IF(N50=1, RANK(S50,FILTER($S$3:$S$65,$N$3:$N$65=1),1)/COUNTIF($N$3:$N$65,""=1""),0)*100"),0.0)</f>
        <v>0</v>
      </c>
      <c r="U50" s="28">
        <f t="shared" si="4"/>
        <v>0</v>
      </c>
      <c r="V50" s="12">
        <v>1.0</v>
      </c>
      <c r="W50" s="13">
        <v>161.72</v>
      </c>
      <c r="X50" s="27">
        <f>IFERROR(__xludf.DUMMYFUNCTION("IF(V50=1, RANK(W50, FILTER($W$3:$W$65,$V$3:$V$65=1),0)/COUNTIF($V$3:$V$65,""=1""),0)*100"),7.547169811320755)</f>
        <v>7.547169811</v>
      </c>
      <c r="Y50" s="13">
        <v>6442.0</v>
      </c>
      <c r="Z50" s="27">
        <f>IFERROR(__xludf.DUMMYFUNCTION("IF(V50=1, RANK(Y50, FILTER($Y$3:$Y$65,$V$3:$V$65=1),0)/COUNTIF($V$3:$V$65,""=1""),0)*100"),67.9245283018868)</f>
        <v>67.9245283</v>
      </c>
      <c r="AA50" s="27">
        <f t="shared" si="5"/>
        <v>512.6379494</v>
      </c>
      <c r="AB50" s="27">
        <f>IFERROR(__xludf.DUMMYFUNCTION("IF(V50=1, RANK(AA50,FILTER($AA$3:$AA$65,$V$3:$V$65=1),1)/COUNTIF($V$3:$V$65,""=1""),0)*100"),15.09433962264151)</f>
        <v>15.09433962</v>
      </c>
      <c r="AC50" s="28">
        <f t="shared" si="6"/>
        <v>74.52830189</v>
      </c>
      <c r="AD50" s="12">
        <v>0.0</v>
      </c>
      <c r="AE50" s="27"/>
      <c r="AF50" s="27">
        <f>IFERROR(__xludf.DUMMYFUNCTION("IF(AD50=1, RANK(AE50, FILTER($AE$3:$AE$65,$AD$3:$AD$65=1),0)/COUNTIF($AD$3:$AD$65,""=1""),0)*100"),0.0)</f>
        <v>0</v>
      </c>
      <c r="AG50" s="27"/>
      <c r="AH50" s="27">
        <f>IFERROR(__xludf.DUMMYFUNCTION("IF(AD50=1, RANK(AG50, FILTER($AG$3:$AG$65,$AD$3:$AD$65=1),0)/COUNTIF($AD$3:$AD$65,""=1""),0)*100"),0.0)</f>
        <v>0</v>
      </c>
      <c r="AI50" s="27">
        <f t="shared" si="7"/>
        <v>0</v>
      </c>
      <c r="AJ50" s="27">
        <f>IFERROR(__xludf.DUMMYFUNCTION("IF(AD50=1, RANK(AI50,FILTER($AI$3:$AI$65,$AD$3:$AD$65=1),1)/COUNTIF($AD$3:$AD$65,""=1""),0)*100"),0.0)</f>
        <v>0</v>
      </c>
      <c r="AK50" s="28">
        <f t="shared" si="8"/>
        <v>0</v>
      </c>
      <c r="AL50" s="13">
        <v>5.0</v>
      </c>
      <c r="AM50" s="24">
        <f t="shared" si="10"/>
        <v>13.63207547</v>
      </c>
    </row>
    <row r="51">
      <c r="A51" s="9"/>
      <c r="B51" s="58"/>
      <c r="C51" s="26" t="s">
        <v>127</v>
      </c>
      <c r="D51" s="26" t="s">
        <v>128</v>
      </c>
      <c r="E51" s="26">
        <v>4.12580001E8</v>
      </c>
      <c r="F51" s="12">
        <v>1.0</v>
      </c>
      <c r="G51" s="13">
        <v>1.02</v>
      </c>
      <c r="H51" s="27">
        <f>IFERROR(__xludf.DUMMYFUNCTION("IF(F51=1, RANK(G51, FILTER($G$3:$G$65,$F$3:$F$65=1),0)/COUNTIF($F$3:$F$65,""=1""),0)*100"),32.72727272727273)</f>
        <v>32.72727273</v>
      </c>
      <c r="I51" s="13">
        <v>3639.0</v>
      </c>
      <c r="J51" s="27">
        <f>IFERROR(__xludf.DUMMYFUNCTION("IF(F51=1, RANK(I51,FILTER($I$3:$I$65,$F$3:$F$65=1),0)/COUNTIF($F$3:$F$65,""=1""),0)*100"),20.0)</f>
        <v>20</v>
      </c>
      <c r="K51" s="27">
        <f t="shared" si="1"/>
        <v>654.5454545</v>
      </c>
      <c r="L51" s="27">
        <f>IFERROR(__xludf.DUMMYFUNCTION("IF(F51=1, RANK(K51,FILTER($K$3:$K$65,$F$3:$F$65=1),1)/COUNTIF($F$3:$F$65,""=1""),0)*100"),23.636363636363637)</f>
        <v>23.63636364</v>
      </c>
      <c r="M51" s="28">
        <f t="shared" si="2"/>
        <v>77.09090909</v>
      </c>
      <c r="N51" s="13">
        <v>1.0</v>
      </c>
      <c r="O51" s="13">
        <v>2.04</v>
      </c>
      <c r="P51" s="27">
        <f>IFERROR(__xludf.DUMMYFUNCTION("IF(N51=1, RANK(O51, FILTER($O$3:$O$65,$N$3:$N$65=1),0)/COUNTIF($N$3:$N$65,""=1""),0)*100"),39.285714285714285)</f>
        <v>39.28571429</v>
      </c>
      <c r="Q51" s="13">
        <v>8467.0</v>
      </c>
      <c r="R51" s="27">
        <f>IFERROR(__xludf.DUMMYFUNCTION("IF(N51=1, RANK(Q51, FILTER($Q$3:$Q$65,$N$3:$N$65=1),0)/COUNTIF($N$3:$N$65,""=1""),0)*100"),17.857142857142858)</f>
        <v>17.85714286</v>
      </c>
      <c r="S51" s="27">
        <f t="shared" si="3"/>
        <v>701.5306122</v>
      </c>
      <c r="T51" s="27">
        <f>IFERROR(__xludf.DUMMYFUNCTION("IF(N51=1, RANK(S51,FILTER($S$3:$S$65,$N$3:$N$65=1),1)/COUNTIF($N$3:$N$65,""=1""),0)*100"),25.0)</f>
        <v>25</v>
      </c>
      <c r="U51" s="28">
        <f t="shared" si="4"/>
        <v>77.5</v>
      </c>
      <c r="V51" s="12">
        <v>1.0</v>
      </c>
      <c r="W51" s="13">
        <v>395.57</v>
      </c>
      <c r="X51" s="27">
        <f>IFERROR(__xludf.DUMMYFUNCTION("IF(V51=1, RANK(W51, FILTER($W$3:$W$65,$V$3:$V$65=1),0)/COUNTIF($V$3:$V$65,""=1""),0)*100"),5.660377358490567)</f>
        <v>5.660377358</v>
      </c>
      <c r="Y51" s="13">
        <v>57662.0</v>
      </c>
      <c r="Z51" s="27">
        <f>IFERROR(__xludf.DUMMYFUNCTION("IF(V51=1, RANK(Y51, FILTER($Y$3:$Y$65,$V$3:$V$65=1),0)/COUNTIF($V$3:$V$65,""=1""),0)*100"),18.867924528301888)</f>
        <v>18.86792453</v>
      </c>
      <c r="AA51" s="27">
        <f t="shared" si="5"/>
        <v>106.7995728</v>
      </c>
      <c r="AB51" s="27">
        <f>IFERROR(__xludf.DUMMYFUNCTION("IF(V51=1, RANK(AA51,FILTER($AA$3:$AA$65,$V$3:$V$65=1),1)/COUNTIF($V$3:$V$65,""=1""),0)*100"),7.547169811320755)</f>
        <v>7.547169811</v>
      </c>
      <c r="AC51" s="28">
        <f t="shared" si="6"/>
        <v>72.26415094</v>
      </c>
      <c r="AD51" s="12">
        <v>1.0</v>
      </c>
      <c r="AE51" s="13">
        <v>306.16</v>
      </c>
      <c r="AF51" s="27">
        <f>IFERROR(__xludf.DUMMYFUNCTION("IF(AD51=1, RANK(AE51, FILTER($AE$3:$AE$65,$AD$3:$AD$65=1),0)/COUNTIF($AD$3:$AD$65,""=1""),0)*100"),15.09433962264151)</f>
        <v>15.09433962</v>
      </c>
      <c r="AG51" s="13">
        <v>296416.0</v>
      </c>
      <c r="AH51" s="27">
        <f>IFERROR(__xludf.DUMMYFUNCTION("IF(AD51=1, RANK(AG51, FILTER($AG$3:$AG$65,$AD$3:$AD$65=1),0)/COUNTIF($AD$3:$AD$65,""=1""),0)*100"),15.09433962264151)</f>
        <v>15.09433962</v>
      </c>
      <c r="AI51" s="27">
        <f t="shared" si="7"/>
        <v>227.8390886</v>
      </c>
      <c r="AJ51" s="27">
        <f>IFERROR(__xludf.DUMMYFUNCTION("IF(AD51=1, RANK(AI51,FILTER($AI$3:$AI$65,$AD$3:$AD$65=1),1)/COUNTIF($AD$3:$AD$65,""=1""),0)*100"),9.433962264150944)</f>
        <v>9.433962264</v>
      </c>
      <c r="AK51" s="28">
        <f t="shared" si="8"/>
        <v>72.83018868</v>
      </c>
      <c r="AL51" s="27"/>
      <c r="AM51" s="24">
        <f t="shared" si="10"/>
        <v>74.92131218</v>
      </c>
    </row>
    <row r="52">
      <c r="A52" s="9"/>
      <c r="B52" s="58"/>
      <c r="C52" s="26" t="s">
        <v>129</v>
      </c>
      <c r="D52" s="26" t="s">
        <v>130</v>
      </c>
      <c r="E52" s="26">
        <v>3.12554001E8</v>
      </c>
      <c r="F52" s="12">
        <v>1.0</v>
      </c>
      <c r="G52" s="13">
        <v>0.1</v>
      </c>
      <c r="H52" s="27">
        <f>IFERROR(__xludf.DUMMYFUNCTION("IF(F52=1, RANK(G52, FILTER($G$3:$G$65,$F$3:$F$65=1),0)/COUNTIF($F$3:$F$65,""=1""),0)*100"),80.0)</f>
        <v>80</v>
      </c>
      <c r="I52" s="13">
        <v>1631.0</v>
      </c>
      <c r="J52" s="27">
        <f>IFERROR(__xludf.DUMMYFUNCTION("IF(F52=1, RANK(I52,FILTER($I$3:$I$65,$F$3:$F$65=1),0)/COUNTIF($F$3:$F$65,""=1""),0)*100"),34.54545454545455)</f>
        <v>34.54545455</v>
      </c>
      <c r="K52" s="27">
        <f t="shared" si="1"/>
        <v>2763.636364</v>
      </c>
      <c r="L52" s="27">
        <f>IFERROR(__xludf.DUMMYFUNCTION("IF(F52=1, RANK(K52,FILTER($K$3:$K$65,$F$3:$F$65=1),1)/COUNTIF($F$3:$F$65,""=1""),0)*100"),52.72727272727272)</f>
        <v>52.72727273</v>
      </c>
      <c r="M52" s="28">
        <f t="shared" si="2"/>
        <v>85.81818182</v>
      </c>
      <c r="N52" s="13">
        <v>1.0</v>
      </c>
      <c r="O52" s="13">
        <v>0.57</v>
      </c>
      <c r="P52" s="27">
        <f>IFERROR(__xludf.DUMMYFUNCTION("IF(N52=1, RANK(O52, FILTER($O$3:$O$65,$N$3:$N$65=1),0)/COUNTIF($N$3:$N$65,""=1""),0)*100"),64.28571428571429)</f>
        <v>64.28571429</v>
      </c>
      <c r="Q52" s="13">
        <v>5146.0</v>
      </c>
      <c r="R52" s="27">
        <f>IFERROR(__xludf.DUMMYFUNCTION("IF(N52=1, RANK(Q52, FILTER($Q$3:$Q$65,$N$3:$N$65=1),0)/COUNTIF($N$3:$N$65,""=1""),0)*100"),33.92857142857143)</f>
        <v>33.92857143</v>
      </c>
      <c r="S52" s="27">
        <f t="shared" si="3"/>
        <v>2181.122449</v>
      </c>
      <c r="T52" s="27">
        <f>IFERROR(__xludf.DUMMYFUNCTION("IF(N52=1, RANK(S52,FILTER($S$3:$S$65,$N$3:$N$65=1),1)/COUNTIF($N$3:$N$65,""=1""),0)*100"),48.214285714285715)</f>
        <v>48.21428571</v>
      </c>
      <c r="U52" s="28">
        <f t="shared" si="4"/>
        <v>84.46428571</v>
      </c>
      <c r="V52" s="12">
        <v>1.0</v>
      </c>
      <c r="W52" s="13">
        <v>6.6</v>
      </c>
      <c r="X52" s="27">
        <f>IFERROR(__xludf.DUMMYFUNCTION("IF(V52=1, RANK(W52, FILTER($W$3:$W$65,$V$3:$V$65=1),0)/COUNTIF($V$3:$V$65,""=1""),0)*100"),54.71698113207547)</f>
        <v>54.71698113</v>
      </c>
      <c r="Y52" s="13">
        <v>17138.0</v>
      </c>
      <c r="Z52" s="27">
        <f>IFERROR(__xludf.DUMMYFUNCTION("IF(V52=1, RANK(Y52, FILTER($Y$3:$Y$65,$V$3:$V$65=1),0)/COUNTIF($V$3:$V$65,""=1""),0)*100"),26.41509433962264)</f>
        <v>26.41509434</v>
      </c>
      <c r="AA52" s="27">
        <f t="shared" si="5"/>
        <v>1445.354219</v>
      </c>
      <c r="AB52" s="27">
        <f>IFERROR(__xludf.DUMMYFUNCTION("IF(V52=1, RANK(AA52,FILTER($AA$3:$AA$65,$V$3:$V$65=1),1)/COUNTIF($V$3:$V$65,""=1""),0)*100"),39.62264150943396)</f>
        <v>39.62264151</v>
      </c>
      <c r="AC52" s="28">
        <f t="shared" si="6"/>
        <v>81.88679245</v>
      </c>
      <c r="AD52" s="12">
        <v>1.0</v>
      </c>
      <c r="AE52" s="13">
        <v>41.67</v>
      </c>
      <c r="AF52" s="27">
        <f>IFERROR(__xludf.DUMMYFUNCTION("IF(AD52=1, RANK(AE52, FILTER($AE$3:$AE$65,$AD$3:$AD$65=1),0)/COUNTIF($AD$3:$AD$65,""=1""),0)*100"),41.509433962264154)</f>
        <v>41.50943396</v>
      </c>
      <c r="AG52" s="13">
        <v>18328.0</v>
      </c>
      <c r="AH52" s="27">
        <f>IFERROR(__xludf.DUMMYFUNCTION("IF(AD52=1, RANK(AG52, FILTER($AG$3:$AG$65,$AD$3:$AD$65=1),0)/COUNTIF($AD$3:$AD$65,""=1""),0)*100"),41.509433962264154)</f>
        <v>41.50943396</v>
      </c>
      <c r="AI52" s="27">
        <f t="shared" si="7"/>
        <v>1723.033108</v>
      </c>
      <c r="AJ52" s="27">
        <f>IFERROR(__xludf.DUMMYFUNCTION("IF(AD52=1, RANK(AI52,FILTER($AI$3:$AI$65,$AD$3:$AD$65=1),1)/COUNTIF($AD$3:$AD$65,""=1""),0)*100"),49.056603773584904)</f>
        <v>49.05660377</v>
      </c>
      <c r="AK52" s="28">
        <f t="shared" si="8"/>
        <v>84.71698113</v>
      </c>
      <c r="AL52" s="13"/>
      <c r="AM52" s="24">
        <f>(M52*0.25+U52*0.25+AC52*0.25+AK52*0.25-AL52)*0.5</f>
        <v>42.11078014</v>
      </c>
    </row>
    <row r="53">
      <c r="A53" s="9"/>
      <c r="B53" s="57" t="s">
        <v>131</v>
      </c>
      <c r="C53" s="26" t="s">
        <v>132</v>
      </c>
      <c r="D53" s="26" t="s">
        <v>133</v>
      </c>
      <c r="E53" s="26">
        <v>3.12510048E8</v>
      </c>
      <c r="F53" s="12">
        <v>1.0</v>
      </c>
      <c r="G53" s="13">
        <v>0.71</v>
      </c>
      <c r="H53" s="27">
        <f>IFERROR(__xludf.DUMMYFUNCTION("IF(F53=1, RANK(G53, FILTER($G$3:$G$65,$F$3:$F$65=1),0)/COUNTIF($F$3:$F$65,""=1""),0)*100"),40.0)</f>
        <v>40</v>
      </c>
      <c r="I53" s="13">
        <v>858.0</v>
      </c>
      <c r="J53" s="27">
        <f>IFERROR(__xludf.DUMMYFUNCTION("IF(F53=1, RANK(I53,FILTER($I$3:$I$65,$F$3:$F$65=1),0)/COUNTIF($F$3:$F$65,""=1""),0)*100"),72.72727272727273)</f>
        <v>72.72727273</v>
      </c>
      <c r="K53" s="27">
        <f t="shared" si="1"/>
        <v>2909.090909</v>
      </c>
      <c r="L53" s="27">
        <f>IFERROR(__xludf.DUMMYFUNCTION("IF(F53=1, RANK(K53,FILTER($K$3:$K$65,$F$3:$F$65=1),1)/COUNTIF($F$3:$F$65,""=1""),0)*100"),60.0)</f>
        <v>60</v>
      </c>
      <c r="M53" s="28">
        <f t="shared" si="2"/>
        <v>88</v>
      </c>
      <c r="N53" s="13">
        <v>1.0</v>
      </c>
      <c r="O53" s="13">
        <v>1.5</v>
      </c>
      <c r="P53" s="27">
        <f>IFERROR(__xludf.DUMMYFUNCTION("IF(N53=1, RANK(O53, FILTER($O$3:$O$65,$N$3:$N$65=1),0)/COUNTIF($N$3:$N$65,""=1""),0)*100"),42.857142857142854)</f>
        <v>42.85714286</v>
      </c>
      <c r="Q53" s="13">
        <v>3895.0</v>
      </c>
      <c r="R53" s="27">
        <f>IFERROR(__xludf.DUMMYFUNCTION("IF(N53=1, RANK(Q53, FILTER($Q$3:$Q$65,$N$3:$N$65=1),0)/COUNTIF($N$3:$N$65,""=1""),0)*100"),46.42857142857143)</f>
        <v>46.42857143</v>
      </c>
      <c r="S53" s="27">
        <f t="shared" si="3"/>
        <v>1989.795918</v>
      </c>
      <c r="T53" s="27">
        <f>IFERROR(__xludf.DUMMYFUNCTION("IF(N53=1, RANK(S53,FILTER($S$3:$S$65,$N$3:$N$65=1),1)/COUNTIF($N$3:$N$65,""=1""),0)*100"),42.857142857142854)</f>
        <v>42.85714286</v>
      </c>
      <c r="U53" s="28">
        <f t="shared" si="4"/>
        <v>82.85714286</v>
      </c>
      <c r="V53" s="12">
        <v>1.0</v>
      </c>
      <c r="W53" s="13">
        <v>16.52</v>
      </c>
      <c r="X53" s="27">
        <f>IFERROR(__xludf.DUMMYFUNCTION("IF(V53=1, RANK(W53, FILTER($W$3:$W$65,$V$3:$V$65=1),0)/COUNTIF($V$3:$V$65,""=1""),0)*100"),37.735849056603776)</f>
        <v>37.73584906</v>
      </c>
      <c r="Y53" s="13">
        <v>9048.0</v>
      </c>
      <c r="Z53" s="27">
        <f>IFERROR(__xludf.DUMMYFUNCTION("IF(V53=1, RANK(Y53, FILTER($Y$3:$Y$65,$V$3:$V$65=1),0)/COUNTIF($V$3:$V$65,""=1""),0)*100"),60.37735849056604)</f>
        <v>60.37735849</v>
      </c>
      <c r="AA53" s="27">
        <f t="shared" si="5"/>
        <v>2278.390886</v>
      </c>
      <c r="AB53" s="27">
        <f>IFERROR(__xludf.DUMMYFUNCTION("IF(V53=1, RANK(AA53,FILTER($AA$3:$AA$65,$V$3:$V$65=1),1)/COUNTIF($V$3:$V$65,""=1""),0)*100"),56.60377358490566)</f>
        <v>56.60377358</v>
      </c>
      <c r="AC53" s="28">
        <f t="shared" si="6"/>
        <v>86.98113208</v>
      </c>
      <c r="AD53" s="12">
        <v>1.0</v>
      </c>
      <c r="AE53" s="13">
        <v>149.61</v>
      </c>
      <c r="AF53" s="27">
        <f>IFERROR(__xludf.DUMMYFUNCTION("IF(AD53=1, RANK(AE53, FILTER($AE$3:$AE$65,$AD$3:$AD$65=1),0)/COUNTIF($AD$3:$AD$65,""=1""),0)*100"),26.41509433962264)</f>
        <v>26.41509434</v>
      </c>
      <c r="AG53" s="13">
        <v>9992.0</v>
      </c>
      <c r="AH53" s="27">
        <f>IFERROR(__xludf.DUMMYFUNCTION("IF(AD53=1, RANK(AG53, FILTER($AG$3:$AG$65,$AD$3:$AD$65=1),0)/COUNTIF($AD$3:$AD$65,""=1""),0)*100"),79.24528301886792)</f>
        <v>79.24528302</v>
      </c>
      <c r="AI53" s="27">
        <f t="shared" si="7"/>
        <v>2093.271627</v>
      </c>
      <c r="AJ53" s="27">
        <f>IFERROR(__xludf.DUMMYFUNCTION("IF(AD53=1, RANK(AI53,FILTER($AI$3:$AI$65,$AD$3:$AD$65=1),1)/COUNTIF($AD$3:$AD$65,""=1""),0)*100"),54.71698113207547)</f>
        <v>54.71698113</v>
      </c>
      <c r="AK53" s="28">
        <f t="shared" si="8"/>
        <v>86.41509434</v>
      </c>
      <c r="AL53" s="13">
        <v>5.0</v>
      </c>
      <c r="AM53" s="24">
        <f t="shared" ref="AM53:AM66" si="11">M53*0.25+U53*0.25+AC53*0.25+AK53*0.25-AL53</f>
        <v>81.06334232</v>
      </c>
    </row>
    <row r="54">
      <c r="A54" s="9"/>
      <c r="B54" s="58"/>
      <c r="C54" s="26" t="s">
        <v>134</v>
      </c>
      <c r="D54" s="26" t="s">
        <v>135</v>
      </c>
      <c r="E54" s="26">
        <v>3.12510144E8</v>
      </c>
      <c r="F54" s="12">
        <v>1.0</v>
      </c>
      <c r="G54" s="13">
        <v>0.21</v>
      </c>
      <c r="H54" s="27">
        <f>IFERROR(__xludf.DUMMYFUNCTION("IF(F54=1, RANK(G54, FILTER($G$3:$G$65,$F$3:$F$65=1),0)/COUNTIF($F$3:$F$65,""=1""),0)*100"),56.36363636363636)</f>
        <v>56.36363636</v>
      </c>
      <c r="I54" s="13">
        <v>309.0</v>
      </c>
      <c r="J54" s="27">
        <f>IFERROR(__xludf.DUMMYFUNCTION("IF(F54=1, RANK(I54,FILTER($I$3:$I$65,$F$3:$F$65=1),0)/COUNTIF($F$3:$F$65,""=1""),0)*100"),100.0)</f>
        <v>100</v>
      </c>
      <c r="K54" s="27">
        <f t="shared" si="1"/>
        <v>5636.363636</v>
      </c>
      <c r="L54" s="27">
        <f>IFERROR(__xludf.DUMMYFUNCTION("IF(F54=1, RANK(K54,FILTER($K$3:$K$65,$F$3:$F$65=1),1)/COUNTIF($F$3:$F$65,""=1""),0)*100"),90.9090909090909)</f>
        <v>90.90909091</v>
      </c>
      <c r="M54" s="28">
        <f t="shared" si="2"/>
        <v>97.27272727</v>
      </c>
      <c r="N54" s="13">
        <v>1.0</v>
      </c>
      <c r="O54" s="13">
        <v>0.66</v>
      </c>
      <c r="P54" s="27">
        <f>IFERROR(__xludf.DUMMYFUNCTION("IF(N54=1, RANK(O54, FILTER($O$3:$O$65,$N$3:$N$65=1),0)/COUNTIF($N$3:$N$65,""=1""),0)*100"),57.14285714285714)</f>
        <v>57.14285714</v>
      </c>
      <c r="Q54" s="13">
        <v>2098.0</v>
      </c>
      <c r="R54" s="27">
        <f>IFERROR(__xludf.DUMMYFUNCTION("IF(N54=1, RANK(Q54, FILTER($Q$3:$Q$65,$N$3:$N$65=1),0)/COUNTIF($N$3:$N$65,""=1""),0)*100"),98.21428571428571)</f>
        <v>98.21428571</v>
      </c>
      <c r="S54" s="27">
        <f t="shared" si="3"/>
        <v>5612.244898</v>
      </c>
      <c r="T54" s="27">
        <f>IFERROR(__xludf.DUMMYFUNCTION("IF(N54=1, RANK(S54,FILTER($S$3:$S$65,$N$3:$N$65=1),1)/COUNTIF($N$3:$N$65,""=1""),0)*100"),92.85714285714286)</f>
        <v>92.85714286</v>
      </c>
      <c r="U54" s="28">
        <f t="shared" si="4"/>
        <v>97.85714286</v>
      </c>
      <c r="V54" s="12">
        <v>1.0</v>
      </c>
      <c r="W54" s="13">
        <v>17.97</v>
      </c>
      <c r="X54" s="27">
        <f>IFERROR(__xludf.DUMMYFUNCTION("IF(V54=1, RANK(W54, FILTER($W$3:$W$65,$V$3:$V$65=1),0)/COUNTIF($V$3:$V$65,""=1""),0)*100"),30.18867924528302)</f>
        <v>30.18867925</v>
      </c>
      <c r="Y54" s="13">
        <v>2996.0</v>
      </c>
      <c r="Z54" s="27">
        <f>IFERROR(__xludf.DUMMYFUNCTION("IF(V54=1, RANK(Y54, FILTER($Y$3:$Y$65,$V$3:$V$65=1),0)/COUNTIF($V$3:$V$65,""=1""),0)*100"),84.90566037735849)</f>
        <v>84.90566038</v>
      </c>
      <c r="AA54" s="27">
        <f t="shared" si="5"/>
        <v>2563.189747</v>
      </c>
      <c r="AB54" s="27">
        <f>IFERROR(__xludf.DUMMYFUNCTION("IF(V54=1, RANK(AA54,FILTER($AA$3:$AA$65,$V$3:$V$65=1),1)/COUNTIF($V$3:$V$65,""=1""),0)*100"),62.264150943396224)</f>
        <v>62.26415094</v>
      </c>
      <c r="AC54" s="28">
        <f t="shared" si="6"/>
        <v>88.67924528</v>
      </c>
      <c r="AD54" s="12">
        <v>1.0</v>
      </c>
      <c r="AE54" s="13">
        <v>310.99</v>
      </c>
      <c r="AF54" s="27">
        <f>IFERROR(__xludf.DUMMYFUNCTION("IF(AD54=1, RANK(AE54, FILTER($AE$3:$AE$65,$AD$3:$AD$65=1),0)/COUNTIF($AD$3:$AD$65,""=1""),0)*100"),13.20754716981132)</f>
        <v>13.20754717</v>
      </c>
      <c r="AG54" s="13">
        <v>14124.0</v>
      </c>
      <c r="AH54" s="27">
        <f>IFERROR(__xludf.DUMMYFUNCTION("IF(AD54=1, RANK(AG54, FILTER($AG$3:$AG$65,$AD$3:$AD$65=1),0)/COUNTIF($AD$3:$AD$65,""=1""),0)*100"),60.37735849056604)</f>
        <v>60.37735849</v>
      </c>
      <c r="AI54" s="27">
        <f t="shared" si="7"/>
        <v>797.4368103</v>
      </c>
      <c r="AJ54" s="27">
        <f>IFERROR(__xludf.DUMMYFUNCTION("IF(AD54=1, RANK(AI54,FILTER($AI$3:$AI$65,$AD$3:$AD$65=1),1)/COUNTIF($AD$3:$AD$65,""=1""),0)*100"),28.30188679245283)</f>
        <v>28.30188679</v>
      </c>
      <c r="AK54" s="28">
        <f t="shared" si="8"/>
        <v>78.49056604</v>
      </c>
      <c r="AL54" s="27"/>
      <c r="AM54" s="24">
        <f t="shared" si="11"/>
        <v>90.57492036</v>
      </c>
    </row>
    <row r="55">
      <c r="A55" s="9"/>
      <c r="B55" s="58"/>
      <c r="C55" s="26" t="s">
        <v>136</v>
      </c>
      <c r="D55" s="26" t="s">
        <v>137</v>
      </c>
      <c r="E55" s="26">
        <v>3.12510146E8</v>
      </c>
      <c r="F55" s="12">
        <v>1.0</v>
      </c>
      <c r="G55" s="13">
        <v>0.03</v>
      </c>
      <c r="H55" s="27">
        <f>IFERROR(__xludf.DUMMYFUNCTION("IF(F55=1, RANK(G55, FILTER($G$3:$G$65,$F$3:$F$65=1),0)/COUNTIF($F$3:$F$65,""=1""),0)*100"),96.36363636363636)</f>
        <v>96.36363636</v>
      </c>
      <c r="I55" s="13">
        <v>1052.0</v>
      </c>
      <c r="J55" s="27">
        <f>IFERROR(__xludf.DUMMYFUNCTION("IF(F55=1, RANK(I55,FILTER($I$3:$I$65,$F$3:$F$65=1),0)/COUNTIF($F$3:$F$65,""=1""),0)*100"),60.0)</f>
        <v>60</v>
      </c>
      <c r="K55" s="27">
        <f t="shared" si="1"/>
        <v>5781.818182</v>
      </c>
      <c r="L55" s="27">
        <f>IFERROR(__xludf.DUMMYFUNCTION("IF(F55=1, RANK(K55,FILTER($K$3:$K$65,$F$3:$F$65=1),1)/COUNTIF($F$3:$F$65,""=1""),0)*100"),94.54545454545455)</f>
        <v>94.54545455</v>
      </c>
      <c r="M55" s="28">
        <f t="shared" si="2"/>
        <v>98.36363636</v>
      </c>
      <c r="N55" s="13">
        <v>1.0</v>
      </c>
      <c r="O55" s="13">
        <v>0.67</v>
      </c>
      <c r="P55" s="27">
        <f>IFERROR(__xludf.DUMMYFUNCTION("IF(N55=1, RANK(O55, FILTER($O$3:$O$65,$N$3:$N$65=1),0)/COUNTIF($N$3:$N$65,""=1""),0)*100"),55.35714285714286)</f>
        <v>55.35714286</v>
      </c>
      <c r="Q55" s="13">
        <v>3594.0</v>
      </c>
      <c r="R55" s="27">
        <f>IFERROR(__xludf.DUMMYFUNCTION("IF(N55=1, RANK(Q55, FILTER($Q$3:$Q$65,$N$3:$N$65=1),0)/COUNTIF($N$3:$N$65,""=1""),0)*100"),50.0)</f>
        <v>50</v>
      </c>
      <c r="S55" s="27">
        <f t="shared" si="3"/>
        <v>2767.857143</v>
      </c>
      <c r="T55" s="27">
        <f>IFERROR(__xludf.DUMMYFUNCTION("IF(N55=1, RANK(S55,FILTER($S$3:$S$65,$N$3:$N$65=1),1)/COUNTIF($N$3:$N$65,""=1""),0)*100"),58.92857142857143)</f>
        <v>58.92857143</v>
      </c>
      <c r="U55" s="28">
        <f t="shared" si="4"/>
        <v>87.67857143</v>
      </c>
      <c r="V55" s="12">
        <v>1.0</v>
      </c>
      <c r="W55" s="13">
        <v>2.16</v>
      </c>
      <c r="X55" s="27">
        <f>IFERROR(__xludf.DUMMYFUNCTION("IF(V55=1, RANK(W55, FILTER($W$3:$W$65,$V$3:$V$65=1),0)/COUNTIF($V$3:$V$65,""=1""),0)*100"),84.90566037735849)</f>
        <v>84.90566038</v>
      </c>
      <c r="Y55" s="13">
        <v>4814.0</v>
      </c>
      <c r="Z55" s="27">
        <f>IFERROR(__xludf.DUMMYFUNCTION("IF(V55=1, RANK(Y55, FILTER($Y$3:$Y$65,$V$3:$V$65=1),0)/COUNTIF($V$3:$V$65,""=1""),0)*100"),73.58490566037736)</f>
        <v>73.58490566</v>
      </c>
      <c r="AA55" s="27">
        <f t="shared" si="5"/>
        <v>6247.775009</v>
      </c>
      <c r="AB55" s="27">
        <f>IFERROR(__xludf.DUMMYFUNCTION("IF(V55=1, RANK(AA55,FILTER($AA$3:$AA$65,$V$3:$V$65=1),1)/COUNTIF($V$3:$V$65,""=1""),0)*100"),94.33962264150944)</f>
        <v>94.33962264</v>
      </c>
      <c r="AC55" s="28">
        <f t="shared" si="6"/>
        <v>98.30188679</v>
      </c>
      <c r="AD55" s="12">
        <v>1.0</v>
      </c>
      <c r="AE55" s="13">
        <v>2.16</v>
      </c>
      <c r="AF55" s="27">
        <f>IFERROR(__xludf.DUMMYFUNCTION("IF(AD55=1, RANK(AE55, FILTER($AE$3:$AE$65,$AD$3:$AD$65=1),0)/COUNTIF($AD$3:$AD$65,""=1""),0)*100"),98.11320754716981)</f>
        <v>98.11320755</v>
      </c>
      <c r="AG55" s="13">
        <v>26181.0</v>
      </c>
      <c r="AH55" s="27">
        <f>IFERROR(__xludf.DUMMYFUNCTION("IF(AD55=1, RANK(AG55, FILTER($AG$3:$AG$65,$AD$3:$AD$65=1),0)/COUNTIF($AD$3:$AD$65,""=1""),0)*100"),30.18867924528302)</f>
        <v>30.18867925</v>
      </c>
      <c r="AI55" s="27">
        <f t="shared" si="7"/>
        <v>2961.908152</v>
      </c>
      <c r="AJ55" s="27">
        <f>IFERROR(__xludf.DUMMYFUNCTION("IF(AD55=1, RANK(AI55,FILTER($AI$3:$AI$65,$AD$3:$AD$65=1),1)/COUNTIF($AD$3:$AD$65,""=1""),0)*100"),62.264150943396224)</f>
        <v>62.26415094</v>
      </c>
      <c r="AK55" s="28">
        <f t="shared" si="8"/>
        <v>88.67924528</v>
      </c>
      <c r="AL55" s="27"/>
      <c r="AM55" s="24">
        <f t="shared" si="11"/>
        <v>93.25583497</v>
      </c>
    </row>
    <row r="56">
      <c r="A56" s="9"/>
      <c r="B56" s="58"/>
      <c r="C56" s="26" t="s">
        <v>138</v>
      </c>
      <c r="D56" s="26" t="s">
        <v>139</v>
      </c>
      <c r="E56" s="26">
        <v>3.12510151E8</v>
      </c>
      <c r="F56" s="12">
        <v>1.0</v>
      </c>
      <c r="G56" s="13">
        <v>0.39</v>
      </c>
      <c r="H56" s="27">
        <f>IFERROR(__xludf.DUMMYFUNCTION("IF(F56=1, RANK(G56, FILTER($G$3:$G$65,$F$3:$F$65=1),0)/COUNTIF($F$3:$F$65,""=1""),0)*100"),47.27272727272727)</f>
        <v>47.27272727</v>
      </c>
      <c r="I56" s="13">
        <v>786.0</v>
      </c>
      <c r="J56" s="27">
        <f>IFERROR(__xludf.DUMMYFUNCTION("IF(F56=1, RANK(I56,FILTER($I$3:$I$65,$F$3:$F$65=1),0)/COUNTIF($F$3:$F$65,""=1""),0)*100"),78.18181818181819)</f>
        <v>78.18181818</v>
      </c>
      <c r="K56" s="27">
        <f t="shared" si="1"/>
        <v>3695.867769</v>
      </c>
      <c r="L56" s="27">
        <f>IFERROR(__xludf.DUMMYFUNCTION("IF(F56=1, RANK(K56,FILTER($K$3:$K$65,$F$3:$F$65=1),1)/COUNTIF($F$3:$F$65,""=1""),0)*100"),69.0909090909091)</f>
        <v>69.09090909</v>
      </c>
      <c r="M56" s="28">
        <f t="shared" si="2"/>
        <v>90.72727273</v>
      </c>
      <c r="N56" s="13">
        <v>1.0</v>
      </c>
      <c r="O56" s="13">
        <v>0.57</v>
      </c>
      <c r="P56" s="27">
        <f>IFERROR(__xludf.DUMMYFUNCTION("IF(N56=1, RANK(O56, FILTER($O$3:$O$65,$N$3:$N$65=1),0)/COUNTIF($N$3:$N$65,""=1""),0)*100"),64.28571428571429)</f>
        <v>64.28571429</v>
      </c>
      <c r="Q56" s="13">
        <v>2365.0</v>
      </c>
      <c r="R56" s="27">
        <f>IFERROR(__xludf.DUMMYFUNCTION("IF(N56=1, RANK(Q56, FILTER($Q$3:$Q$65,$N$3:$N$65=1),0)/COUNTIF($N$3:$N$65,""=1""),0)*100"),92.85714285714286)</f>
        <v>92.85714286</v>
      </c>
      <c r="S56" s="27">
        <f t="shared" si="3"/>
        <v>5969.387755</v>
      </c>
      <c r="T56" s="27">
        <f>IFERROR(__xludf.DUMMYFUNCTION("IF(N56=1, RANK(S56,FILTER($S$3:$S$65,$N$3:$N$65=1),1)/COUNTIF($N$3:$N$65,""=1""),0)*100"),96.42857142857143)</f>
        <v>96.42857143</v>
      </c>
      <c r="U56" s="28">
        <f t="shared" si="4"/>
        <v>98.92857143</v>
      </c>
      <c r="V56" s="12">
        <v>1.0</v>
      </c>
      <c r="W56" s="13">
        <v>83.12</v>
      </c>
      <c r="X56" s="27">
        <f>IFERROR(__xludf.DUMMYFUNCTION("IF(V56=1, RANK(W56, FILTER($W$3:$W$65,$V$3:$V$65=1),0)/COUNTIF($V$3:$V$65,""=1""),0)*100"),15.09433962264151)</f>
        <v>15.09433962</v>
      </c>
      <c r="Y56" s="13">
        <v>3883.0</v>
      </c>
      <c r="Z56" s="27">
        <f>IFERROR(__xludf.DUMMYFUNCTION("IF(V56=1, RANK(Y56, FILTER($Y$3:$Y$65,$V$3:$V$65=1),0)/COUNTIF($V$3:$V$65,""=1""),0)*100"),77.35849056603774)</f>
        <v>77.35849057</v>
      </c>
      <c r="AA56" s="27">
        <f t="shared" si="5"/>
        <v>1167.675329</v>
      </c>
      <c r="AB56" s="27">
        <f>IFERROR(__xludf.DUMMYFUNCTION("IF(V56=1, RANK(AA56,FILTER($AA$3:$AA$65,$V$3:$V$65=1),1)/COUNTIF($V$3:$V$65,""=1""),0)*100"),30.18867924528302)</f>
        <v>30.18867925</v>
      </c>
      <c r="AC56" s="28">
        <f t="shared" si="6"/>
        <v>79.05660377</v>
      </c>
      <c r="AD56" s="12">
        <v>1.0</v>
      </c>
      <c r="AE56" s="13">
        <v>173.6</v>
      </c>
      <c r="AF56" s="27">
        <f>IFERROR(__xludf.DUMMYFUNCTION("IF(AD56=1, RANK(AE56, FILTER($AE$3:$AE$65,$AD$3:$AD$65=1),0)/COUNTIF($AD$3:$AD$65,""=1""),0)*100"),22.641509433962266)</f>
        <v>22.64150943</v>
      </c>
      <c r="AG56" s="13">
        <v>24070.0</v>
      </c>
      <c r="AH56" s="27">
        <f>IFERROR(__xludf.DUMMYFUNCTION("IF(AD56=1, RANK(AG56, FILTER($AG$3:$AG$65,$AD$3:$AD$65=1),0)/COUNTIF($AD$3:$AD$65,""=1""),0)*100"),33.9622641509434)</f>
        <v>33.96226415</v>
      </c>
      <c r="AI56" s="27">
        <f t="shared" si="7"/>
        <v>768.9569242</v>
      </c>
      <c r="AJ56" s="27">
        <f>IFERROR(__xludf.DUMMYFUNCTION("IF(AD56=1, RANK(AI56,FILTER($AI$3:$AI$65,$AD$3:$AD$65=1),1)/COUNTIF($AD$3:$AD$65,""=1""),0)*100"),26.41509433962264)</f>
        <v>26.41509434</v>
      </c>
      <c r="AK56" s="28">
        <f t="shared" si="8"/>
        <v>77.9245283</v>
      </c>
      <c r="AL56" s="27"/>
      <c r="AM56" s="24">
        <f t="shared" si="11"/>
        <v>86.65924406</v>
      </c>
    </row>
    <row r="57">
      <c r="A57" s="9"/>
      <c r="B57" s="58"/>
      <c r="C57" s="26" t="s">
        <v>140</v>
      </c>
      <c r="D57" s="26" t="s">
        <v>141</v>
      </c>
      <c r="E57" s="26">
        <v>3.12510217E8</v>
      </c>
      <c r="F57" s="12">
        <v>1.0</v>
      </c>
      <c r="G57" s="13">
        <v>0.14</v>
      </c>
      <c r="H57" s="27">
        <f>IFERROR(__xludf.DUMMYFUNCTION("IF(F57=1, RANK(G57, FILTER($G$3:$G$65,$F$3:$F$65=1),0)/COUNTIF($F$3:$F$65,""=1""),0)*100"),63.63636363636363)</f>
        <v>63.63636364</v>
      </c>
      <c r="I57" s="13">
        <v>1825.0</v>
      </c>
      <c r="J57" s="27">
        <f>IFERROR(__xludf.DUMMYFUNCTION("IF(F57=1, RANK(I57,FILTER($I$3:$I$65,$F$3:$F$65=1),0)/COUNTIF($F$3:$F$65,""=1""),0)*100"),30.909090909090907)</f>
        <v>30.90909091</v>
      </c>
      <c r="K57" s="27">
        <f t="shared" si="1"/>
        <v>1966.942149</v>
      </c>
      <c r="L57" s="27">
        <f>IFERROR(__xludf.DUMMYFUNCTION("IF(F57=1, RANK(K57,FILTER($K$3:$K$65,$F$3:$F$65=1),1)/COUNTIF($F$3:$F$65,""=1""),0)*100"),43.63636363636363)</f>
        <v>43.63636364</v>
      </c>
      <c r="M57" s="28">
        <f t="shared" si="2"/>
        <v>83.09090909</v>
      </c>
      <c r="N57" s="13">
        <v>1.0</v>
      </c>
      <c r="O57" s="13">
        <v>0.3</v>
      </c>
      <c r="P57" s="27">
        <f>IFERROR(__xludf.DUMMYFUNCTION("IF(N57=1, RANK(O57, FILTER($O$3:$O$65,$N$3:$N$65=1),0)/COUNTIF($N$3:$N$65,""=1""),0)*100"),80.35714285714286)</f>
        <v>80.35714286</v>
      </c>
      <c r="Q57" s="13">
        <v>4764.0</v>
      </c>
      <c r="R57" s="27">
        <f>IFERROR(__xludf.DUMMYFUNCTION("IF(N57=1, RANK(Q57, FILTER($Q$3:$Q$65,$N$3:$N$65=1),0)/COUNTIF($N$3:$N$65,""=1""),0)*100"),37.5)</f>
        <v>37.5</v>
      </c>
      <c r="S57" s="27">
        <f t="shared" si="3"/>
        <v>3013.392857</v>
      </c>
      <c r="T57" s="27">
        <f>IFERROR(__xludf.DUMMYFUNCTION("IF(N57=1, RANK(S57,FILTER($S$3:$S$65,$N$3:$N$65=1),1)/COUNTIF($N$3:$N$65,""=1""),0)*100"),62.5)</f>
        <v>62.5</v>
      </c>
      <c r="U57" s="28">
        <f t="shared" si="4"/>
        <v>88.75</v>
      </c>
      <c r="V57" s="12">
        <v>1.0</v>
      </c>
      <c r="W57" s="13">
        <v>5.42</v>
      </c>
      <c r="X57" s="27">
        <f>IFERROR(__xludf.DUMMYFUNCTION("IF(V57=1, RANK(W57, FILTER($W$3:$W$65,$V$3:$V$65=1),0)/COUNTIF($V$3:$V$65,""=1""),0)*100"),60.37735849056604)</f>
        <v>60.37735849</v>
      </c>
      <c r="Y57" s="13">
        <v>15071.0</v>
      </c>
      <c r="Z57" s="27">
        <f>IFERROR(__xludf.DUMMYFUNCTION("IF(V57=1, RANK(Y57, FILTER($Y$3:$Y$65,$V$3:$V$65=1),0)/COUNTIF($V$3:$V$65,""=1""),0)*100"),30.18867924528302)</f>
        <v>30.18867925</v>
      </c>
      <c r="AA57" s="27">
        <f t="shared" si="5"/>
        <v>1822.712709</v>
      </c>
      <c r="AB57" s="27">
        <f>IFERROR(__xludf.DUMMYFUNCTION("IF(V57=1, RANK(AA57,FILTER($AA$3:$AA$65,$V$3:$V$65=1),1)/COUNTIF($V$3:$V$65,""=1""),0)*100"),43.39622641509434)</f>
        <v>43.39622642</v>
      </c>
      <c r="AC57" s="28">
        <f t="shared" si="6"/>
        <v>83.01886792</v>
      </c>
      <c r="AD57" s="12">
        <v>1.0</v>
      </c>
      <c r="AE57" s="13">
        <v>72.95</v>
      </c>
      <c r="AF57" s="27">
        <f>IFERROR(__xludf.DUMMYFUNCTION("IF(AD57=1, RANK(AE57, FILTER($AE$3:$AE$65,$AD$3:$AD$65=1),0)/COUNTIF($AD$3:$AD$65,""=1""),0)*100"),35.84905660377358)</f>
        <v>35.8490566</v>
      </c>
      <c r="AG57" s="13">
        <v>29011.0</v>
      </c>
      <c r="AH57" s="27">
        <f>IFERROR(__xludf.DUMMYFUNCTION("IF(AD57=1, RANK(AG57, FILTER($AG$3:$AG$65,$AD$3:$AD$65=1),0)/COUNTIF($AD$3:$AD$65,""=1""),0)*100"),24.528301886792452)</f>
        <v>24.52830189</v>
      </c>
      <c r="AI57" s="27">
        <f t="shared" si="7"/>
        <v>879.3164827</v>
      </c>
      <c r="AJ57" s="27">
        <f>IFERROR(__xludf.DUMMYFUNCTION("IF(AD57=1, RANK(AI57,FILTER($AI$3:$AI$65,$AD$3:$AD$65=1),1)/COUNTIF($AD$3:$AD$65,""=1""),0)*100"),30.18867924528302)</f>
        <v>30.18867925</v>
      </c>
      <c r="AK57" s="28">
        <f t="shared" si="8"/>
        <v>79.05660377</v>
      </c>
      <c r="AL57" s="27"/>
      <c r="AM57" s="24">
        <f t="shared" si="11"/>
        <v>83.4790952</v>
      </c>
    </row>
    <row r="58">
      <c r="A58" s="9"/>
      <c r="B58" s="58"/>
      <c r="C58" s="26" t="s">
        <v>142</v>
      </c>
      <c r="D58" s="26" t="s">
        <v>143</v>
      </c>
      <c r="E58" s="26">
        <v>3.12510224E8</v>
      </c>
      <c r="F58" s="12">
        <v>1.0</v>
      </c>
      <c r="G58" s="13">
        <v>0.13</v>
      </c>
      <c r="H58" s="27">
        <f>IFERROR(__xludf.DUMMYFUNCTION("IF(F58=1, RANK(G58, FILTER($G$3:$G$65,$F$3:$F$65=1),0)/COUNTIF($F$3:$F$65,""=1""),0)*100"),67.27272727272727)</f>
        <v>67.27272727</v>
      </c>
      <c r="I58" s="13">
        <v>726.0</v>
      </c>
      <c r="J58" s="27">
        <f>IFERROR(__xludf.DUMMYFUNCTION("IF(F58=1, RANK(I58,FILTER($I$3:$I$65,$F$3:$F$65=1),0)/COUNTIF($F$3:$F$65,""=1""),0)*100"),83.63636363636363)</f>
        <v>83.63636364</v>
      </c>
      <c r="K58" s="27">
        <f t="shared" si="1"/>
        <v>5626.446281</v>
      </c>
      <c r="L58" s="27">
        <f>IFERROR(__xludf.DUMMYFUNCTION("IF(F58=1, RANK(K58,FILTER($K$3:$K$65,$F$3:$F$65=1),1)/COUNTIF($F$3:$F$65,""=1""),0)*100"),89.0909090909091)</f>
        <v>89.09090909</v>
      </c>
      <c r="M58" s="28">
        <f t="shared" si="2"/>
        <v>96.72727273</v>
      </c>
      <c r="N58" s="13">
        <v>1.0</v>
      </c>
      <c r="O58" s="13">
        <v>0.62</v>
      </c>
      <c r="P58" s="27">
        <f>IFERROR(__xludf.DUMMYFUNCTION("IF(N58=1, RANK(O58, FILTER($O$3:$O$65,$N$3:$N$65=1),0)/COUNTIF($N$3:$N$65,""=1""),0)*100"),60.71428571428571)</f>
        <v>60.71428571</v>
      </c>
      <c r="Q58" s="13">
        <v>2480.0</v>
      </c>
      <c r="R58" s="27">
        <f>IFERROR(__xludf.DUMMYFUNCTION("IF(N58=1, RANK(Q58, FILTER($Q$3:$Q$65,$N$3:$N$65=1),0)/COUNTIF($N$3:$N$65,""=1""),0)*100"),85.71428571428571)</f>
        <v>85.71428571</v>
      </c>
      <c r="S58" s="27">
        <f t="shared" si="3"/>
        <v>5204.081633</v>
      </c>
      <c r="T58" s="27">
        <f>IFERROR(__xludf.DUMMYFUNCTION("IF(N58=1, RANK(S58,FILTER($S$3:$S$65,$N$3:$N$65=1),1)/COUNTIF($N$3:$N$65,""=1""),0)*100"),89.28571428571429)</f>
        <v>89.28571429</v>
      </c>
      <c r="U58" s="28">
        <f t="shared" si="4"/>
        <v>96.78571429</v>
      </c>
      <c r="V58" s="12">
        <v>1.0</v>
      </c>
      <c r="W58" s="13">
        <v>4.53</v>
      </c>
      <c r="X58" s="27">
        <f>IFERROR(__xludf.DUMMYFUNCTION("IF(V58=1, RANK(W58, FILTER($W$3:$W$65,$V$3:$V$65=1),0)/COUNTIF($V$3:$V$65,""=1""),0)*100"),62.264150943396224)</f>
        <v>62.26415094</v>
      </c>
      <c r="Y58" s="13">
        <v>1302.0</v>
      </c>
      <c r="Z58" s="27">
        <f>IFERROR(__xludf.DUMMYFUNCTION("IF(V58=1, RANK(Y58, FILTER($Y$3:$Y$65,$V$3:$V$65=1),0)/COUNTIF($V$3:$V$65,""=1""),0)*100"),96.22641509433963)</f>
        <v>96.22641509</v>
      </c>
      <c r="AA58" s="27">
        <f t="shared" si="5"/>
        <v>5991.456034</v>
      </c>
      <c r="AB58" s="27">
        <f>IFERROR(__xludf.DUMMYFUNCTION("IF(V58=1, RANK(AA58,FILTER($AA$3:$AA$65,$V$3:$V$65=1),1)/COUNTIF($V$3:$V$65,""=1""),0)*100"),92.45283018867924)</f>
        <v>92.45283019</v>
      </c>
      <c r="AC58" s="28">
        <f t="shared" si="6"/>
        <v>97.73584906</v>
      </c>
      <c r="AD58" s="12">
        <v>1.0</v>
      </c>
      <c r="AE58" s="13">
        <v>34.37</v>
      </c>
      <c r="AF58" s="27">
        <f>IFERROR(__xludf.DUMMYFUNCTION("IF(AD58=1, RANK(AE58, FILTER($AE$3:$AE$65,$AD$3:$AD$65=1),0)/COUNTIF($AD$3:$AD$65,""=1""),0)*100"),50.943396226415096)</f>
        <v>50.94339623</v>
      </c>
      <c r="AG58" s="13">
        <v>4814.0</v>
      </c>
      <c r="AH58" s="27">
        <f>IFERROR(__xludf.DUMMYFUNCTION("IF(AD58=1, RANK(AG58, FILTER($AG$3:$AG$65,$AD$3:$AD$65=1),0)/COUNTIF($AD$3:$AD$65,""=1""),0)*100"),98.11320754716981)</f>
        <v>98.11320755</v>
      </c>
      <c r="AI58" s="27">
        <f t="shared" si="7"/>
        <v>4998.220007</v>
      </c>
      <c r="AJ58" s="27">
        <f>IFERROR(__xludf.DUMMYFUNCTION("IF(AD58=1, RANK(AI58,FILTER($AI$3:$AI$65,$AD$3:$AD$65=1),1)/COUNTIF($AD$3:$AD$65,""=1""),0)*100"),83.01886792452831)</f>
        <v>83.01886792</v>
      </c>
      <c r="AK58" s="28">
        <f t="shared" si="8"/>
        <v>94.90566038</v>
      </c>
      <c r="AL58" s="27"/>
      <c r="AM58" s="24">
        <f t="shared" si="11"/>
        <v>96.53862411</v>
      </c>
    </row>
    <row r="59">
      <c r="A59" s="9"/>
      <c r="B59" s="58"/>
      <c r="C59" s="26" t="s">
        <v>144</v>
      </c>
      <c r="D59" s="26" t="s">
        <v>145</v>
      </c>
      <c r="E59" s="26">
        <v>3.12510239E8</v>
      </c>
      <c r="F59" s="12">
        <v>1.0</v>
      </c>
      <c r="G59" s="13">
        <v>0.09</v>
      </c>
      <c r="H59" s="27">
        <f>IFERROR(__xludf.DUMMYFUNCTION("IF(F59=1, RANK(G59, FILTER($G$3:$G$65,$F$3:$F$65=1),0)/COUNTIF($F$3:$F$65,""=1""),0)*100"),85.45454545454545)</f>
        <v>85.45454545</v>
      </c>
      <c r="I59" s="13">
        <v>1417.0</v>
      </c>
      <c r="J59" s="27">
        <f>IFERROR(__xludf.DUMMYFUNCTION("IF(F59=1, RANK(I59,FILTER($I$3:$I$65,$F$3:$F$65=1),0)/COUNTIF($F$3:$F$65,""=1""),0)*100"),40.0)</f>
        <v>40</v>
      </c>
      <c r="K59" s="27">
        <f t="shared" si="1"/>
        <v>3418.181818</v>
      </c>
      <c r="L59" s="27">
        <f>IFERROR(__xludf.DUMMYFUNCTION("IF(F59=1, RANK(K59,FILTER($K$3:$K$65,$F$3:$F$65=1),1)/COUNTIF($F$3:$F$65,""=1""),0)*100"),65.45454545454545)</f>
        <v>65.45454545</v>
      </c>
      <c r="M59" s="28">
        <f t="shared" si="2"/>
        <v>89.63636364</v>
      </c>
      <c r="N59" s="13">
        <v>1.0</v>
      </c>
      <c r="O59" s="13">
        <v>0.33</v>
      </c>
      <c r="P59" s="27">
        <f>IFERROR(__xludf.DUMMYFUNCTION("IF(N59=1, RANK(O59, FILTER($O$3:$O$65,$N$3:$N$65=1),0)/COUNTIF($N$3:$N$65,""=1""),0)*100"),78.57142857142857)</f>
        <v>78.57142857</v>
      </c>
      <c r="Q59" s="13">
        <v>3384.0</v>
      </c>
      <c r="R59" s="27">
        <f>IFERROR(__xludf.DUMMYFUNCTION("IF(N59=1, RANK(Q59, FILTER($Q$3:$Q$65,$N$3:$N$65=1),0)/COUNTIF($N$3:$N$65,""=1""),0)*100"),57.14285714285714)</f>
        <v>57.14285714</v>
      </c>
      <c r="S59" s="27">
        <f t="shared" si="3"/>
        <v>4489.795918</v>
      </c>
      <c r="T59" s="27">
        <f>IFERROR(__xludf.DUMMYFUNCTION("IF(N59=1, RANK(S59,FILTER($S$3:$S$65,$N$3:$N$65=1),1)/COUNTIF($N$3:$N$65,""=1""),0)*100"),82.14285714285714)</f>
        <v>82.14285714</v>
      </c>
      <c r="U59" s="28">
        <f t="shared" si="4"/>
        <v>94.64285714</v>
      </c>
      <c r="V59" s="12">
        <v>1.0</v>
      </c>
      <c r="W59" s="13">
        <v>21.76</v>
      </c>
      <c r="X59" s="27">
        <f>IFERROR(__xludf.DUMMYFUNCTION("IF(V59=1, RANK(W59, FILTER($W$3:$W$65,$V$3:$V$65=1),0)/COUNTIF($V$3:$V$65,""=1""),0)*100"),28.30188679245283)</f>
        <v>28.30188679</v>
      </c>
      <c r="Y59" s="13">
        <v>7561.0</v>
      </c>
      <c r="Z59" s="27">
        <f>IFERROR(__xludf.DUMMYFUNCTION("IF(V59=1, RANK(Y59, FILTER($Y$3:$Y$65,$V$3:$V$65=1),0)/COUNTIF($V$3:$V$65,""=1""),0)*100"),64.15094339622641)</f>
        <v>64.1509434</v>
      </c>
      <c r="AA59" s="27">
        <f t="shared" si="5"/>
        <v>1815.592738</v>
      </c>
      <c r="AB59" s="27">
        <f>IFERROR(__xludf.DUMMYFUNCTION("IF(V59=1, RANK(AA59,FILTER($AA$3:$AA$65,$V$3:$V$65=1),1)/COUNTIF($V$3:$V$65,""=1""),0)*100"),41.509433962264154)</f>
        <v>41.50943396</v>
      </c>
      <c r="AC59" s="28">
        <f t="shared" si="6"/>
        <v>82.45283019</v>
      </c>
      <c r="AD59" s="12">
        <v>1.0</v>
      </c>
      <c r="AE59" s="13">
        <v>292.49</v>
      </c>
      <c r="AF59" s="27">
        <f>IFERROR(__xludf.DUMMYFUNCTION("IF(AD59=1, RANK(AE59, FILTER($AE$3:$AE$65,$AD$3:$AD$65=1),0)/COUNTIF($AD$3:$AD$65,""=1""),0)*100"),16.9811320754717)</f>
        <v>16.98113208</v>
      </c>
      <c r="AG59" s="13">
        <v>21762.0</v>
      </c>
      <c r="AH59" s="27">
        <f>IFERROR(__xludf.DUMMYFUNCTION("IF(AD59=1, RANK(AG59, FILTER($AG$3:$AG$65,$AD$3:$AD$65=1),0)/COUNTIF($AD$3:$AD$65,""=1""),0)*100"),37.735849056603776)</f>
        <v>37.73584906</v>
      </c>
      <c r="AI59" s="27">
        <f t="shared" si="7"/>
        <v>640.7974368</v>
      </c>
      <c r="AJ59" s="27">
        <f>IFERROR(__xludf.DUMMYFUNCTION("IF(AD59=1, RANK(AI59,FILTER($AI$3:$AI$65,$AD$3:$AD$65=1),1)/COUNTIF($AD$3:$AD$65,""=1""),0)*100"),20.754716981132077)</f>
        <v>20.75471698</v>
      </c>
      <c r="AK59" s="28">
        <f t="shared" si="8"/>
        <v>76.22641509</v>
      </c>
      <c r="AL59" s="27"/>
      <c r="AM59" s="24">
        <f t="shared" si="11"/>
        <v>85.73961652</v>
      </c>
    </row>
    <row r="60">
      <c r="A60" s="9"/>
      <c r="B60" s="58"/>
      <c r="C60" s="26" t="s">
        <v>146</v>
      </c>
      <c r="D60" s="26" t="s">
        <v>147</v>
      </c>
      <c r="E60" s="26">
        <v>3.12580065E8</v>
      </c>
      <c r="F60" s="12">
        <v>1.0</v>
      </c>
      <c r="G60" s="13">
        <v>104.8</v>
      </c>
      <c r="H60" s="27">
        <f>IFERROR(__xludf.DUMMYFUNCTION("IF(F60=1, RANK(G60, FILTER($G$3:$G$65,$F$3:$F$65=1),0)/COUNTIF($F$3:$F$65,""=1""),0)*100"),5.454545454545454)</f>
        <v>5.454545455</v>
      </c>
      <c r="I60" s="13">
        <v>4091.0</v>
      </c>
      <c r="J60" s="27">
        <f>IFERROR(__xludf.DUMMYFUNCTION("IF(F60=1, RANK(I60,FILTER($I$3:$I$65,$F$3:$F$65=1),0)/COUNTIF($F$3:$F$65,""=1""),0)*100"),14.545454545454545)</f>
        <v>14.54545455</v>
      </c>
      <c r="K60" s="27">
        <f t="shared" si="1"/>
        <v>79.33884298</v>
      </c>
      <c r="L60" s="27">
        <f>IFERROR(__xludf.DUMMYFUNCTION("IF(F60=1, RANK(K60,FILTER($K$3:$K$65,$F$3:$F$65=1),1)/COUNTIF($F$3:$F$65,""=1""),0)*100"),7.2727272727272725)</f>
        <v>7.272727273</v>
      </c>
      <c r="M60" s="28">
        <f t="shared" si="2"/>
        <v>72.18181818</v>
      </c>
      <c r="N60" s="13">
        <v>1.0</v>
      </c>
      <c r="O60" s="13">
        <v>517.67</v>
      </c>
      <c r="P60" s="27">
        <f>IFERROR(__xludf.DUMMYFUNCTION("IF(N60=1, RANK(O60, FILTER($O$3:$O$65,$N$3:$N$65=1),0)/COUNTIF($N$3:$N$65,""=1""),0)*100"),3.571428571428571)</f>
        <v>3.571428571</v>
      </c>
      <c r="Q60" s="13">
        <v>9753.0</v>
      </c>
      <c r="R60" s="27">
        <f>IFERROR(__xludf.DUMMYFUNCTION("IF(N60=1, RANK(Q60, FILTER($Q$3:$Q$65,$N$3:$N$65=1),0)/COUNTIF($N$3:$N$65,""=1""),0)*100"),14.285714285714285)</f>
        <v>14.28571429</v>
      </c>
      <c r="S60" s="27">
        <f t="shared" si="3"/>
        <v>51.02040816</v>
      </c>
      <c r="T60" s="27">
        <f>IFERROR(__xludf.DUMMYFUNCTION("IF(N60=1, RANK(S60,FILTER($S$3:$S$65,$N$3:$N$65=1),1)/COUNTIF($N$3:$N$65,""=1""),0)*100"),3.571428571428571)</f>
        <v>3.571428571</v>
      </c>
      <c r="U60" s="28">
        <f t="shared" si="4"/>
        <v>71.07142857</v>
      </c>
      <c r="V60" s="12">
        <v>1.0</v>
      </c>
      <c r="W60" s="13">
        <v>0.82</v>
      </c>
      <c r="X60" s="27">
        <f>IFERROR(__xludf.DUMMYFUNCTION("IF(V60=1, RANK(W60, FILTER($W$3:$W$65,$V$3:$V$65=1),0)/COUNTIF($V$3:$V$65,""=1""),0)*100"),98.11320754716981)</f>
        <v>98.11320755</v>
      </c>
      <c r="Y60" s="13">
        <v>108898.0</v>
      </c>
      <c r="Z60" s="27">
        <f>IFERROR(__xludf.DUMMYFUNCTION("IF(V60=1, RANK(Y60, FILTER($Y$3:$Y$65,$V$3:$V$65=1),0)/COUNTIF($V$3:$V$65,""=1""),0)*100"),9.433962264150944)</f>
        <v>9.433962264</v>
      </c>
      <c r="AA60" s="27">
        <f t="shared" si="5"/>
        <v>925.5962976</v>
      </c>
      <c r="AB60" s="27">
        <f>IFERROR(__xludf.DUMMYFUNCTION("IF(V60=1, RANK(AA60,FILTER($AA$3:$AA$65,$V$3:$V$65=1),1)/COUNTIF($V$3:$V$65,""=1""),0)*100"),26.41509433962264)</f>
        <v>26.41509434</v>
      </c>
      <c r="AC60" s="28">
        <f t="shared" si="6"/>
        <v>77.9245283</v>
      </c>
      <c r="AD60" s="12">
        <v>1.0</v>
      </c>
      <c r="AE60" s="13">
        <v>2.77</v>
      </c>
      <c r="AF60" s="27">
        <f>IFERROR(__xludf.DUMMYFUNCTION("IF(AD60=1, RANK(AE60, FILTER($AE$3:$AE$65,$AD$3:$AD$65=1),0)/COUNTIF($AD$3:$AD$65,""=1""),0)*100"),96.22641509433963)</f>
        <v>96.22641509</v>
      </c>
      <c r="AG60" s="13">
        <v>302468.0</v>
      </c>
      <c r="AH60" s="27">
        <f>IFERROR(__xludf.DUMMYFUNCTION("IF(AD60=1, RANK(AG60, FILTER($AG$3:$AG$65,$AD$3:$AD$65=1),0)/COUNTIF($AD$3:$AD$65,""=1""),0)*100"),9.433962264150944)</f>
        <v>9.433962264</v>
      </c>
      <c r="AI60" s="27">
        <f t="shared" si="7"/>
        <v>907.7963688</v>
      </c>
      <c r="AJ60" s="27">
        <f>IFERROR(__xludf.DUMMYFUNCTION("IF(AD60=1, RANK(AI60,FILTER($AI$3:$AI$65,$AD$3:$AD$65=1),1)/COUNTIF($AD$3:$AD$65,""=1""),0)*100"),32.075471698113205)</f>
        <v>32.0754717</v>
      </c>
      <c r="AK60" s="28">
        <f t="shared" si="8"/>
        <v>79.62264151</v>
      </c>
      <c r="AL60" s="27"/>
      <c r="AM60" s="24">
        <f t="shared" si="11"/>
        <v>75.20010414</v>
      </c>
    </row>
    <row r="61">
      <c r="A61" s="9"/>
      <c r="B61" s="58"/>
      <c r="C61" s="26" t="s">
        <v>148</v>
      </c>
      <c r="D61" s="26" t="s">
        <v>149</v>
      </c>
      <c r="E61" s="26">
        <v>3.12831014E8</v>
      </c>
      <c r="F61" s="12">
        <v>1.0</v>
      </c>
      <c r="G61" s="13">
        <v>2.71</v>
      </c>
      <c r="H61" s="27">
        <f>IFERROR(__xludf.DUMMYFUNCTION("IF(F61=1, RANK(G61, FILTER($G$3:$G$65,$F$3:$F$65=1),0)/COUNTIF($F$3:$F$65,""=1""),0)*100"),14.545454545454545)</f>
        <v>14.54545455</v>
      </c>
      <c r="I61" s="13">
        <v>725.0</v>
      </c>
      <c r="J61" s="27">
        <f>IFERROR(__xludf.DUMMYFUNCTION("IF(F61=1, RANK(I61,FILTER($I$3:$I$65,$F$3:$F$65=1),0)/COUNTIF($F$3:$F$65,""=1""),0)*100"),85.45454545454545)</f>
        <v>85.45454545</v>
      </c>
      <c r="K61" s="27">
        <f t="shared" si="1"/>
        <v>1242.975207</v>
      </c>
      <c r="L61" s="27">
        <f>IFERROR(__xludf.DUMMYFUNCTION("IF(F61=1, RANK(K61,FILTER($K$3:$K$65,$F$3:$F$65=1),1)/COUNTIF($F$3:$F$65,""=1""),0)*100"),32.72727272727273)</f>
        <v>32.72727273</v>
      </c>
      <c r="M61" s="28">
        <f t="shared" si="2"/>
        <v>79.81818182</v>
      </c>
      <c r="N61" s="13">
        <v>1.0</v>
      </c>
      <c r="O61" s="13">
        <v>5.34</v>
      </c>
      <c r="P61" s="27">
        <f>IFERROR(__xludf.DUMMYFUNCTION("IF(N61=1, RANK(O61, FILTER($O$3:$O$65,$N$3:$N$65=1),0)/COUNTIF($N$3:$N$65,""=1""),0)*100"),19.642857142857142)</f>
        <v>19.64285714</v>
      </c>
      <c r="Q61" s="13">
        <v>2881.0</v>
      </c>
      <c r="R61" s="27">
        <f>IFERROR(__xludf.DUMMYFUNCTION("IF(N61=1, RANK(Q61, FILTER($Q$3:$Q$65,$N$3:$N$65=1),0)/COUNTIF($N$3:$N$65,""=1""),0)*100"),75.0)</f>
        <v>75</v>
      </c>
      <c r="S61" s="27">
        <f t="shared" si="3"/>
        <v>1473.214286</v>
      </c>
      <c r="T61" s="27">
        <f>IFERROR(__xludf.DUMMYFUNCTION("IF(N61=1, RANK(S61,FILTER($S$3:$S$65,$N$3:$N$65=1),1)/COUNTIF($N$3:$N$65,""=1""),0)*100"),35.714285714285715)</f>
        <v>35.71428571</v>
      </c>
      <c r="U61" s="28">
        <f t="shared" si="4"/>
        <v>80.71428571</v>
      </c>
      <c r="V61" s="12">
        <v>1.0</v>
      </c>
      <c r="W61" s="13">
        <v>32.94</v>
      </c>
      <c r="X61" s="27">
        <f>IFERROR(__xludf.DUMMYFUNCTION("IF(V61=1, RANK(W61, FILTER($W$3:$W$65,$V$3:$V$65=1),0)/COUNTIF($V$3:$V$65,""=1""),0)*100"),24.528301886792452)</f>
        <v>24.52830189</v>
      </c>
      <c r="Y61" s="13">
        <v>1950.0</v>
      </c>
      <c r="Z61" s="27">
        <f>IFERROR(__xludf.DUMMYFUNCTION("IF(V61=1, RANK(Y61, FILTER($Y$3:$Y$65,$V$3:$V$65=1),0)/COUNTIF($V$3:$V$65,""=1""),0)*100"),92.45283018867924)</f>
        <v>92.45283019</v>
      </c>
      <c r="AA61" s="27">
        <f t="shared" si="5"/>
        <v>2267.710929</v>
      </c>
      <c r="AB61" s="27">
        <f>IFERROR(__xludf.DUMMYFUNCTION("IF(V61=1, RANK(AA61,FILTER($AA$3:$AA$65,$V$3:$V$65=1),1)/COUNTIF($V$3:$V$65,""=1""),0)*100"),54.71698113207547)</f>
        <v>54.71698113</v>
      </c>
      <c r="AC61" s="28">
        <f t="shared" si="6"/>
        <v>86.41509434</v>
      </c>
      <c r="AD61" s="12">
        <v>1.0</v>
      </c>
      <c r="AE61" s="13">
        <v>244.88</v>
      </c>
      <c r="AF61" s="27">
        <f>IFERROR(__xludf.DUMMYFUNCTION("IF(AD61=1, RANK(AE61, FILTER($AE$3:$AE$65,$AD$3:$AD$65=1),0)/COUNTIF($AD$3:$AD$65,""=1""),0)*100"),20.754716981132077)</f>
        <v>20.75471698</v>
      </c>
      <c r="AG61" s="13">
        <v>6707.0</v>
      </c>
      <c r="AH61" s="27">
        <f>IFERROR(__xludf.DUMMYFUNCTION("IF(AD61=1, RANK(AG61, FILTER($AG$3:$AG$65,$AD$3:$AD$65=1),0)/COUNTIF($AD$3:$AD$65,""=1""),0)*100"),94.33962264150944)</f>
        <v>94.33962264</v>
      </c>
      <c r="AI61" s="27">
        <f t="shared" si="7"/>
        <v>1957.992168</v>
      </c>
      <c r="AJ61" s="27">
        <f>IFERROR(__xludf.DUMMYFUNCTION("IF(AD61=1, RANK(AI61,FILTER($AI$3:$AI$65,$AD$3:$AD$65=1),1)/COUNTIF($AD$3:$AD$65,""=1""),0)*100"),50.943396226415096)</f>
        <v>50.94339623</v>
      </c>
      <c r="AK61" s="28">
        <f t="shared" si="8"/>
        <v>85.28301887</v>
      </c>
      <c r="AL61" s="27"/>
      <c r="AM61" s="24">
        <f t="shared" si="11"/>
        <v>83.05764519</v>
      </c>
    </row>
    <row r="62">
      <c r="A62" s="9"/>
      <c r="B62" s="58" t="s">
        <v>87</v>
      </c>
      <c r="C62" s="26" t="s">
        <v>150</v>
      </c>
      <c r="D62" s="26" t="s">
        <v>151</v>
      </c>
      <c r="E62" s="26">
        <v>3.12551172E8</v>
      </c>
      <c r="F62" s="12">
        <v>1.0</v>
      </c>
      <c r="G62" s="13">
        <v>0.1</v>
      </c>
      <c r="H62" s="27">
        <f>IFERROR(__xludf.DUMMYFUNCTION("IF(F62=1, RANK(G62, FILTER($G$3:$G$65,$F$3:$F$65=1),0)/COUNTIF($F$3:$F$65,""=1""),0)*100"),80.0)</f>
        <v>80</v>
      </c>
      <c r="I62" s="13">
        <v>8978.0</v>
      </c>
      <c r="J62" s="27">
        <f>IFERROR(__xludf.DUMMYFUNCTION("IF(F62=1, RANK(I62,FILTER($I$3:$I$65,$F$3:$F$65=1),0)/COUNTIF($F$3:$F$65,""=1""),0)*100"),5.454545454545454)</f>
        <v>5.454545455</v>
      </c>
      <c r="K62" s="27">
        <f t="shared" si="1"/>
        <v>436.3636364</v>
      </c>
      <c r="L62" s="27">
        <f>IFERROR(__xludf.DUMMYFUNCTION("IF(F62=1, RANK(K62,FILTER($K$3:$K$65,$F$3:$F$65=1),1)/COUNTIF($F$3:$F$65,""=1""),0)*100"),20.0)</f>
        <v>20</v>
      </c>
      <c r="M62" s="28">
        <f t="shared" si="2"/>
        <v>76</v>
      </c>
      <c r="N62" s="13">
        <v>1.0</v>
      </c>
      <c r="O62" s="13">
        <v>0.21</v>
      </c>
      <c r="P62" s="27">
        <f>IFERROR(__xludf.DUMMYFUNCTION("IF(N62=1, RANK(O62, FILTER($O$3:$O$65,$N$3:$N$65=1),0)/COUNTIF($N$3:$N$65,""=1""),0)*100"),91.07142857142857)</f>
        <v>91.07142857</v>
      </c>
      <c r="Q62" s="13">
        <v>20882.0</v>
      </c>
      <c r="R62" s="27">
        <f>IFERROR(__xludf.DUMMYFUNCTION("IF(N62=1, RANK(Q62, FILTER($Q$3:$Q$65,$N$3:$N$65=1),0)/COUNTIF($N$3:$N$65,""=1""),0)*100"),7.142857142857142)</f>
        <v>7.142857143</v>
      </c>
      <c r="S62" s="27">
        <f t="shared" si="3"/>
        <v>650.5102041</v>
      </c>
      <c r="T62" s="27">
        <f>IFERROR(__xludf.DUMMYFUNCTION("IF(N62=1, RANK(S62,FILTER($S$3:$S$65,$N$3:$N$65=1),1)/COUNTIF($N$3:$N$65,""=1""),0)*100"),23.214285714285715)</f>
        <v>23.21428571</v>
      </c>
      <c r="U62" s="28">
        <f t="shared" si="4"/>
        <v>76.96428571</v>
      </c>
      <c r="V62" s="12">
        <v>1.0</v>
      </c>
      <c r="W62" s="13">
        <v>2.3</v>
      </c>
      <c r="X62" s="27">
        <f>IFERROR(__xludf.DUMMYFUNCTION("IF(V62=1, RANK(W62, FILTER($W$3:$W$65,$V$3:$V$65=1),0)/COUNTIF($V$3:$V$65,""=1""),0)*100"),81.13207547169812)</f>
        <v>81.13207547</v>
      </c>
      <c r="Y62" s="13">
        <v>108547.0</v>
      </c>
      <c r="Z62" s="27">
        <f>IFERROR(__xludf.DUMMYFUNCTION("IF(V62=1, RANK(Y62, FILTER($Y$3:$Y$65,$V$3:$V$65=1),0)/COUNTIF($V$3:$V$65,""=1""),0)*100"),11.320754716981133)</f>
        <v>11.32075472</v>
      </c>
      <c r="AA62" s="27">
        <f t="shared" si="5"/>
        <v>918.4763261</v>
      </c>
      <c r="AB62" s="27">
        <f>IFERROR(__xludf.DUMMYFUNCTION("IF(V62=1, RANK(AA62,FILTER($AA$3:$AA$65,$V$3:$V$65=1),1)/COUNTIF($V$3:$V$65,""=1""),0)*100"),24.528301886792452)</f>
        <v>24.52830189</v>
      </c>
      <c r="AC62" s="28">
        <f t="shared" si="6"/>
        <v>77.35849057</v>
      </c>
      <c r="AD62" s="12">
        <v>1.0</v>
      </c>
      <c r="AE62" s="13">
        <v>21.9</v>
      </c>
      <c r="AF62" s="27">
        <f>IFERROR(__xludf.DUMMYFUNCTION("IF(AD62=1, RANK(AE62, FILTER($AE$3:$AE$65,$AD$3:$AD$65=1),0)/COUNTIF($AD$3:$AD$65,""=1""),0)*100"),64.15094339622641)</f>
        <v>64.1509434</v>
      </c>
      <c r="AG62" s="13">
        <v>302051.0</v>
      </c>
      <c r="AH62" s="27">
        <f>IFERROR(__xludf.DUMMYFUNCTION("IF(AD62=1, RANK(AG62, FILTER($AG$3:$AG$65,$AD$3:$AD$65=1),0)/COUNTIF($AD$3:$AD$65,""=1""),0)*100"),11.320754716981133)</f>
        <v>11.32075472</v>
      </c>
      <c r="AI62" s="27">
        <f t="shared" si="7"/>
        <v>726.2370951</v>
      </c>
      <c r="AJ62" s="27">
        <f>IFERROR(__xludf.DUMMYFUNCTION("IF(AD62=1, RANK(AI62,FILTER($AI$3:$AI$65,$AD$3:$AD$65=1),1)/COUNTIF($AD$3:$AD$65,""=1""),0)*100"),24.528301886792452)</f>
        <v>24.52830189</v>
      </c>
      <c r="AK62" s="28">
        <f t="shared" si="8"/>
        <v>77.35849057</v>
      </c>
      <c r="AL62" s="13">
        <v>5.0</v>
      </c>
      <c r="AM62" s="24">
        <f t="shared" si="11"/>
        <v>71.92031671</v>
      </c>
    </row>
    <row r="63">
      <c r="A63" s="9"/>
      <c r="B63" s="58"/>
      <c r="C63" s="26" t="s">
        <v>152</v>
      </c>
      <c r="D63" s="26" t="s">
        <v>153</v>
      </c>
      <c r="E63" s="26">
        <v>3.12580067E8</v>
      </c>
      <c r="F63" s="12">
        <v>1.0</v>
      </c>
      <c r="G63" s="13">
        <v>6.39</v>
      </c>
      <c r="H63" s="27">
        <f>IFERROR(__xludf.DUMMYFUNCTION("IF(F63=1, RANK(G63, FILTER($G$3:$G$65,$F$3:$F$65=1),0)/COUNTIF($F$3:$F$65,""=1""),0)*100"),9.090909090909092)</f>
        <v>9.090909091</v>
      </c>
      <c r="I63" s="13">
        <v>3834.0</v>
      </c>
      <c r="J63" s="27">
        <f>IFERROR(__xludf.DUMMYFUNCTION("IF(F63=1, RANK(I63,FILTER($I$3:$I$65,$F$3:$F$65=1),0)/COUNTIF($F$3:$F$65,""=1""),0)*100"),18.181818181818183)</f>
        <v>18.18181818</v>
      </c>
      <c r="K63" s="27">
        <f t="shared" si="1"/>
        <v>165.2892562</v>
      </c>
      <c r="L63" s="27">
        <f>IFERROR(__xludf.DUMMYFUNCTION("IF(F63=1, RANK(K63,FILTER($K$3:$K$65,$F$3:$F$65=1),1)/COUNTIF($F$3:$F$65,""=1""),0)*100"),12.727272727272727)</f>
        <v>12.72727273</v>
      </c>
      <c r="M63" s="28">
        <f t="shared" si="2"/>
        <v>73.81818182</v>
      </c>
      <c r="N63" s="13">
        <v>1.0</v>
      </c>
      <c r="O63" s="13">
        <v>21.35</v>
      </c>
      <c r="P63" s="27">
        <f>IFERROR(__xludf.DUMMYFUNCTION("IF(N63=1, RANK(O63, FILTER($O$3:$O$65,$N$3:$N$65=1),0)/COUNTIF($N$3:$N$65,""=1""),0)*100"),8.928571428571429)</f>
        <v>8.928571429</v>
      </c>
      <c r="Q63" s="13">
        <v>10332.0</v>
      </c>
      <c r="R63" s="27">
        <f>IFERROR(__xludf.DUMMYFUNCTION("IF(N63=1, RANK(Q63, FILTER($Q$3:$Q$65,$N$3:$N$65=1),0)/COUNTIF($N$3:$N$65,""=1""),0)*100"),12.5)</f>
        <v>12.5</v>
      </c>
      <c r="S63" s="27">
        <f t="shared" si="3"/>
        <v>111.6071429</v>
      </c>
      <c r="T63" s="27">
        <f>IFERROR(__xludf.DUMMYFUNCTION("IF(N63=1, RANK(S63,FILTER($S$3:$S$65,$N$3:$N$65=1),1)/COUNTIF($N$3:$N$65,""=1""),0)*100"),8.928571428571429)</f>
        <v>8.928571429</v>
      </c>
      <c r="U63" s="28">
        <f t="shared" si="4"/>
        <v>72.67857143</v>
      </c>
      <c r="V63" s="12">
        <v>1.0</v>
      </c>
      <c r="W63" s="13">
        <v>1850.42</v>
      </c>
      <c r="X63" s="27">
        <f>IFERROR(__xludf.DUMMYFUNCTION("IF(V63=1, RANK(W63, FILTER($W$3:$W$65,$V$3:$V$65=1),0)/COUNTIF($V$3:$V$65,""=1""),0)*100"),1.8867924528301887)</f>
        <v>1.886792453</v>
      </c>
      <c r="Y63" s="13">
        <v>44856.0</v>
      </c>
      <c r="Z63" s="27">
        <f>IFERROR(__xludf.DUMMYFUNCTION("IF(V63=1, RANK(Y63, FILTER($Y$3:$Y$65,$V$3:$V$65=1),0)/COUNTIF($V$3:$V$65,""=1""),0)*100"),20.754716981132077)</f>
        <v>20.75471698</v>
      </c>
      <c r="AA63" s="27">
        <f t="shared" si="5"/>
        <v>39.15984336</v>
      </c>
      <c r="AB63" s="27">
        <f>IFERROR(__xludf.DUMMYFUNCTION("IF(V63=1, RANK(AA63,FILTER($AA$3:$AA$65,$V$3:$V$65=1),1)/COUNTIF($V$3:$V$65,""=1""),0)*100"),3.7735849056603774)</f>
        <v>3.773584906</v>
      </c>
      <c r="AC63" s="28">
        <f t="shared" si="6"/>
        <v>71.13207547</v>
      </c>
      <c r="AD63" s="12">
        <v>0.0</v>
      </c>
      <c r="AE63" s="27"/>
      <c r="AF63" s="27">
        <f>IFERROR(__xludf.DUMMYFUNCTION("IF(AD63=1, RANK(AE63, FILTER($AE$3:$AE$65,$AD$3:$AD$65=1),0)/COUNTIF($AD$3:$AD$65,""=1""),0)*100"),0.0)</f>
        <v>0</v>
      </c>
      <c r="AG63" s="27"/>
      <c r="AH63" s="27">
        <f>IFERROR(__xludf.DUMMYFUNCTION("IF(AD63=1, RANK(AG63, FILTER($AG$3:$AG$65,$AD$3:$AD$65=1),0)/COUNTIF($AD$3:$AD$65,""=1""),0)*100"),0.0)</f>
        <v>0</v>
      </c>
      <c r="AI63" s="27">
        <f t="shared" si="7"/>
        <v>0</v>
      </c>
      <c r="AJ63" s="27">
        <f>IFERROR(__xludf.DUMMYFUNCTION("IF(AD63=1, RANK(AI63,FILTER($AI$3:$AI$65,$AD$3:$AD$65=1),1)/COUNTIF($AD$3:$AD$65,""=1""),0)*100"),0.0)</f>
        <v>0</v>
      </c>
      <c r="AK63" s="28">
        <f t="shared" si="8"/>
        <v>0</v>
      </c>
      <c r="AL63" s="27"/>
      <c r="AM63" s="24">
        <f t="shared" si="11"/>
        <v>54.40720718</v>
      </c>
    </row>
    <row r="64">
      <c r="A64" s="9"/>
      <c r="B64" s="58"/>
      <c r="C64" s="26" t="s">
        <v>154</v>
      </c>
      <c r="D64" s="26" t="s">
        <v>155</v>
      </c>
      <c r="E64" s="26" t="s">
        <v>156</v>
      </c>
      <c r="F64" s="12">
        <v>1.0</v>
      </c>
      <c r="G64" s="13">
        <v>0.31</v>
      </c>
      <c r="H64" s="27">
        <f>IFERROR(__xludf.DUMMYFUNCTION("IF(F64=1, RANK(G64, FILTER($G$3:$G$65,$F$3:$F$65=1),0)/COUNTIF($F$3:$F$65,""=1""),0)*100"),50.90909090909091)</f>
        <v>50.90909091</v>
      </c>
      <c r="I64" s="13">
        <v>779.0</v>
      </c>
      <c r="J64" s="27">
        <f>IFERROR(__xludf.DUMMYFUNCTION("IF(F64=1, RANK(I64,FILTER($I$3:$I$65,$F$3:$F$65=1),0)/COUNTIF($F$3:$F$65,""=1""),0)*100"),80.0)</f>
        <v>80</v>
      </c>
      <c r="K64" s="27">
        <f t="shared" si="1"/>
        <v>4072.727273</v>
      </c>
      <c r="L64" s="27">
        <f>IFERROR(__xludf.DUMMYFUNCTION("IF(F64=1, RANK(K64,FILTER($K$3:$K$65,$F$3:$F$65=1),1)/COUNTIF($F$3:$F$65,""=1""),0)*100"),78.18181818181819)</f>
        <v>78.18181818</v>
      </c>
      <c r="M64" s="28">
        <f t="shared" si="2"/>
        <v>93.45454545</v>
      </c>
      <c r="N64" s="13">
        <v>1.0</v>
      </c>
      <c r="O64" s="13">
        <v>2.32</v>
      </c>
      <c r="P64" s="27">
        <f>IFERROR(__xludf.DUMMYFUNCTION("IF(N64=1, RANK(O64, FILTER($O$3:$O$65,$N$3:$N$65=1),0)/COUNTIF($N$3:$N$65,""=1""),0)*100"),35.714285714285715)</f>
        <v>35.71428571</v>
      </c>
      <c r="Q64" s="13">
        <v>3539.0</v>
      </c>
      <c r="R64" s="27">
        <f>IFERROR(__xludf.DUMMYFUNCTION("IF(N64=1, RANK(Q64, FILTER($Q$3:$Q$65,$N$3:$N$65=1),0)/COUNTIF($N$3:$N$65,""=1""),0)*100"),51.78571428571429)</f>
        <v>51.78571429</v>
      </c>
      <c r="S64" s="27">
        <f t="shared" si="3"/>
        <v>1849.489796</v>
      </c>
      <c r="T64" s="27">
        <f>IFERROR(__xludf.DUMMYFUNCTION("IF(N64=1, RANK(S64,FILTER($S$3:$S$65,$N$3:$N$65=1),1)/COUNTIF($N$3:$N$65,""=1""),0)*100"),41.07142857142857)</f>
        <v>41.07142857</v>
      </c>
      <c r="U64" s="28">
        <f t="shared" si="4"/>
        <v>82.32142857</v>
      </c>
      <c r="V64" s="12">
        <v>1.0</v>
      </c>
      <c r="W64" s="13">
        <v>3.53</v>
      </c>
      <c r="X64" s="27">
        <f>IFERROR(__xludf.DUMMYFUNCTION("IF(V64=1, RANK(W64, FILTER($W$3:$W$65,$V$3:$V$65=1),0)/COUNTIF($V$3:$V$65,""=1""),0)*100"),69.81132075471697)</f>
        <v>69.81132075</v>
      </c>
      <c r="Y64" s="13">
        <v>1065.0</v>
      </c>
      <c r="Z64" s="27">
        <f>IFERROR(__xludf.DUMMYFUNCTION("IF(V64=1, RANK(Y64, FILTER($Y$3:$Y$65,$V$3:$V$65=1),0)/COUNTIF($V$3:$V$65,""=1""),0)*100"),98.11320754716981)</f>
        <v>98.11320755</v>
      </c>
      <c r="AA64" s="27">
        <f t="shared" si="5"/>
        <v>6849.412602</v>
      </c>
      <c r="AB64" s="27">
        <f>IFERROR(__xludf.DUMMYFUNCTION("IF(V64=1, RANK(AA64,FILTER($AA$3:$AA$65,$V$3:$V$65=1),1)/COUNTIF($V$3:$V$65,""=1""),0)*100"),96.22641509433963)</f>
        <v>96.22641509</v>
      </c>
      <c r="AC64" s="28">
        <f t="shared" si="6"/>
        <v>98.86792453</v>
      </c>
      <c r="AD64" s="12">
        <v>1.0</v>
      </c>
      <c r="AE64" s="13">
        <v>18.42</v>
      </c>
      <c r="AF64" s="27">
        <f>IFERROR(__xludf.DUMMYFUNCTION("IF(AD64=1, RANK(AE64, FILTER($AE$3:$AE$65,$AD$3:$AD$65=1),0)/COUNTIF($AD$3:$AD$65,""=1""),0)*100"),73.58490566037736)</f>
        <v>73.58490566</v>
      </c>
      <c r="AG64" s="13">
        <v>7612.0</v>
      </c>
      <c r="AH64" s="27">
        <f>IFERROR(__xludf.DUMMYFUNCTION("IF(AD64=1, RANK(AG64, FILTER($AG$3:$AG$65,$AD$3:$AD$65=1),0)/COUNTIF($AD$3:$AD$65,""=1""),0)*100"),88.67924528301887)</f>
        <v>88.67924528</v>
      </c>
      <c r="AI64" s="27">
        <f t="shared" si="7"/>
        <v>6525.453898</v>
      </c>
      <c r="AJ64" s="27">
        <f>IFERROR(__xludf.DUMMYFUNCTION("IF(AD64=1, RANK(AI64,FILTER($AI$3:$AI$65,$AD$3:$AD$65=1),1)/COUNTIF($AD$3:$AD$65,""=1""),0)*100"),90.56603773584906)</f>
        <v>90.56603774</v>
      </c>
      <c r="AK64" s="28">
        <f t="shared" si="8"/>
        <v>97.16981132</v>
      </c>
      <c r="AL64" s="27"/>
      <c r="AM64" s="24">
        <f t="shared" si="11"/>
        <v>92.95342747</v>
      </c>
    </row>
    <row r="65">
      <c r="A65" s="9"/>
      <c r="B65" s="58"/>
      <c r="C65" s="26" t="s">
        <v>157</v>
      </c>
      <c r="D65" s="26" t="s">
        <v>158</v>
      </c>
      <c r="E65" s="26" t="s">
        <v>159</v>
      </c>
      <c r="F65" s="12">
        <v>1.0</v>
      </c>
      <c r="G65" s="13">
        <v>0.29</v>
      </c>
      <c r="H65" s="27">
        <f>IFERROR(__xludf.DUMMYFUNCTION("IF(F65=1, RANK(G65, FILTER($G$3:$G$65,$F$3:$F$65=1),0)/COUNTIF($F$3:$F$65,""=1""),0)*100"),52.72727272727272)</f>
        <v>52.72727273</v>
      </c>
      <c r="I65" s="13">
        <v>1219.0</v>
      </c>
      <c r="J65" s="27">
        <f>IFERROR(__xludf.DUMMYFUNCTION("IF(F65=1, RANK(I65,FILTER($I$3:$I$65,$F$3:$F$65=1),0)/COUNTIF($F$3:$F$65,""=1""),0)*100"),49.09090909090909)</f>
        <v>49.09090909</v>
      </c>
      <c r="K65" s="27">
        <f t="shared" si="1"/>
        <v>2588.429752</v>
      </c>
      <c r="L65" s="27">
        <f>IFERROR(__xludf.DUMMYFUNCTION("IF(F65=1, RANK(K65,FILTER($K$3:$K$65,$F$3:$F$65=1),1)/COUNTIF($F$3:$F$65,""=1""),0)*100"),49.09090909090909)</f>
        <v>49.09090909</v>
      </c>
      <c r="M65" s="28">
        <f t="shared" si="2"/>
        <v>84.72727273</v>
      </c>
      <c r="N65" s="13">
        <v>1.0</v>
      </c>
      <c r="O65" s="13">
        <v>0.61</v>
      </c>
      <c r="P65" s="27">
        <f>IFERROR(__xludf.DUMMYFUNCTION("IF(N65=1, RANK(O65, FILTER($O$3:$O$65,$N$3:$N$65=1),0)/COUNTIF($N$3:$N$65,""=1""),0)*100"),62.5)</f>
        <v>62.5</v>
      </c>
      <c r="Q65" s="13">
        <v>4038.0</v>
      </c>
      <c r="R65" s="27">
        <f>IFERROR(__xludf.DUMMYFUNCTION("IF(N65=1, RANK(Q65, FILTER($Q$3:$Q$65,$N$3:$N$65=1),0)/COUNTIF($N$3:$N$65,""=1""),0)*100"),41.07142857142857)</f>
        <v>41.07142857</v>
      </c>
      <c r="S65" s="27">
        <f t="shared" si="3"/>
        <v>2566.964286</v>
      </c>
      <c r="T65" s="27">
        <f>IFERROR(__xludf.DUMMYFUNCTION("IF(N65=1, RANK(S65,FILTER($S$3:$S$65,$N$3:$N$65=1),1)/COUNTIF($N$3:$N$65,""=1""),0)*100"),57.14285714285714)</f>
        <v>57.14285714</v>
      </c>
      <c r="U65" s="28">
        <f t="shared" si="4"/>
        <v>87.14285714</v>
      </c>
      <c r="V65" s="12">
        <v>1.0</v>
      </c>
      <c r="W65" s="13">
        <v>5.62</v>
      </c>
      <c r="X65" s="27">
        <f>IFERROR(__xludf.DUMMYFUNCTION("IF(V65=1, RANK(W65, FILTER($W$3:$W$65,$V$3:$V$65=1),0)/COUNTIF($V$3:$V$65,""=1""),0)*100"),58.490566037735846)</f>
        <v>58.49056604</v>
      </c>
      <c r="Y65" s="13">
        <v>10319.0</v>
      </c>
      <c r="Z65" s="27">
        <f>IFERROR(__xludf.DUMMYFUNCTION("IF(V65=1, RANK(Y65, FILTER($Y$3:$Y$65,$V$3:$V$65=1),0)/COUNTIF($V$3:$V$65,""=1""),0)*100"),43.39622641509434)</f>
        <v>43.39622642</v>
      </c>
      <c r="AA65" s="27">
        <f t="shared" si="5"/>
        <v>2538.269847</v>
      </c>
      <c r="AB65" s="27">
        <f>IFERROR(__xludf.DUMMYFUNCTION("IF(V65=1, RANK(AA65,FILTER($AA$3:$AA$65,$V$3:$V$65=1),1)/COUNTIF($V$3:$V$65,""=1""),0)*100"),60.37735849056604)</f>
        <v>60.37735849</v>
      </c>
      <c r="AC65" s="28">
        <f t="shared" si="6"/>
        <v>88.11320755</v>
      </c>
      <c r="AD65" s="12">
        <v>1.0</v>
      </c>
      <c r="AE65" s="13">
        <v>28.74</v>
      </c>
      <c r="AF65" s="27">
        <f>IFERROR(__xludf.DUMMYFUNCTION("IF(AD65=1, RANK(AE65, FILTER($AE$3:$AE$65,$AD$3:$AD$65=1),0)/COUNTIF($AD$3:$AD$65,""=1""),0)*100"),56.60377358490566)</f>
        <v>56.60377358</v>
      </c>
      <c r="AG65" s="13">
        <v>14131.0</v>
      </c>
      <c r="AH65" s="27">
        <f>IFERROR(__xludf.DUMMYFUNCTION("IF(AD65=1, RANK(AG65, FILTER($AG$3:$AG$65,$AD$3:$AD$65=1),0)/COUNTIF($AD$3:$AD$65,""=1""),0)*100"),58.490566037735846)</f>
        <v>58.49056604</v>
      </c>
      <c r="AI65" s="27">
        <f t="shared" si="7"/>
        <v>3310.786757</v>
      </c>
      <c r="AJ65" s="27">
        <f>IFERROR(__xludf.DUMMYFUNCTION("IF(AD65=1, RANK(AI65,FILTER($AI$3:$AI$65,$AD$3:$AD$65=1),1)/COUNTIF($AD$3:$AD$65,""=1""),0)*100"),71.69811320754717)</f>
        <v>71.69811321</v>
      </c>
      <c r="AK65" s="28">
        <f t="shared" si="8"/>
        <v>91.50943396</v>
      </c>
      <c r="AL65" s="27"/>
      <c r="AM65" s="24">
        <f t="shared" si="11"/>
        <v>87.87319284</v>
      </c>
    </row>
    <row r="66">
      <c r="A66" s="9"/>
      <c r="B66" s="59"/>
      <c r="C66" s="60"/>
      <c r="D66" s="61"/>
      <c r="E66" s="61"/>
      <c r="F66" s="62"/>
      <c r="G66" s="49"/>
      <c r="H66" s="49"/>
      <c r="I66" s="49"/>
      <c r="J66" s="49"/>
      <c r="K66" s="49"/>
      <c r="L66" s="49"/>
      <c r="M66" s="63"/>
      <c r="N66" s="62"/>
      <c r="O66" s="49"/>
      <c r="P66" s="49"/>
      <c r="Q66" s="49"/>
      <c r="R66" s="49"/>
      <c r="S66" s="49"/>
      <c r="T66" s="49"/>
      <c r="U66" s="49"/>
      <c r="V66" s="62"/>
      <c r="W66" s="49"/>
      <c r="X66" s="49"/>
      <c r="Y66" s="49"/>
      <c r="Z66" s="49"/>
      <c r="AA66" s="49"/>
      <c r="AB66" s="49"/>
      <c r="AC66" s="49"/>
      <c r="AD66" s="62"/>
      <c r="AE66" s="49"/>
      <c r="AF66" s="49"/>
      <c r="AG66" s="49"/>
      <c r="AH66" s="49"/>
      <c r="AI66" s="49"/>
      <c r="AJ66" s="49"/>
      <c r="AK66" s="63"/>
      <c r="AL66" s="49"/>
      <c r="AM66" s="64">
        <f t="shared" si="11"/>
        <v>0</v>
      </c>
    </row>
    <row r="67">
      <c r="A67" s="65" t="s">
        <v>160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>
        <f>AVERAGE(M3:M66)</f>
        <v>74.43578644</v>
      </c>
      <c r="N67" s="1"/>
      <c r="O67" s="1"/>
      <c r="P67" s="1"/>
      <c r="Q67" s="1"/>
      <c r="R67" s="1"/>
      <c r="U67" s="66">
        <f>AVERAGE(U3:U66)</f>
        <v>75.78514739</v>
      </c>
      <c r="AC67" s="66">
        <f>AVERAGE(AC3:AC66)</f>
        <v>71.72806229</v>
      </c>
      <c r="AK67" s="66">
        <f>AVERAGE(AK3:AK66)</f>
        <v>71.74603175</v>
      </c>
      <c r="AM67" s="66">
        <f>AVERAGE(AM3:AM66)</f>
        <v>69.00109107</v>
      </c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</sheetData>
  <mergeCells count="4">
    <mergeCell ref="F1:M1"/>
    <mergeCell ref="N1:U1"/>
    <mergeCell ref="V1:AC1"/>
    <mergeCell ref="AD1:A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7" t="s">
        <v>161</v>
      </c>
      <c r="C1" s="68" t="s">
        <v>162</v>
      </c>
      <c r="D1" s="68" t="s">
        <v>163</v>
      </c>
      <c r="E1" s="67" t="s">
        <v>164</v>
      </c>
      <c r="F1" s="68" t="s">
        <v>165</v>
      </c>
      <c r="G1" s="68" t="s">
        <v>166</v>
      </c>
      <c r="H1" s="67" t="s">
        <v>167</v>
      </c>
      <c r="I1" s="68" t="s">
        <v>168</v>
      </c>
    </row>
    <row r="2">
      <c r="A2" s="68">
        <v>811562.0</v>
      </c>
      <c r="B2" s="68">
        <v>10.0</v>
      </c>
      <c r="C2" s="68">
        <v>10.0</v>
      </c>
      <c r="D2" s="68">
        <v>10.0</v>
      </c>
      <c r="E2" s="68">
        <v>10.0</v>
      </c>
      <c r="F2" s="68">
        <v>15.0</v>
      </c>
      <c r="G2" s="68">
        <v>24.0</v>
      </c>
      <c r="H2" s="68">
        <v>20.0</v>
      </c>
      <c r="I2" s="68">
        <v>99.0</v>
      </c>
    </row>
    <row r="3">
      <c r="A3" s="68">
        <v>1.0951107E8</v>
      </c>
      <c r="B3" s="68">
        <v>6.0</v>
      </c>
      <c r="C3" s="68">
        <v>8.0</v>
      </c>
      <c r="D3" s="68">
        <v>10.0</v>
      </c>
      <c r="E3" s="68">
        <v>5.0</v>
      </c>
      <c r="F3" s="68">
        <v>12.0</v>
      </c>
      <c r="G3" s="68">
        <v>25.0</v>
      </c>
      <c r="H3" s="68">
        <v>18.0</v>
      </c>
      <c r="I3" s="68">
        <v>84.0</v>
      </c>
      <c r="K3" s="68"/>
    </row>
    <row r="4">
      <c r="A4" s="68">
        <v>1.09511272E8</v>
      </c>
      <c r="B4" s="68">
        <v>10.0</v>
      </c>
      <c r="C4" s="68">
        <v>8.0</v>
      </c>
      <c r="D4" s="68">
        <v>10.0</v>
      </c>
      <c r="E4" s="68">
        <v>10.0</v>
      </c>
      <c r="F4" s="68">
        <v>10.0</v>
      </c>
      <c r="G4" s="68">
        <v>25.0</v>
      </c>
      <c r="H4" s="68">
        <v>15.0</v>
      </c>
      <c r="I4" s="68">
        <v>88.0</v>
      </c>
    </row>
    <row r="5">
      <c r="A5" s="68">
        <v>3.10511082E8</v>
      </c>
      <c r="B5" s="68">
        <v>10.0</v>
      </c>
      <c r="C5" s="68">
        <v>10.0</v>
      </c>
      <c r="D5" s="68">
        <v>10.0</v>
      </c>
      <c r="E5" s="68">
        <v>10.0</v>
      </c>
      <c r="F5" s="68">
        <v>15.0</v>
      </c>
      <c r="G5" s="68">
        <v>23.0</v>
      </c>
      <c r="H5" s="68">
        <v>0.0</v>
      </c>
      <c r="I5" s="68">
        <v>78.0</v>
      </c>
    </row>
    <row r="6">
      <c r="A6" s="68">
        <v>3.10581042E8</v>
      </c>
      <c r="B6" s="68">
        <v>10.0</v>
      </c>
      <c r="C6" s="68">
        <v>10.0</v>
      </c>
      <c r="D6" s="68">
        <v>6.0</v>
      </c>
      <c r="E6" s="68">
        <v>10.0</v>
      </c>
      <c r="F6" s="68">
        <v>5.0</v>
      </c>
      <c r="G6" s="68">
        <v>20.0</v>
      </c>
      <c r="H6" s="68">
        <v>5.0</v>
      </c>
      <c r="I6" s="68">
        <v>66.0</v>
      </c>
    </row>
    <row r="7">
      <c r="A7" s="68">
        <v>3.11510145E8</v>
      </c>
      <c r="B7" s="68">
        <v>10.0</v>
      </c>
      <c r="C7" s="68">
        <v>0.0</v>
      </c>
      <c r="D7" s="68">
        <v>10.0</v>
      </c>
      <c r="E7" s="68">
        <v>8.0</v>
      </c>
      <c r="F7" s="68">
        <v>3.0</v>
      </c>
      <c r="G7" s="68">
        <v>13.0</v>
      </c>
      <c r="H7" s="68">
        <v>3.0</v>
      </c>
      <c r="I7" s="68">
        <v>47.0</v>
      </c>
    </row>
    <row r="8">
      <c r="A8" s="68">
        <v>3.1151015E8</v>
      </c>
      <c r="B8" s="68">
        <v>10.0</v>
      </c>
      <c r="C8" s="68">
        <v>10.0</v>
      </c>
      <c r="D8" s="68">
        <v>8.0</v>
      </c>
      <c r="E8" s="68">
        <v>10.0</v>
      </c>
      <c r="F8" s="68">
        <v>15.0</v>
      </c>
      <c r="G8" s="68">
        <v>20.0</v>
      </c>
      <c r="H8" s="68">
        <v>20.0</v>
      </c>
      <c r="I8" s="68">
        <v>93.0</v>
      </c>
    </row>
    <row r="9">
      <c r="A9" s="69">
        <v>3.11510168E8</v>
      </c>
      <c r="B9" s="68">
        <v>10.0</v>
      </c>
      <c r="C9" s="68">
        <v>8.0</v>
      </c>
      <c r="D9" s="68">
        <v>8.0</v>
      </c>
      <c r="E9" s="68">
        <v>10.0</v>
      </c>
      <c r="F9" s="68">
        <v>10.0</v>
      </c>
      <c r="G9" s="68">
        <v>25.0</v>
      </c>
      <c r="H9" s="68">
        <v>18.0</v>
      </c>
      <c r="I9" s="68">
        <v>89.0</v>
      </c>
    </row>
    <row r="10">
      <c r="A10" s="68">
        <v>3.1151017E8</v>
      </c>
      <c r="B10" s="68">
        <v>10.0</v>
      </c>
      <c r="C10" s="68">
        <v>10.0</v>
      </c>
      <c r="D10" s="68">
        <v>10.0</v>
      </c>
      <c r="E10" s="68">
        <v>5.0</v>
      </c>
      <c r="F10" s="68">
        <v>10.0</v>
      </c>
      <c r="G10" s="68">
        <v>25.0</v>
      </c>
      <c r="H10" s="68">
        <v>10.0</v>
      </c>
      <c r="I10" s="68">
        <v>80.0</v>
      </c>
    </row>
    <row r="11">
      <c r="A11" s="68">
        <v>3.11510172E8</v>
      </c>
      <c r="B11" s="68">
        <v>10.0</v>
      </c>
      <c r="C11" s="68">
        <v>8.0</v>
      </c>
      <c r="D11" s="68">
        <v>10.0</v>
      </c>
      <c r="E11" s="68">
        <v>10.0</v>
      </c>
      <c r="F11" s="68">
        <v>15.0</v>
      </c>
      <c r="G11" s="68">
        <v>25.0</v>
      </c>
      <c r="H11" s="68">
        <v>5.0</v>
      </c>
      <c r="I11" s="68">
        <v>83.0</v>
      </c>
    </row>
    <row r="12">
      <c r="A12" s="68">
        <v>3.11510175E8</v>
      </c>
      <c r="B12" s="68">
        <v>10.0</v>
      </c>
      <c r="C12" s="68">
        <v>10.0</v>
      </c>
      <c r="D12" s="68">
        <v>10.0</v>
      </c>
      <c r="E12" s="68">
        <v>10.0</v>
      </c>
      <c r="F12" s="68">
        <v>10.0</v>
      </c>
      <c r="G12" s="68">
        <v>25.0</v>
      </c>
      <c r="H12" s="68">
        <v>20.0</v>
      </c>
      <c r="I12" s="68">
        <v>95.0</v>
      </c>
    </row>
    <row r="13">
      <c r="A13" s="68">
        <v>3.115102E8</v>
      </c>
      <c r="B13" s="68">
        <v>10.0</v>
      </c>
      <c r="C13" s="68">
        <v>0.0</v>
      </c>
      <c r="D13" s="68">
        <v>10.0</v>
      </c>
      <c r="E13" s="68">
        <v>10.0</v>
      </c>
      <c r="F13" s="68">
        <v>12.0</v>
      </c>
      <c r="G13" s="68">
        <v>25.0</v>
      </c>
      <c r="H13" s="68">
        <v>17.0</v>
      </c>
      <c r="I13" s="70">
        <v>84.0</v>
      </c>
      <c r="J13" s="68"/>
    </row>
    <row r="14">
      <c r="A14" s="68">
        <v>3.1151108E8</v>
      </c>
      <c r="B14" s="68">
        <v>10.0</v>
      </c>
      <c r="C14" s="68">
        <v>10.0</v>
      </c>
      <c r="D14" s="68">
        <v>8.0</v>
      </c>
      <c r="E14" s="68">
        <v>10.0</v>
      </c>
      <c r="F14" s="68">
        <v>8.0</v>
      </c>
      <c r="G14" s="68">
        <v>23.0</v>
      </c>
      <c r="H14" s="68">
        <v>0.0</v>
      </c>
      <c r="I14" s="68">
        <v>69.0</v>
      </c>
    </row>
    <row r="15">
      <c r="A15" s="68">
        <v>3.11513104E8</v>
      </c>
      <c r="B15" s="68">
        <v>10.0</v>
      </c>
      <c r="C15" s="68">
        <v>10.0</v>
      </c>
      <c r="D15" s="68">
        <v>10.0</v>
      </c>
      <c r="E15" s="68">
        <v>10.0</v>
      </c>
      <c r="F15" s="68">
        <v>10.0</v>
      </c>
      <c r="G15" s="68">
        <v>25.0</v>
      </c>
      <c r="H15" s="68">
        <v>20.0</v>
      </c>
      <c r="I15" s="68">
        <v>95.0</v>
      </c>
    </row>
    <row r="16">
      <c r="A16" s="68">
        <v>3.11540002E8</v>
      </c>
      <c r="B16" s="68">
        <v>10.0</v>
      </c>
      <c r="C16" s="68">
        <v>8.0</v>
      </c>
      <c r="D16" s="68">
        <v>10.0</v>
      </c>
      <c r="E16" s="68">
        <v>0.0</v>
      </c>
      <c r="F16" s="68">
        <v>5.0</v>
      </c>
      <c r="G16" s="68">
        <v>0.0</v>
      </c>
      <c r="H16" s="68">
        <v>0.0</v>
      </c>
      <c r="I16" s="68">
        <v>33.0</v>
      </c>
    </row>
    <row r="17">
      <c r="A17" s="68">
        <v>3.11551184E8</v>
      </c>
      <c r="B17" s="68">
        <v>10.0</v>
      </c>
      <c r="C17" s="68">
        <v>8.0</v>
      </c>
      <c r="D17" s="68">
        <v>5.0</v>
      </c>
      <c r="E17" s="68">
        <v>0.0</v>
      </c>
      <c r="F17" s="68">
        <v>7.0</v>
      </c>
      <c r="G17" s="68">
        <v>15.0</v>
      </c>
      <c r="H17" s="68">
        <v>10.0</v>
      </c>
      <c r="I17" s="68">
        <v>55.0</v>
      </c>
    </row>
    <row r="18">
      <c r="A18" s="68">
        <v>3.11553055E8</v>
      </c>
      <c r="B18" s="68">
        <v>10.0</v>
      </c>
      <c r="C18" s="68">
        <v>10.0</v>
      </c>
      <c r="D18" s="68">
        <v>10.0</v>
      </c>
      <c r="E18" s="68">
        <v>10.0</v>
      </c>
      <c r="F18" s="68">
        <v>8.0</v>
      </c>
      <c r="G18" s="68">
        <v>15.0</v>
      </c>
      <c r="H18" s="68">
        <v>13.0</v>
      </c>
      <c r="I18" s="68">
        <v>76.0</v>
      </c>
    </row>
    <row r="19">
      <c r="A19" s="68">
        <v>3.11580038E8</v>
      </c>
      <c r="B19" s="68">
        <v>10.0</v>
      </c>
      <c r="C19" s="68">
        <v>0.0</v>
      </c>
      <c r="D19" s="68">
        <v>10.0</v>
      </c>
      <c r="E19" s="68">
        <v>10.0</v>
      </c>
      <c r="F19" s="68">
        <v>10.0</v>
      </c>
      <c r="G19" s="68">
        <v>17.0</v>
      </c>
      <c r="H19" s="68">
        <v>18.0</v>
      </c>
      <c r="I19" s="68">
        <v>75.0</v>
      </c>
      <c r="K19" s="68"/>
    </row>
    <row r="20">
      <c r="A20" s="68">
        <v>3.1158005E8</v>
      </c>
      <c r="B20" s="68">
        <v>10.0</v>
      </c>
      <c r="C20" s="68">
        <v>10.0</v>
      </c>
      <c r="D20" s="68">
        <v>10.0</v>
      </c>
      <c r="E20" s="68">
        <v>10.0</v>
      </c>
      <c r="F20" s="68">
        <v>15.0</v>
      </c>
      <c r="G20" s="68">
        <v>25.0</v>
      </c>
      <c r="H20" s="68">
        <v>10.0</v>
      </c>
      <c r="I20" s="68">
        <v>90.0</v>
      </c>
    </row>
    <row r="21">
      <c r="A21" s="68">
        <v>3.11581017E8</v>
      </c>
      <c r="B21" s="68">
        <v>10.0</v>
      </c>
      <c r="C21" s="68">
        <v>10.0</v>
      </c>
      <c r="D21" s="68">
        <v>10.0</v>
      </c>
      <c r="E21" s="68">
        <v>0.0</v>
      </c>
      <c r="F21" s="68">
        <v>12.0</v>
      </c>
      <c r="G21" s="68">
        <v>25.0</v>
      </c>
      <c r="H21" s="68">
        <v>0.0</v>
      </c>
      <c r="I21" s="68">
        <v>67.0</v>
      </c>
    </row>
    <row r="22">
      <c r="A22" s="68">
        <v>3.11591015E8</v>
      </c>
      <c r="B22" s="68">
        <v>10.0</v>
      </c>
      <c r="C22" s="68">
        <v>5.0</v>
      </c>
      <c r="D22" s="68">
        <v>10.0</v>
      </c>
      <c r="E22" s="68">
        <v>10.0</v>
      </c>
      <c r="F22" s="68">
        <v>10.0</v>
      </c>
      <c r="G22" s="68">
        <v>25.0</v>
      </c>
      <c r="H22" s="68">
        <v>10.0</v>
      </c>
      <c r="I22" s="68">
        <v>80.0</v>
      </c>
    </row>
    <row r="23">
      <c r="A23" s="68">
        <v>3.11611098E8</v>
      </c>
      <c r="B23" s="68">
        <v>10.0</v>
      </c>
      <c r="C23" s="68">
        <v>10.0</v>
      </c>
      <c r="D23" s="68">
        <v>10.0</v>
      </c>
      <c r="E23" s="68">
        <v>10.0</v>
      </c>
      <c r="F23" s="68">
        <v>15.0</v>
      </c>
      <c r="G23" s="68">
        <v>22.0</v>
      </c>
      <c r="H23" s="68">
        <v>6.0</v>
      </c>
      <c r="I23" s="68">
        <v>83.0</v>
      </c>
    </row>
    <row r="24">
      <c r="A24" s="68">
        <v>3.11611132E8</v>
      </c>
      <c r="B24" s="68">
        <v>10.0</v>
      </c>
      <c r="C24" s="68">
        <v>8.0</v>
      </c>
      <c r="D24" s="68">
        <v>9.0</v>
      </c>
      <c r="E24" s="68">
        <v>8.0</v>
      </c>
      <c r="F24" s="68">
        <v>10.0</v>
      </c>
      <c r="G24" s="68">
        <v>25.0</v>
      </c>
      <c r="H24" s="68">
        <v>15.0</v>
      </c>
      <c r="I24" s="71">
        <v>85.0</v>
      </c>
    </row>
    <row r="25">
      <c r="A25" s="68">
        <v>3.12510048E8</v>
      </c>
      <c r="B25" s="68">
        <v>6.0</v>
      </c>
      <c r="C25" s="68">
        <v>0.0</v>
      </c>
      <c r="D25" s="68">
        <v>8.0</v>
      </c>
      <c r="E25" s="68">
        <v>10.0</v>
      </c>
      <c r="F25" s="68">
        <v>10.0</v>
      </c>
      <c r="G25" s="68">
        <v>20.0</v>
      </c>
      <c r="H25" s="68">
        <v>5.0</v>
      </c>
      <c r="I25" s="68">
        <v>59.0</v>
      </c>
    </row>
    <row r="26">
      <c r="A26" s="68">
        <v>3.12510144E8</v>
      </c>
      <c r="B26" s="68">
        <v>10.0</v>
      </c>
      <c r="C26" s="68">
        <v>10.0</v>
      </c>
      <c r="D26" s="68">
        <v>10.0</v>
      </c>
      <c r="E26" s="68">
        <v>10.0</v>
      </c>
      <c r="F26" s="68">
        <v>10.0</v>
      </c>
      <c r="G26" s="68">
        <v>25.0</v>
      </c>
      <c r="H26" s="68">
        <v>20.0</v>
      </c>
      <c r="I26" s="68">
        <v>95.0</v>
      </c>
    </row>
    <row r="27">
      <c r="A27" s="68">
        <v>3.12510146E8</v>
      </c>
      <c r="B27" s="68">
        <v>10.0</v>
      </c>
      <c r="C27" s="68">
        <v>8.0</v>
      </c>
      <c r="D27" s="68">
        <v>10.0</v>
      </c>
      <c r="E27" s="68">
        <v>10.0</v>
      </c>
      <c r="F27" s="68">
        <v>15.0</v>
      </c>
      <c r="G27" s="68">
        <v>20.0</v>
      </c>
      <c r="H27" s="68">
        <v>3.0</v>
      </c>
      <c r="I27" s="68">
        <v>76.0</v>
      </c>
    </row>
    <row r="28">
      <c r="A28" s="68">
        <v>3.12510151E8</v>
      </c>
      <c r="B28" s="68">
        <v>10.0</v>
      </c>
      <c r="C28" s="68">
        <v>8.0</v>
      </c>
      <c r="D28" s="68">
        <v>10.0</v>
      </c>
      <c r="E28" s="68">
        <v>10.0</v>
      </c>
      <c r="F28" s="68">
        <v>12.0</v>
      </c>
      <c r="G28" s="68">
        <v>25.0</v>
      </c>
      <c r="H28" s="68">
        <v>10.0</v>
      </c>
      <c r="I28" s="68">
        <v>85.0</v>
      </c>
    </row>
    <row r="29">
      <c r="A29" s="68">
        <v>3.12510217E8</v>
      </c>
      <c r="B29" s="68">
        <v>10.0</v>
      </c>
      <c r="C29" s="68">
        <v>0.0</v>
      </c>
      <c r="D29" s="68">
        <v>10.0</v>
      </c>
      <c r="E29" s="68">
        <v>10.0</v>
      </c>
      <c r="F29" s="68">
        <v>8.0</v>
      </c>
      <c r="G29" s="68">
        <v>12.0</v>
      </c>
      <c r="H29" s="68">
        <v>4.0</v>
      </c>
      <c r="I29" s="68">
        <v>54.0</v>
      </c>
    </row>
    <row r="30">
      <c r="A30" s="68">
        <v>3.12510224E8</v>
      </c>
      <c r="B30" s="68">
        <v>10.0</v>
      </c>
      <c r="C30" s="68">
        <v>10.0</v>
      </c>
      <c r="D30" s="68">
        <v>10.0</v>
      </c>
      <c r="E30" s="68">
        <v>10.0</v>
      </c>
      <c r="F30" s="68">
        <v>15.0</v>
      </c>
      <c r="G30" s="68">
        <v>15.0</v>
      </c>
      <c r="H30" s="68">
        <v>15.0</v>
      </c>
      <c r="I30" s="68">
        <v>85.0</v>
      </c>
    </row>
    <row r="31">
      <c r="A31" s="68">
        <v>3.12510239E8</v>
      </c>
      <c r="B31" s="68">
        <v>10.0</v>
      </c>
      <c r="C31" s="68">
        <v>8.0</v>
      </c>
      <c r="D31" s="68">
        <v>2.0</v>
      </c>
      <c r="E31" s="68">
        <v>10.0</v>
      </c>
      <c r="F31" s="68">
        <v>15.0</v>
      </c>
      <c r="G31" s="68">
        <v>15.0</v>
      </c>
      <c r="H31" s="68">
        <v>0.0</v>
      </c>
      <c r="I31" s="68">
        <v>60.0</v>
      </c>
    </row>
    <row r="32">
      <c r="A32" s="68">
        <v>3.12511036E8</v>
      </c>
      <c r="B32" s="68">
        <v>10.0</v>
      </c>
      <c r="C32" s="68">
        <v>10.0</v>
      </c>
      <c r="D32" s="68">
        <v>10.0</v>
      </c>
      <c r="E32" s="68">
        <v>10.0</v>
      </c>
      <c r="F32" s="68">
        <v>15.0</v>
      </c>
      <c r="G32" s="68">
        <v>22.0</v>
      </c>
      <c r="H32" s="68">
        <v>18.0</v>
      </c>
      <c r="I32" s="68">
        <v>95.0</v>
      </c>
    </row>
    <row r="33">
      <c r="A33" s="68">
        <v>3.1251104E8</v>
      </c>
      <c r="B33" s="68">
        <v>10.0</v>
      </c>
      <c r="C33" s="68">
        <v>10.0</v>
      </c>
      <c r="D33" s="68">
        <v>10.0</v>
      </c>
      <c r="E33" s="68">
        <v>10.0</v>
      </c>
      <c r="F33" s="68">
        <v>12.0</v>
      </c>
      <c r="G33" s="68">
        <v>20.0</v>
      </c>
      <c r="H33" s="68">
        <v>18.0</v>
      </c>
      <c r="I33" s="68">
        <v>90.0</v>
      </c>
    </row>
    <row r="34">
      <c r="A34" s="68">
        <v>3.12511048E8</v>
      </c>
      <c r="B34" s="68">
        <v>8.0</v>
      </c>
      <c r="C34" s="68">
        <v>10.0</v>
      </c>
      <c r="D34" s="68">
        <v>10.0</v>
      </c>
      <c r="E34" s="68">
        <v>10.0</v>
      </c>
      <c r="F34" s="68">
        <v>12.0</v>
      </c>
      <c r="G34" s="68">
        <v>25.0</v>
      </c>
      <c r="H34" s="68">
        <v>10.0</v>
      </c>
      <c r="I34" s="68">
        <v>85.0</v>
      </c>
      <c r="K34" s="68"/>
    </row>
    <row r="35">
      <c r="A35" s="68">
        <v>3.12511051E8</v>
      </c>
      <c r="B35" s="68">
        <v>10.0</v>
      </c>
      <c r="C35" s="68">
        <v>5.0</v>
      </c>
      <c r="D35" s="68">
        <v>5.0</v>
      </c>
      <c r="E35" s="68">
        <v>10.0</v>
      </c>
      <c r="F35" s="68">
        <v>12.0</v>
      </c>
      <c r="G35" s="68">
        <v>25.0</v>
      </c>
      <c r="H35" s="68">
        <v>10.0</v>
      </c>
      <c r="I35" s="68">
        <v>77.0</v>
      </c>
    </row>
    <row r="36">
      <c r="A36" s="68">
        <v>3.12511052E8</v>
      </c>
      <c r="B36" s="68">
        <v>10.0</v>
      </c>
      <c r="C36" s="68">
        <v>10.0</v>
      </c>
      <c r="D36" s="68">
        <v>10.0</v>
      </c>
      <c r="E36" s="68">
        <v>10.0</v>
      </c>
      <c r="F36" s="68">
        <v>5.0</v>
      </c>
      <c r="G36" s="68">
        <v>20.0</v>
      </c>
      <c r="H36" s="68">
        <v>0.0</v>
      </c>
      <c r="I36" s="68">
        <v>65.0</v>
      </c>
    </row>
    <row r="37">
      <c r="A37" s="68">
        <v>3.12511066E8</v>
      </c>
      <c r="B37" s="68">
        <v>10.0</v>
      </c>
      <c r="C37" s="68">
        <v>10.0</v>
      </c>
      <c r="D37" s="68">
        <v>10.0</v>
      </c>
      <c r="E37" s="68">
        <v>10.0</v>
      </c>
      <c r="F37" s="68">
        <v>15.0</v>
      </c>
      <c r="G37" s="68">
        <v>17.0</v>
      </c>
      <c r="H37" s="68">
        <v>16.0</v>
      </c>
      <c r="I37" s="68">
        <v>88.0</v>
      </c>
    </row>
    <row r="38">
      <c r="A38" s="68">
        <v>3.1251307E8</v>
      </c>
      <c r="B38" s="68">
        <v>10.0</v>
      </c>
      <c r="C38" s="68">
        <v>5.0</v>
      </c>
      <c r="D38" s="68">
        <v>0.0</v>
      </c>
      <c r="E38" s="68">
        <v>10.0</v>
      </c>
      <c r="F38" s="68">
        <v>8.0</v>
      </c>
      <c r="G38" s="68">
        <v>13.0</v>
      </c>
      <c r="H38" s="68">
        <v>0.0</v>
      </c>
      <c r="I38" s="68">
        <v>46.0</v>
      </c>
    </row>
    <row r="39">
      <c r="A39" s="68">
        <v>3.12513086E8</v>
      </c>
      <c r="B39" s="68">
        <v>5.0</v>
      </c>
      <c r="C39" s="68">
        <v>8.0</v>
      </c>
      <c r="D39" s="68">
        <v>0.0</v>
      </c>
      <c r="E39" s="68">
        <v>5.0</v>
      </c>
      <c r="F39" s="68">
        <v>5.0</v>
      </c>
      <c r="G39" s="68">
        <v>20.0</v>
      </c>
      <c r="H39" s="68">
        <v>0.0</v>
      </c>
      <c r="I39" s="68">
        <v>43.0</v>
      </c>
    </row>
    <row r="40">
      <c r="A40" s="68">
        <v>3.1251309E8</v>
      </c>
      <c r="B40" s="68">
        <v>10.0</v>
      </c>
      <c r="C40" s="68">
        <v>8.0</v>
      </c>
      <c r="D40" s="68">
        <v>10.0</v>
      </c>
      <c r="E40" s="68">
        <v>10.0</v>
      </c>
      <c r="F40" s="68">
        <v>10.0</v>
      </c>
      <c r="G40" s="68">
        <v>13.0</v>
      </c>
      <c r="H40" s="68">
        <v>0.0</v>
      </c>
      <c r="I40" s="68">
        <v>61.0</v>
      </c>
    </row>
    <row r="41">
      <c r="A41" s="68">
        <v>3.12513093E8</v>
      </c>
      <c r="B41" s="68">
        <v>10.0</v>
      </c>
      <c r="C41" s="68">
        <v>8.0</v>
      </c>
      <c r="D41" s="68">
        <v>0.0</v>
      </c>
      <c r="E41" s="68">
        <v>8.0</v>
      </c>
      <c r="F41" s="68">
        <v>10.0</v>
      </c>
      <c r="G41" s="68">
        <v>15.0</v>
      </c>
      <c r="H41" s="68">
        <v>10.0</v>
      </c>
      <c r="I41" s="68">
        <v>61.0</v>
      </c>
    </row>
    <row r="42">
      <c r="A42" s="68">
        <v>3.1255103E8</v>
      </c>
      <c r="B42" s="68">
        <v>10.0</v>
      </c>
      <c r="C42" s="68">
        <v>10.0</v>
      </c>
      <c r="D42" s="68">
        <v>10.0</v>
      </c>
      <c r="E42" s="68">
        <v>10.0</v>
      </c>
      <c r="F42" s="68">
        <v>10.0</v>
      </c>
      <c r="G42" s="68">
        <v>20.0</v>
      </c>
      <c r="H42" s="68">
        <v>4.0</v>
      </c>
      <c r="I42" s="68">
        <v>74.0</v>
      </c>
    </row>
    <row r="43">
      <c r="A43" s="68">
        <v>3.12551073E8</v>
      </c>
      <c r="B43" s="68">
        <v>10.0</v>
      </c>
      <c r="C43" s="68">
        <v>8.0</v>
      </c>
      <c r="D43" s="68">
        <v>10.0</v>
      </c>
      <c r="E43" s="68">
        <v>10.0</v>
      </c>
      <c r="F43" s="68">
        <v>14.0</v>
      </c>
      <c r="G43" s="68">
        <v>25.0</v>
      </c>
      <c r="H43" s="68">
        <v>7.0</v>
      </c>
      <c r="I43" s="68">
        <v>84.0</v>
      </c>
    </row>
    <row r="44">
      <c r="A44" s="68">
        <v>3.1255113E8</v>
      </c>
      <c r="B44" s="68">
        <v>10.0</v>
      </c>
      <c r="C44" s="68">
        <v>10.0</v>
      </c>
      <c r="D44" s="68">
        <v>10.0</v>
      </c>
      <c r="E44" s="68">
        <v>10.0</v>
      </c>
      <c r="F44" s="68">
        <v>15.0</v>
      </c>
      <c r="G44" s="68">
        <v>25.0</v>
      </c>
      <c r="H44" s="68">
        <v>8.0</v>
      </c>
      <c r="I44" s="68">
        <v>88.0</v>
      </c>
    </row>
    <row r="45">
      <c r="A45" s="68">
        <v>3.12551133E8</v>
      </c>
      <c r="B45" s="68">
        <v>10.0</v>
      </c>
      <c r="C45" s="68">
        <v>10.0</v>
      </c>
      <c r="D45" s="68">
        <v>10.0</v>
      </c>
      <c r="E45" s="68">
        <v>10.0</v>
      </c>
      <c r="F45" s="68">
        <v>15.0</v>
      </c>
      <c r="G45" s="68">
        <v>25.0</v>
      </c>
      <c r="H45" s="68">
        <v>15.0</v>
      </c>
      <c r="I45" s="70">
        <v>95.0</v>
      </c>
      <c r="J45" s="68"/>
    </row>
    <row r="46">
      <c r="A46" s="68">
        <v>3.12551134E8</v>
      </c>
      <c r="B46" s="68">
        <v>10.0</v>
      </c>
      <c r="C46" s="68">
        <v>10.0</v>
      </c>
      <c r="D46" s="68">
        <v>10.0</v>
      </c>
      <c r="E46" s="68">
        <v>10.0</v>
      </c>
      <c r="F46" s="68">
        <v>15.0</v>
      </c>
      <c r="G46" s="68">
        <v>25.0</v>
      </c>
      <c r="H46" s="68">
        <v>20.0</v>
      </c>
      <c r="I46" s="68">
        <v>100.0</v>
      </c>
    </row>
    <row r="47">
      <c r="A47" s="68">
        <v>3.12551172E8</v>
      </c>
      <c r="B47" s="68">
        <v>10.0</v>
      </c>
      <c r="C47" s="68">
        <v>5.0</v>
      </c>
      <c r="D47" s="68">
        <v>5.0</v>
      </c>
      <c r="E47" s="68">
        <v>10.0</v>
      </c>
      <c r="F47" s="68">
        <v>5.0</v>
      </c>
      <c r="G47" s="68">
        <v>17.0</v>
      </c>
      <c r="H47" s="68">
        <v>5.0</v>
      </c>
      <c r="I47" s="68">
        <v>57.0</v>
      </c>
    </row>
    <row r="48">
      <c r="A48" s="68">
        <v>3.12554001E8</v>
      </c>
      <c r="B48" s="68">
        <v>10.0</v>
      </c>
      <c r="C48" s="68">
        <v>5.0</v>
      </c>
      <c r="D48" s="68">
        <v>10.0</v>
      </c>
      <c r="E48" s="68">
        <v>10.0</v>
      </c>
      <c r="F48" s="68">
        <v>5.0</v>
      </c>
      <c r="G48" s="68">
        <v>8.0</v>
      </c>
      <c r="H48" s="68">
        <v>0.0</v>
      </c>
      <c r="I48" s="68">
        <v>48.0</v>
      </c>
    </row>
    <row r="49">
      <c r="A49" s="68">
        <v>3.12554005E8</v>
      </c>
      <c r="B49" s="68">
        <v>10.0</v>
      </c>
      <c r="C49" s="68">
        <v>6.0</v>
      </c>
      <c r="D49" s="68">
        <v>10.0</v>
      </c>
      <c r="E49" s="68">
        <v>10.0</v>
      </c>
      <c r="F49" s="68">
        <v>15.0</v>
      </c>
      <c r="G49" s="68">
        <v>25.0</v>
      </c>
      <c r="H49" s="68">
        <v>10.0</v>
      </c>
      <c r="I49" s="68">
        <v>86.0</v>
      </c>
    </row>
    <row r="50">
      <c r="A50" s="68">
        <v>3.12580065E8</v>
      </c>
      <c r="B50" s="68">
        <v>9.0</v>
      </c>
      <c r="C50" s="68">
        <v>8.0</v>
      </c>
      <c r="D50" s="68">
        <v>7.0</v>
      </c>
      <c r="E50" s="68">
        <v>8.0</v>
      </c>
      <c r="F50" s="68">
        <v>10.0</v>
      </c>
      <c r="G50" s="68">
        <v>8.0</v>
      </c>
      <c r="H50" s="68">
        <v>0.0</v>
      </c>
      <c r="I50" s="68">
        <v>50.0</v>
      </c>
    </row>
    <row r="51">
      <c r="A51" s="68">
        <v>3.12580067E8</v>
      </c>
      <c r="B51" s="68">
        <v>10.0</v>
      </c>
      <c r="C51" s="68">
        <v>0.0</v>
      </c>
      <c r="D51" s="68">
        <v>5.0</v>
      </c>
      <c r="E51" s="68">
        <v>10.0</v>
      </c>
      <c r="F51" s="68">
        <v>15.0</v>
      </c>
      <c r="G51" s="68">
        <v>10.0</v>
      </c>
      <c r="H51" s="68">
        <v>8.0</v>
      </c>
      <c r="I51" s="68">
        <v>58.0</v>
      </c>
    </row>
    <row r="52">
      <c r="A52" s="68">
        <v>3.12581032E8</v>
      </c>
      <c r="B52" s="68">
        <v>10.0</v>
      </c>
      <c r="C52" s="68">
        <v>0.0</v>
      </c>
      <c r="D52" s="68">
        <v>8.0</v>
      </c>
      <c r="E52" s="68">
        <v>10.0</v>
      </c>
      <c r="F52" s="68">
        <v>5.0</v>
      </c>
      <c r="G52" s="68">
        <v>13.0</v>
      </c>
      <c r="H52" s="68">
        <v>0.0</v>
      </c>
      <c r="I52" s="68">
        <v>46.0</v>
      </c>
    </row>
    <row r="53">
      <c r="A53" s="68">
        <v>3.12831014E8</v>
      </c>
      <c r="B53" s="68">
        <v>10.0</v>
      </c>
      <c r="C53" s="68">
        <v>10.0</v>
      </c>
      <c r="D53" s="68">
        <v>10.0</v>
      </c>
      <c r="E53" s="68">
        <v>10.0</v>
      </c>
      <c r="F53" s="68">
        <v>10.0</v>
      </c>
      <c r="G53" s="68">
        <v>20.0</v>
      </c>
      <c r="H53" s="68">
        <v>15.0</v>
      </c>
      <c r="I53" s="68">
        <v>85.0</v>
      </c>
    </row>
    <row r="54">
      <c r="A54" s="68">
        <v>4.10513009E8</v>
      </c>
      <c r="B54" s="68">
        <v>10.0</v>
      </c>
      <c r="C54" s="68">
        <v>0.0</v>
      </c>
      <c r="D54" s="68">
        <v>0.0</v>
      </c>
      <c r="E54" s="68">
        <v>10.0</v>
      </c>
      <c r="F54" s="68">
        <v>8.0</v>
      </c>
      <c r="G54" s="68">
        <v>12.0</v>
      </c>
      <c r="H54" s="68">
        <v>0.0</v>
      </c>
      <c r="I54" s="68">
        <v>40.0</v>
      </c>
    </row>
    <row r="55">
      <c r="A55" s="68">
        <v>4.11511001E8</v>
      </c>
      <c r="B55" s="68">
        <v>0.0</v>
      </c>
      <c r="C55" s="68">
        <v>8.0</v>
      </c>
      <c r="D55" s="68">
        <v>10.0</v>
      </c>
      <c r="E55" s="68">
        <v>8.0</v>
      </c>
      <c r="F55" s="68">
        <v>5.0</v>
      </c>
      <c r="G55" s="68">
        <v>15.0</v>
      </c>
      <c r="H55" s="68">
        <v>0.0</v>
      </c>
      <c r="I55" s="68">
        <v>46.0</v>
      </c>
    </row>
    <row r="56">
      <c r="A56" s="68">
        <v>4.12580001E8</v>
      </c>
      <c r="B56" s="68">
        <v>10.0</v>
      </c>
      <c r="C56" s="68">
        <v>10.0</v>
      </c>
      <c r="D56" s="68">
        <v>10.0</v>
      </c>
      <c r="E56" s="68">
        <v>10.0</v>
      </c>
      <c r="F56" s="68">
        <v>10.0</v>
      </c>
      <c r="G56" s="68">
        <v>15.0</v>
      </c>
      <c r="H56" s="68">
        <v>0.0</v>
      </c>
      <c r="I56" s="68">
        <v>65.0</v>
      </c>
    </row>
    <row r="57">
      <c r="A57" s="68">
        <v>5.1066102E8</v>
      </c>
      <c r="B57" s="68">
        <v>5.0</v>
      </c>
      <c r="C57" s="68">
        <v>0.0</v>
      </c>
      <c r="D57" s="68">
        <v>2.0</v>
      </c>
      <c r="E57" s="68">
        <v>5.0</v>
      </c>
      <c r="F57" s="68">
        <v>5.0</v>
      </c>
      <c r="G57" s="68">
        <v>5.0</v>
      </c>
      <c r="H57" s="68">
        <v>0.0</v>
      </c>
      <c r="I57" s="68">
        <v>22.0</v>
      </c>
    </row>
    <row r="58">
      <c r="A58" s="72" t="s">
        <v>159</v>
      </c>
      <c r="B58" s="68">
        <v>10.0</v>
      </c>
      <c r="C58" s="68">
        <v>0.0</v>
      </c>
      <c r="D58" s="68">
        <v>8.0</v>
      </c>
      <c r="E58" s="68">
        <v>5.0</v>
      </c>
      <c r="F58" s="68">
        <v>8.0</v>
      </c>
      <c r="G58" s="68">
        <v>20.0</v>
      </c>
      <c r="H58" s="68">
        <v>0.0</v>
      </c>
      <c r="I58" s="68">
        <v>51.0</v>
      </c>
    </row>
    <row r="59">
      <c r="A59" s="73" t="s">
        <v>169</v>
      </c>
      <c r="B59" s="66">
        <f t="shared" ref="B59:I59" si="1">AVERAGE(B2:B58)</f>
        <v>9.456140351</v>
      </c>
      <c r="C59" s="66">
        <f t="shared" si="1"/>
        <v>7.175438596</v>
      </c>
      <c r="D59" s="66">
        <f t="shared" si="1"/>
        <v>8.315789474</v>
      </c>
      <c r="E59" s="66">
        <f t="shared" si="1"/>
        <v>8.859649123</v>
      </c>
      <c r="F59" s="66">
        <f t="shared" si="1"/>
        <v>10.54385965</v>
      </c>
      <c r="G59" s="66">
        <f t="shared" si="1"/>
        <v>19.33333333</v>
      </c>
      <c r="H59" s="66">
        <f t="shared" si="1"/>
        <v>8.49122807</v>
      </c>
      <c r="I59" s="66">
        <f t="shared" si="1"/>
        <v>72.1754386</v>
      </c>
    </row>
  </sheetData>
  <drawing r:id="rId1"/>
</worksheet>
</file>