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ck\"/>
    </mc:Choice>
  </mc:AlternateContent>
  <xr:revisionPtr revIDLastSave="0" documentId="13_ncr:1_{B2ADCD7A-7CD2-48ED-8147-E47C14D13083}" xr6:coauthVersionLast="45" xr6:coauthVersionMax="45" xr10:uidLastSave="{00000000-0000-0000-0000-000000000000}"/>
  <bookViews>
    <workbookView xWindow="-108" yWindow="-108" windowWidth="23256" windowHeight="12576" activeTab="5" xr2:uid="{594E8129-A879-4801-B905-4B0EFC9B1A4E}"/>
  </bookViews>
  <sheets>
    <sheet name="Pril1_1" sheetId="1" r:id="rId1"/>
    <sheet name="Pril1_2" sheetId="2" r:id="rId2"/>
    <sheet name="PRIL1_3" sheetId="3" r:id="rId3"/>
    <sheet name="PRIL2_1" sheetId="4" r:id="rId4"/>
    <sheet name="PRIL3_1" sheetId="5" r:id="rId5"/>
    <sheet name="PRIL3_2" sheetId="6" r:id="rId6"/>
    <sheet name="PRIL3_3" sheetId="7" r:id="rId7"/>
  </sheets>
  <definedNames>
    <definedName name="solver_adj" localSheetId="4" hidden="1">PRIL3_1!$M$10:$M$14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PRIL3_1!$K$10</definedName>
    <definedName name="solver_lhs2" localSheetId="4" hidden="1">PRIL3_1!$K$11</definedName>
    <definedName name="solver_lhs3" localSheetId="4" hidden="1">PRIL3_1!$K$12</definedName>
    <definedName name="solver_lhs4" localSheetId="4" hidden="1">PRIL3_1!$M$10:$M$14</definedName>
    <definedName name="solver_lhs5" localSheetId="4" hidden="1">PRIL3_1!$M$3:$M$7</definedName>
    <definedName name="solver_lhs6" localSheetId="4" hidden="1">PRIL3_1!$M$3:$M$7</definedName>
    <definedName name="solver_lhs7" localSheetId="4" hidden="1">PRIL3_1!$M$3:$M$7</definedName>
    <definedName name="solver_lhs8" localSheetId="4" hidden="1">PRIL3_1!$M$3:$M$7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PRIL3_1!$B$10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el3" localSheetId="4" hidden="1">2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0</definedName>
    <definedName name="solver_rhs2" localSheetId="4" hidden="1">0</definedName>
    <definedName name="solver_rhs3" localSheetId="4" hidden="1">0</definedName>
    <definedName name="solver_rhs4" localSheetId="4" hidden="1">0</definedName>
    <definedName name="solver_rhs5" localSheetId="4" hidden="1">0</definedName>
    <definedName name="solver_rhs6" localSheetId="4" hidden="1">0</definedName>
    <definedName name="solver_rhs7" localSheetId="4" hidden="1">0</definedName>
    <definedName name="solver_rhs8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" i="4" l="1"/>
  <c r="J19" i="5" l="1"/>
  <c r="J20" i="5"/>
  <c r="J21" i="5"/>
  <c r="J22" i="5"/>
  <c r="J23" i="5"/>
  <c r="J24" i="5"/>
  <c r="J18" i="5"/>
  <c r="I19" i="5" l="1"/>
  <c r="I20" i="5"/>
  <c r="I21" i="5"/>
  <c r="I22" i="5"/>
  <c r="I23" i="5"/>
  <c r="I24" i="5"/>
  <c r="I18" i="5"/>
  <c r="H19" i="5"/>
  <c r="H20" i="5"/>
  <c r="H21" i="5"/>
  <c r="H22" i="5"/>
  <c r="H23" i="5"/>
  <c r="H24" i="5"/>
  <c r="H18" i="5"/>
  <c r="G25" i="5"/>
  <c r="F25" i="5"/>
  <c r="K12" i="5"/>
  <c r="K11" i="5"/>
  <c r="K10" i="5"/>
  <c r="B10" i="5"/>
  <c r="K3" i="5"/>
  <c r="M7" i="5"/>
  <c r="M6" i="5"/>
  <c r="M5" i="5"/>
  <c r="M4" i="5"/>
  <c r="M3" i="5"/>
  <c r="K5" i="5"/>
  <c r="K4" i="5"/>
  <c r="B3" i="5"/>
  <c r="M13" i="4"/>
  <c r="M12" i="4"/>
  <c r="M11" i="4"/>
  <c r="D16" i="4"/>
  <c r="E16" i="4"/>
  <c r="F16" i="4"/>
  <c r="C16" i="4"/>
  <c r="G11" i="4"/>
  <c r="G12" i="4"/>
  <c r="G13" i="4"/>
  <c r="G14" i="4"/>
  <c r="G15" i="4"/>
  <c r="M10" i="4" s="1"/>
  <c r="G6" i="4"/>
  <c r="G7" i="4"/>
  <c r="G8" i="4"/>
  <c r="G9" i="4"/>
  <c r="G10" i="4"/>
  <c r="G5" i="4"/>
  <c r="G16" i="4" l="1"/>
  <c r="M9" i="4"/>
  <c r="G3" i="3"/>
  <c r="G4" i="3"/>
  <c r="F3" i="3"/>
  <c r="K5" i="2"/>
  <c r="L5" i="2"/>
  <c r="M5" i="2" s="1"/>
  <c r="N5" i="2" s="1"/>
  <c r="O5" i="2" s="1"/>
  <c r="P5" i="2" s="1"/>
  <c r="Q5" i="2" s="1"/>
  <c r="R5" i="2" s="1"/>
  <c r="S5" i="2" s="1"/>
  <c r="T5" i="2" s="1"/>
  <c r="U5" i="2" s="1"/>
  <c r="V5" i="2" s="1"/>
  <c r="F4" i="2"/>
  <c r="G4" i="2"/>
  <c r="H4" i="2" s="1"/>
  <c r="I4" i="2" s="1"/>
  <c r="J4" i="2" s="1"/>
  <c r="F5" i="2"/>
  <c r="G5" i="2" s="1"/>
  <c r="H5" i="2" s="1"/>
  <c r="I5" i="2" s="1"/>
  <c r="J5" i="2" s="1"/>
  <c r="H3" i="2"/>
  <c r="I3" i="2" s="1"/>
  <c r="J3" i="2" s="1"/>
  <c r="K3" i="2" s="1"/>
  <c r="L3" i="2" s="1"/>
  <c r="M3" i="2" s="1"/>
  <c r="G3" i="2"/>
  <c r="F3" i="2"/>
  <c r="B5" i="2"/>
  <c r="O4" i="1"/>
  <c r="N4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B4" i="2"/>
  <c r="F4" i="1"/>
  <c r="G4" i="1" s="1"/>
  <c r="H4" i="1" s="1"/>
  <c r="I4" i="1" s="1"/>
  <c r="J4" i="1" s="1"/>
  <c r="K4" i="1" s="1"/>
  <c r="L4" i="1" s="1"/>
  <c r="M4" i="1" s="1"/>
  <c r="F5" i="1"/>
  <c r="G5" i="1" s="1"/>
  <c r="H5" i="1" s="1"/>
  <c r="I5" i="1" s="1"/>
  <c r="J5" i="1" s="1"/>
  <c r="K5" i="1" s="1"/>
  <c r="L5" i="1" s="1"/>
  <c r="M5" i="1" s="1"/>
  <c r="G3" i="1"/>
  <c r="F3" i="1"/>
  <c r="G13" i="3" l="1"/>
  <c r="G7" i="3"/>
  <c r="G10" i="3"/>
  <c r="G6" i="3"/>
  <c r="G9" i="3"/>
  <c r="G5" i="3"/>
  <c r="G11" i="3"/>
  <c r="G12" i="3"/>
  <c r="G8" i="3"/>
</calcChain>
</file>

<file path=xl/sharedStrings.xml><?xml version="1.0" encoding="utf-8"?>
<sst xmlns="http://schemas.openxmlformats.org/spreadsheetml/2006/main" count="75" uniqueCount="59">
  <si>
    <t>a1</t>
  </si>
  <si>
    <t>d</t>
  </si>
  <si>
    <t>n</t>
  </si>
  <si>
    <t>b1</t>
  </si>
  <si>
    <t>q</t>
  </si>
  <si>
    <t>X</t>
  </si>
  <si>
    <t>Y</t>
  </si>
  <si>
    <t>F1</t>
  </si>
  <si>
    <t>F2</t>
  </si>
  <si>
    <t>Пассажирооброт и выручка</t>
  </si>
  <si>
    <t>Время рейса</t>
  </si>
  <si>
    <t>Направление</t>
  </si>
  <si>
    <t>Город</t>
  </si>
  <si>
    <t>Пригород</t>
  </si>
  <si>
    <t>Всего</t>
  </si>
  <si>
    <t>Льготники</t>
  </si>
  <si>
    <t>из Петрозаводска</t>
  </si>
  <si>
    <t>в Петрозаводск</t>
  </si>
  <si>
    <t>Сумма</t>
  </si>
  <si>
    <t>Стоимость проезда</t>
  </si>
  <si>
    <t>Обычный</t>
  </si>
  <si>
    <t>Льготный</t>
  </si>
  <si>
    <t>в Солигорск</t>
  </si>
  <si>
    <t>из Солигорска</t>
  </si>
  <si>
    <t>в Минск</t>
  </si>
  <si>
    <t>из Минска</t>
  </si>
  <si>
    <t>в Киев</t>
  </si>
  <si>
    <t>Данные</t>
  </si>
  <si>
    <t>Максимальная выручка за рейс</t>
  </si>
  <si>
    <t>Минимальная выручка за рейс</t>
  </si>
  <si>
    <t>Кол-во льготников</t>
  </si>
  <si>
    <t>Кол-во рейсов, где льготников больше</t>
  </si>
  <si>
    <t>Сумма за льготников</t>
  </si>
  <si>
    <t>x1</t>
  </si>
  <si>
    <t>x2</t>
  </si>
  <si>
    <t>x3</t>
  </si>
  <si>
    <t>F(x)</t>
  </si>
  <si>
    <t>Условие</t>
  </si>
  <si>
    <t>x4</t>
  </si>
  <si>
    <t>x5</t>
  </si>
  <si>
    <t>Наименование показателя</t>
  </si>
  <si>
    <t>Земельные участки и объекты природодополнения</t>
  </si>
  <si>
    <t>Здания</t>
  </si>
  <si>
    <t>Сооружения</t>
  </si>
  <si>
    <t>Машины и оборудования</t>
  </si>
  <si>
    <t>Транспортные средства</t>
  </si>
  <si>
    <t>Производственный и хоз. Инвентарь</t>
  </si>
  <si>
    <t>Многолетние насаждения</t>
  </si>
  <si>
    <t>Абсолютное значение, тыс. Руб.</t>
  </si>
  <si>
    <t>на н.г.</t>
  </si>
  <si>
    <t>на к.г</t>
  </si>
  <si>
    <t>SS</t>
  </si>
  <si>
    <t>Ui</t>
  </si>
  <si>
    <t>на н.г</t>
  </si>
  <si>
    <t>на к.г.</t>
  </si>
  <si>
    <t>Изменение удельного веса</t>
  </si>
  <si>
    <t>Кол-во пассажиров в заданный промежуток</t>
  </si>
  <si>
    <t>Начало промежутка</t>
  </si>
  <si>
    <t>Конец промежутка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</si>
</sst>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3" xfId="0" applyBorder="1"/>
    <xf numFmtId="9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Border="1"/>
    <xf numFmtId="20" fontId="0" fillId="0" borderId="1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0" xfId="0" applyNumberFormat="1"/>
    <xf numFmtId="10" fontId="0" fillId="0" borderId="23" xfId="0" applyNumberFormat="1" applyBorder="1"/>
    <xf numFmtId="10" fontId="0" fillId="0" borderId="25" xfId="0" applyNumberFormat="1" applyBorder="1"/>
    <xf numFmtId="0" fontId="0" fillId="0" borderId="29" xfId="0" applyBorder="1"/>
    <xf numFmtId="0" fontId="0" fillId="0" borderId="30" xfId="0" applyBorder="1"/>
    <xf numFmtId="10" fontId="0" fillId="0" borderId="0" xfId="0" applyNumberFormat="1" applyBorder="1"/>
    <xf numFmtId="10" fontId="0" fillId="0" borderId="26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PRIL1_3!$C$3:$C$13</c:f>
              <c:numCache>
                <c:formatCode>General</c:formatCode>
                <c:ptCount val="11"/>
                <c:pt idx="0">
                  <c:v>10</c:v>
                </c:pt>
                <c:pt idx="1">
                  <c:v>124</c:v>
                </c:pt>
                <c:pt idx="2">
                  <c:v>238</c:v>
                </c:pt>
                <c:pt idx="3">
                  <c:v>352</c:v>
                </c:pt>
                <c:pt idx="4">
                  <c:v>466</c:v>
                </c:pt>
                <c:pt idx="5">
                  <c:v>580</c:v>
                </c:pt>
                <c:pt idx="6">
                  <c:v>694</c:v>
                </c:pt>
                <c:pt idx="7">
                  <c:v>808</c:v>
                </c:pt>
                <c:pt idx="8">
                  <c:v>922</c:v>
                </c:pt>
                <c:pt idx="9">
                  <c:v>1036</c:v>
                </c:pt>
                <c:pt idx="10">
                  <c:v>1150</c:v>
                </c:pt>
              </c:numCache>
            </c:numRef>
          </c:cat>
          <c:val>
            <c:numRef>
              <c:f>PRIL1_3!$G$3:$G$13</c:f>
              <c:numCache>
                <c:formatCode>General</c:formatCode>
                <c:ptCount val="11"/>
                <c:pt idx="0">
                  <c:v>-5.8162725287334771</c:v>
                </c:pt>
                <c:pt idx="1">
                  <c:v>-4.207446766279987</c:v>
                </c:pt>
                <c:pt idx="2">
                  <c:v>-4.1550625969382491</c:v>
                </c:pt>
                <c:pt idx="3">
                  <c:v>-4.1369065403158638</c:v>
                </c:pt>
                <c:pt idx="4">
                  <c:v>-4.1276933346287858</c:v>
                </c:pt>
                <c:pt idx="5">
                  <c:v>-4.122121507456308</c:v>
                </c:pt>
                <c:pt idx="6">
                  <c:v>-4.1183885114729639</c:v>
                </c:pt>
                <c:pt idx="7">
                  <c:v>-4.1157130038004484</c:v>
                </c:pt>
                <c:pt idx="8">
                  <c:v>-4.1137013879345643</c:v>
                </c:pt>
                <c:pt idx="9">
                  <c:v>-4.1121338355747037</c:v>
                </c:pt>
                <c:pt idx="10">
                  <c:v>-4.1108779235292934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DC8-ABED-7AB1DDA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974912"/>
        <c:axId val="724883328"/>
      </c:lineChart>
      <c:catAx>
        <c:axId val="7369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83328"/>
        <c:crosses val="autoZero"/>
        <c:auto val="1"/>
        <c:lblAlgn val="ctr"/>
        <c:lblOffset val="100"/>
        <c:noMultiLvlLbl val="0"/>
      </c:catAx>
      <c:valAx>
        <c:axId val="7248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Структура основных средств предприятия"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7-4128-BA61-ADB0A1EF82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7-4128-BA61-ADB0A1EF82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77-4128-BA61-ADB0A1EF82D0}"/>
              </c:ext>
            </c:extLst>
          </c:dPt>
          <c:dPt>
            <c:idx val="3"/>
            <c:bubble3D val="0"/>
            <c:explosion val="4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77-4128-BA61-ADB0A1EF82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77-4128-BA61-ADB0A1EF82D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77-4128-BA61-ADB0A1EF82D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77-4128-BA61-ADB0A1EF82D0}"/>
              </c:ext>
            </c:extLst>
          </c:dPt>
          <c:dLbls>
            <c:dLbl>
              <c:idx val="0"/>
              <c:layout>
                <c:manualLayout>
                  <c:x val="2.8659611992945325E-2"/>
                  <c:y val="-8.3333333333333592E-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7-4128-BA61-ADB0A1EF82D0}"/>
                </c:ext>
              </c:extLst>
            </c:dLbl>
            <c:dLbl>
              <c:idx val="4"/>
              <c:layout>
                <c:manualLayout>
                  <c:x val="-5.9523809523809521E-2"/>
                  <c:y val="-1.38888888888888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7-4128-BA61-ADB0A1EF82D0}"/>
                </c:ext>
              </c:extLst>
            </c:dLbl>
            <c:dLbl>
              <c:idx val="5"/>
              <c:layout>
                <c:manualLayout>
                  <c:x val="-5.7319223985890733E-2"/>
                  <c:y val="-5.8333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7-4128-BA61-ADB0A1EF82D0}"/>
                </c:ext>
              </c:extLst>
            </c:dLbl>
            <c:dLbl>
              <c:idx val="6"/>
              <c:layout>
                <c:manualLayout>
                  <c:x val="6.6137566137565327E-3"/>
                  <c:y val="-7.499999999999999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7-4128-BA61-ADB0A1EF82D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PRIL3_1!$B$18:$E$24</c:f>
              <c:strCache>
                <c:ptCount val="7"/>
                <c:pt idx="0">
                  <c:v>Земельные участки и объекты природодополнения</c:v>
                </c:pt>
                <c:pt idx="1">
                  <c:v>Здания</c:v>
                </c:pt>
                <c:pt idx="2">
                  <c:v>Сооружения</c:v>
                </c:pt>
                <c:pt idx="3">
                  <c:v>Машины и оборудования</c:v>
                </c:pt>
                <c:pt idx="4">
                  <c:v>Транспортные средства</c:v>
                </c:pt>
                <c:pt idx="5">
                  <c:v>Производственный и хоз. Инвентарь</c:v>
                </c:pt>
                <c:pt idx="6">
                  <c:v>Многолетние насаждения</c:v>
                </c:pt>
              </c:strCache>
            </c:strRef>
          </c:cat>
          <c:val>
            <c:numRef>
              <c:f>PRIL3_1!$F$18:$F$24</c:f>
              <c:numCache>
                <c:formatCode>General</c:formatCode>
                <c:ptCount val="7"/>
                <c:pt idx="0">
                  <c:v>33159</c:v>
                </c:pt>
                <c:pt idx="1">
                  <c:v>139362</c:v>
                </c:pt>
                <c:pt idx="2">
                  <c:v>127327</c:v>
                </c:pt>
                <c:pt idx="3">
                  <c:v>262482</c:v>
                </c:pt>
                <c:pt idx="4">
                  <c:v>17532</c:v>
                </c:pt>
                <c:pt idx="5">
                  <c:v>4966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77-4128-BA61-ADB0A1EF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666666666666666E-2"/>
          <c:y val="0.15793394575678041"/>
          <c:w val="0.29035832326514743"/>
          <c:h val="0.5395879265091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Анализ основных средств предприятия</a:t>
            </a:r>
            <a:endParaRPr lang="en-US" sz="14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PRIL3_1!$F$17</c:f>
              <c:strCache>
                <c:ptCount val="1"/>
                <c:pt idx="0">
                  <c:v>на н.г.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PRIL3_1!$B$18:$E$24</c:f>
              <c:strCache>
                <c:ptCount val="7"/>
                <c:pt idx="0">
                  <c:v>Земельные участки и объекты природодополнения</c:v>
                </c:pt>
                <c:pt idx="1">
                  <c:v>Здания</c:v>
                </c:pt>
                <c:pt idx="2">
                  <c:v>Сооружения</c:v>
                </c:pt>
                <c:pt idx="3">
                  <c:v>Машины и оборудования</c:v>
                </c:pt>
                <c:pt idx="4">
                  <c:v>Транспортные средства</c:v>
                </c:pt>
                <c:pt idx="5">
                  <c:v>Производственный и хоз. Инвентарь</c:v>
                </c:pt>
                <c:pt idx="6">
                  <c:v>Многолетние насаждения</c:v>
                </c:pt>
              </c:strCache>
            </c:strRef>
          </c:cat>
          <c:val>
            <c:numRef>
              <c:f>PRIL3_1!$F$18:$F$24</c:f>
              <c:numCache>
                <c:formatCode>General</c:formatCode>
                <c:ptCount val="7"/>
                <c:pt idx="0">
                  <c:v>33159</c:v>
                </c:pt>
                <c:pt idx="1">
                  <c:v>139362</c:v>
                </c:pt>
                <c:pt idx="2">
                  <c:v>127327</c:v>
                </c:pt>
                <c:pt idx="3">
                  <c:v>262482</c:v>
                </c:pt>
                <c:pt idx="4">
                  <c:v>17532</c:v>
                </c:pt>
                <c:pt idx="5">
                  <c:v>4966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5-4F66-84F1-DCF356460A01}"/>
            </c:ext>
          </c:extLst>
        </c:ser>
        <c:ser>
          <c:idx val="1"/>
          <c:order val="1"/>
          <c:tx>
            <c:strRef>
              <c:f>PRIL3_1!$G$17</c:f>
              <c:strCache>
                <c:ptCount val="1"/>
                <c:pt idx="0">
                  <c:v>на к.г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PRIL3_1!$B$18:$E$24</c:f>
              <c:strCache>
                <c:ptCount val="7"/>
                <c:pt idx="0">
                  <c:v>Земельные участки и объекты природодополнения</c:v>
                </c:pt>
                <c:pt idx="1">
                  <c:v>Здания</c:v>
                </c:pt>
                <c:pt idx="2">
                  <c:v>Сооружения</c:v>
                </c:pt>
                <c:pt idx="3">
                  <c:v>Машины и оборудования</c:v>
                </c:pt>
                <c:pt idx="4">
                  <c:v>Транспортные средства</c:v>
                </c:pt>
                <c:pt idx="5">
                  <c:v>Производственный и хоз. Инвентарь</c:v>
                </c:pt>
                <c:pt idx="6">
                  <c:v>Многолетние насаждения</c:v>
                </c:pt>
              </c:strCache>
            </c:strRef>
          </c:cat>
          <c:val>
            <c:numRef>
              <c:f>PRIL3_1!$G$18:$G$24</c:f>
              <c:numCache>
                <c:formatCode>General</c:formatCode>
                <c:ptCount val="7"/>
                <c:pt idx="0">
                  <c:v>33159</c:v>
                </c:pt>
                <c:pt idx="1">
                  <c:v>142910</c:v>
                </c:pt>
                <c:pt idx="2">
                  <c:v>134297</c:v>
                </c:pt>
                <c:pt idx="3">
                  <c:v>360535</c:v>
                </c:pt>
                <c:pt idx="4">
                  <c:v>19371</c:v>
                </c:pt>
                <c:pt idx="5">
                  <c:v>5554</c:v>
                </c:pt>
                <c:pt idx="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5-4F66-84F1-DCF35646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676960"/>
        <c:axId val="1963897696"/>
      </c:barChart>
      <c:catAx>
        <c:axId val="17826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97696"/>
        <c:crosses val="autoZero"/>
        <c:auto val="1"/>
        <c:lblAlgn val="ctr"/>
        <c:lblOffset val="100"/>
        <c:noMultiLvlLbl val="0"/>
      </c:catAx>
      <c:valAx>
        <c:axId val="19638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C7CA0-E61B-42FE-8820-886475DCB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274320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895F2-32AB-4B3B-83B0-4F6444BB4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525780</xdr:colOff>
      <xdr:row>29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1201A-DCC7-44A1-A71B-5E4E46C63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C32F-D204-4F25-8C9E-A7F672882B22}">
  <dimension ref="B1:T5"/>
  <sheetViews>
    <sheetView zoomScale="130" zoomScaleNormal="130" workbookViewId="0">
      <selection activeCell="M5" sqref="M5"/>
    </sheetView>
  </sheetViews>
  <sheetFormatPr defaultRowHeight="14.4" x14ac:dyDescent="0.3"/>
  <sheetData>
    <row r="1" spans="2:20" ht="15" thickBot="1" x14ac:dyDescent="0.35"/>
    <row r="2" spans="2:20" ht="15" thickBot="1" x14ac:dyDescent="0.35">
      <c r="B2" s="11" t="s">
        <v>0</v>
      </c>
      <c r="C2" s="12" t="s">
        <v>1</v>
      </c>
      <c r="D2" s="13" t="s">
        <v>2</v>
      </c>
    </row>
    <row r="3" spans="2:20" x14ac:dyDescent="0.3">
      <c r="B3" s="8">
        <v>13</v>
      </c>
      <c r="C3" s="9">
        <v>6</v>
      </c>
      <c r="D3" s="10">
        <v>15</v>
      </c>
      <c r="F3" s="1">
        <f>B3</f>
        <v>13</v>
      </c>
      <c r="G3" s="1">
        <f>F3+$C3</f>
        <v>19</v>
      </c>
      <c r="H3" s="1">
        <f t="shared" ref="H3:T3" si="0">G3+$C3</f>
        <v>25</v>
      </c>
      <c r="I3" s="1">
        <f t="shared" si="0"/>
        <v>31</v>
      </c>
      <c r="J3" s="1">
        <f t="shared" si="0"/>
        <v>37</v>
      </c>
      <c r="K3" s="1">
        <f t="shared" si="0"/>
        <v>43</v>
      </c>
      <c r="L3" s="1">
        <f t="shared" si="0"/>
        <v>49</v>
      </c>
      <c r="M3" s="1">
        <f t="shared" si="0"/>
        <v>55</v>
      </c>
      <c r="N3" s="1">
        <f t="shared" si="0"/>
        <v>61</v>
      </c>
      <c r="O3" s="1">
        <f t="shared" si="0"/>
        <v>67</v>
      </c>
      <c r="P3" s="1">
        <f t="shared" si="0"/>
        <v>73</v>
      </c>
      <c r="Q3" s="1">
        <f t="shared" si="0"/>
        <v>79</v>
      </c>
      <c r="R3" s="1">
        <f t="shared" si="0"/>
        <v>85</v>
      </c>
      <c r="S3" s="1">
        <f t="shared" si="0"/>
        <v>91</v>
      </c>
      <c r="T3" s="1">
        <f t="shared" si="0"/>
        <v>97</v>
      </c>
    </row>
    <row r="4" spans="2:20" x14ac:dyDescent="0.3">
      <c r="B4" s="4">
        <v>0.1</v>
      </c>
      <c r="C4" s="2">
        <v>0.05</v>
      </c>
      <c r="D4" s="3">
        <v>10</v>
      </c>
      <c r="F4" s="1">
        <f t="shared" ref="F4:F5" si="1">B4</f>
        <v>0.1</v>
      </c>
      <c r="G4" s="1">
        <f t="shared" ref="G4:O4" si="2">F4+$C4</f>
        <v>0.15000000000000002</v>
      </c>
      <c r="H4" s="1">
        <f t="shared" si="2"/>
        <v>0.2</v>
      </c>
      <c r="I4" s="1">
        <f t="shared" si="2"/>
        <v>0.25</v>
      </c>
      <c r="J4" s="1">
        <f t="shared" si="2"/>
        <v>0.3</v>
      </c>
      <c r="K4" s="1">
        <f t="shared" si="2"/>
        <v>0.35</v>
      </c>
      <c r="L4" s="1">
        <f t="shared" si="2"/>
        <v>0.39999999999999997</v>
      </c>
      <c r="M4" s="1">
        <f t="shared" si="2"/>
        <v>0.44999999999999996</v>
      </c>
      <c r="N4" s="1">
        <f t="shared" si="2"/>
        <v>0.49999999999999994</v>
      </c>
      <c r="O4" s="1">
        <f t="shared" si="2"/>
        <v>0.54999999999999993</v>
      </c>
    </row>
    <row r="5" spans="2:20" ht="15" thickBot="1" x14ac:dyDescent="0.35">
      <c r="B5" s="5">
        <v>1.2</v>
      </c>
      <c r="C5" s="6">
        <v>0.5</v>
      </c>
      <c r="D5" s="7">
        <v>8</v>
      </c>
      <c r="F5" s="1">
        <f t="shared" si="1"/>
        <v>1.2</v>
      </c>
      <c r="G5" s="1">
        <f t="shared" ref="G5:M5" si="3">F5+$C5</f>
        <v>1.7</v>
      </c>
      <c r="H5" s="1">
        <f t="shared" si="3"/>
        <v>2.2000000000000002</v>
      </c>
      <c r="I5" s="1">
        <f t="shared" si="3"/>
        <v>2.7</v>
      </c>
      <c r="J5" s="1">
        <f t="shared" si="3"/>
        <v>3.2</v>
      </c>
      <c r="K5" s="1">
        <f t="shared" si="3"/>
        <v>3.7</v>
      </c>
      <c r="L5" s="1">
        <f t="shared" si="3"/>
        <v>4.2</v>
      </c>
      <c r="M5" s="1">
        <f t="shared" si="3"/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2407-CCD4-4F0D-B73E-87FCD2AD2A70}">
  <dimension ref="B1:V5"/>
  <sheetViews>
    <sheetView workbookViewId="0">
      <selection activeCell="F5" sqref="F5:V5"/>
    </sheetView>
  </sheetViews>
  <sheetFormatPr defaultRowHeight="14.4" x14ac:dyDescent="0.3"/>
  <sheetData>
    <row r="1" spans="2:22" ht="15" thickBot="1" x14ac:dyDescent="0.35"/>
    <row r="2" spans="2:22" ht="15" thickBot="1" x14ac:dyDescent="0.35">
      <c r="B2" s="23" t="s">
        <v>3</v>
      </c>
      <c r="C2" s="24" t="s">
        <v>4</v>
      </c>
      <c r="D2" s="25" t="s">
        <v>2</v>
      </c>
    </row>
    <row r="3" spans="2:22" x14ac:dyDescent="0.3">
      <c r="B3" s="20">
        <v>2</v>
      </c>
      <c r="C3" s="21">
        <v>1.2</v>
      </c>
      <c r="D3" s="22">
        <v>8</v>
      </c>
      <c r="F3" s="1">
        <f>B3</f>
        <v>2</v>
      </c>
      <c r="G3" s="1">
        <f>F3*$C3</f>
        <v>2.4</v>
      </c>
      <c r="H3" s="1">
        <f t="shared" ref="H3:M3" si="0">G3*$C3</f>
        <v>2.88</v>
      </c>
      <c r="I3" s="1">
        <f t="shared" si="0"/>
        <v>3.456</v>
      </c>
      <c r="J3" s="1">
        <f t="shared" si="0"/>
        <v>4.1471999999999998</v>
      </c>
      <c r="K3" s="1">
        <f t="shared" si="0"/>
        <v>4.9766399999999997</v>
      </c>
      <c r="L3" s="1">
        <f t="shared" si="0"/>
        <v>5.9719679999999995</v>
      </c>
      <c r="M3" s="1">
        <f t="shared" si="0"/>
        <v>7.1663615999999992</v>
      </c>
    </row>
    <row r="4" spans="2:22" x14ac:dyDescent="0.3">
      <c r="B4" s="15">
        <f>1.2*EXP(1)-2</f>
        <v>1.2619381941508538</v>
      </c>
      <c r="C4" s="14">
        <v>0.5</v>
      </c>
      <c r="D4" s="16">
        <v>5</v>
      </c>
      <c r="F4" s="26">
        <f t="shared" ref="F4:F5" si="1">B4</f>
        <v>1.2619381941508538</v>
      </c>
      <c r="G4" s="26">
        <f t="shared" ref="G4:J4" si="2">F4*$C4</f>
        <v>0.63096909707542692</v>
      </c>
      <c r="H4" s="26">
        <f t="shared" si="2"/>
        <v>0.31548454853771346</v>
      </c>
      <c r="I4" s="26">
        <f t="shared" si="2"/>
        <v>0.15774227426885673</v>
      </c>
      <c r="J4" s="26">
        <f t="shared" si="2"/>
        <v>7.8871137134428365E-2</v>
      </c>
    </row>
    <row r="5" spans="2:22" ht="15" thickBot="1" x14ac:dyDescent="0.35">
      <c r="B5" s="17">
        <f>1/2</f>
        <v>0.5</v>
      </c>
      <c r="C5" s="18">
        <v>0.5</v>
      </c>
      <c r="D5" s="19">
        <v>17</v>
      </c>
      <c r="F5" s="1">
        <f t="shared" si="1"/>
        <v>0.5</v>
      </c>
      <c r="G5" s="1">
        <f t="shared" ref="G5:V5" si="3">F5*$C5</f>
        <v>0.25</v>
      </c>
      <c r="H5" s="1">
        <f t="shared" si="3"/>
        <v>0.125</v>
      </c>
      <c r="I5" s="1">
        <f t="shared" si="3"/>
        <v>6.25E-2</v>
      </c>
      <c r="J5" s="1">
        <f t="shared" si="3"/>
        <v>3.125E-2</v>
      </c>
      <c r="K5" s="1">
        <f t="shared" si="3"/>
        <v>1.5625E-2</v>
      </c>
      <c r="L5" s="1">
        <f t="shared" si="3"/>
        <v>7.8125E-3</v>
      </c>
      <c r="M5" s="1">
        <f t="shared" si="3"/>
        <v>3.90625E-3</v>
      </c>
      <c r="N5" s="1">
        <f t="shared" si="3"/>
        <v>1.953125E-3</v>
      </c>
      <c r="O5" s="1">
        <f t="shared" si="3"/>
        <v>9.765625E-4</v>
      </c>
      <c r="P5" s="1">
        <f t="shared" si="3"/>
        <v>4.8828125E-4</v>
      </c>
      <c r="Q5" s="1">
        <f t="shared" si="3"/>
        <v>2.44140625E-4</v>
      </c>
      <c r="R5" s="1">
        <f t="shared" si="3"/>
        <v>1.220703125E-4</v>
      </c>
      <c r="S5" s="1">
        <f t="shared" si="3"/>
        <v>6.103515625E-5</v>
      </c>
      <c r="T5" s="1">
        <f t="shared" si="3"/>
        <v>3.0517578125E-5</v>
      </c>
      <c r="U5" s="1">
        <f t="shared" si="3"/>
        <v>1.52587890625E-5</v>
      </c>
      <c r="V5" s="1">
        <f t="shared" si="3"/>
        <v>7.62939453125E-6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FAFC-35D3-42EF-B555-89D7C12A02DB}">
  <dimension ref="C2:G13"/>
  <sheetViews>
    <sheetView workbookViewId="0">
      <selection activeCell="Q7" sqref="Q7"/>
    </sheetView>
  </sheetViews>
  <sheetFormatPr defaultRowHeight="14.4" x14ac:dyDescent="0.3"/>
  <sheetData>
    <row r="2" spans="3:7" x14ac:dyDescent="0.3">
      <c r="C2" s="1" t="s">
        <v>5</v>
      </c>
      <c r="D2" s="1" t="s">
        <v>6</v>
      </c>
      <c r="F2" s="1" t="s">
        <v>7</v>
      </c>
      <c r="G2" s="1" t="s">
        <v>8</v>
      </c>
    </row>
    <row r="3" spans="3:7" x14ac:dyDescent="0.3">
      <c r="C3" s="1">
        <v>10</v>
      </c>
      <c r="D3" s="1">
        <v>2</v>
      </c>
      <c r="F3" s="1">
        <f>LOG10(ABS(5-4*POWER(ABS($C3+2*$D3),1/3)))/POWER(15, $D3)</f>
        <v>2.9625388436841787E-3</v>
      </c>
      <c r="G3" s="1">
        <f>POWER(SIN(PI()/3+1), 3)*2*TAN(ABS(PI()/4+1))/ATAN($C3/5)</f>
        <v>-5.8162725287334771</v>
      </c>
    </row>
    <row r="4" spans="3:7" x14ac:dyDescent="0.3">
      <c r="C4" s="1">
        <v>124</v>
      </c>
      <c r="G4" s="1">
        <f t="shared" ref="G4:G13" si="0">POWER(SIN(PI()/3+1), 3)*2*TAN(ABS(PI()/4+1))/ATAN($C4/5)</f>
        <v>-4.207446766279987</v>
      </c>
    </row>
    <row r="5" spans="3:7" x14ac:dyDescent="0.3">
      <c r="C5" s="1">
        <v>238</v>
      </c>
      <c r="G5" s="1">
        <f t="shared" si="0"/>
        <v>-4.1550625969382491</v>
      </c>
    </row>
    <row r="6" spans="3:7" x14ac:dyDescent="0.3">
      <c r="C6" s="1">
        <v>352</v>
      </c>
      <c r="G6" s="1">
        <f t="shared" si="0"/>
        <v>-4.1369065403158638</v>
      </c>
    </row>
    <row r="7" spans="3:7" x14ac:dyDescent="0.3">
      <c r="C7" s="1">
        <v>466</v>
      </c>
      <c r="G7" s="1">
        <f t="shared" si="0"/>
        <v>-4.1276933346287858</v>
      </c>
    </row>
    <row r="8" spans="3:7" x14ac:dyDescent="0.3">
      <c r="C8" s="1">
        <v>580</v>
      </c>
      <c r="G8" s="1">
        <f t="shared" si="0"/>
        <v>-4.122121507456308</v>
      </c>
    </row>
    <row r="9" spans="3:7" x14ac:dyDescent="0.3">
      <c r="C9" s="1">
        <v>694</v>
      </c>
      <c r="G9" s="1">
        <f t="shared" si="0"/>
        <v>-4.1183885114729639</v>
      </c>
    </row>
    <row r="10" spans="3:7" x14ac:dyDescent="0.3">
      <c r="C10" s="1">
        <v>808</v>
      </c>
      <c r="G10" s="1">
        <f t="shared" si="0"/>
        <v>-4.1157130038004484</v>
      </c>
    </row>
    <row r="11" spans="3:7" x14ac:dyDescent="0.3">
      <c r="C11" s="1">
        <v>922</v>
      </c>
      <c r="G11" s="1">
        <f t="shared" si="0"/>
        <v>-4.1137013879345643</v>
      </c>
    </row>
    <row r="12" spans="3:7" x14ac:dyDescent="0.3">
      <c r="C12" s="1">
        <v>1036</v>
      </c>
      <c r="G12" s="1">
        <f t="shared" si="0"/>
        <v>-4.1121338355747037</v>
      </c>
    </row>
    <row r="13" spans="3:7" x14ac:dyDescent="0.3">
      <c r="C13" s="1">
        <v>1150</v>
      </c>
      <c r="G13" s="1">
        <f t="shared" si="0"/>
        <v>-4.1108779235292934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272C-6B3D-45EF-B142-CD11F9116293}">
  <dimension ref="A1:M16"/>
  <sheetViews>
    <sheetView workbookViewId="0">
      <selection activeCell="G14" sqref="G14"/>
    </sheetView>
  </sheetViews>
  <sheetFormatPr defaultRowHeight="14.4" x14ac:dyDescent="0.3"/>
  <cols>
    <col min="2" max="2" width="17" customWidth="1"/>
    <col min="4" max="4" width="12.5546875" customWidth="1"/>
    <col min="6" max="6" width="9.88671875" bestFit="1" customWidth="1"/>
    <col min="9" max="9" width="9.33203125" bestFit="1" customWidth="1"/>
    <col min="10" max="11" width="9.21875" bestFit="1" customWidth="1"/>
    <col min="12" max="12" width="13" customWidth="1"/>
  </cols>
  <sheetData>
    <row r="1" spans="1:13" x14ac:dyDescent="0.3">
      <c r="A1" s="46" t="s">
        <v>9</v>
      </c>
      <c r="B1" s="47"/>
      <c r="C1" s="47"/>
      <c r="D1" s="47"/>
      <c r="E1" s="47"/>
      <c r="F1" s="47"/>
      <c r="G1" s="48"/>
    </row>
    <row r="2" spans="1:13" x14ac:dyDescent="0.3">
      <c r="A2" s="49"/>
      <c r="B2" s="50"/>
      <c r="C2" s="50"/>
      <c r="D2" s="50"/>
      <c r="E2" s="50"/>
      <c r="F2" s="50"/>
      <c r="G2" s="51"/>
    </row>
    <row r="3" spans="1:13" x14ac:dyDescent="0.3">
      <c r="A3" s="52" t="s">
        <v>10</v>
      </c>
      <c r="B3" s="52" t="s">
        <v>11</v>
      </c>
      <c r="C3" s="45" t="s">
        <v>12</v>
      </c>
      <c r="D3" s="45"/>
      <c r="E3" s="45" t="s">
        <v>13</v>
      </c>
      <c r="F3" s="45"/>
      <c r="G3" s="45" t="s">
        <v>18</v>
      </c>
      <c r="I3" s="45" t="s">
        <v>19</v>
      </c>
      <c r="J3" s="45"/>
      <c r="K3" s="45"/>
    </row>
    <row r="4" spans="1:13" x14ac:dyDescent="0.3">
      <c r="A4" s="52"/>
      <c r="B4" s="52"/>
      <c r="C4" s="1" t="s">
        <v>14</v>
      </c>
      <c r="D4" s="1" t="s">
        <v>15</v>
      </c>
      <c r="E4" s="1" t="s">
        <v>14</v>
      </c>
      <c r="F4" s="1" t="s">
        <v>15</v>
      </c>
      <c r="G4" s="45"/>
      <c r="I4" s="1"/>
      <c r="J4" s="1" t="s">
        <v>20</v>
      </c>
      <c r="K4" s="1" t="s">
        <v>21</v>
      </c>
    </row>
    <row r="5" spans="1:13" x14ac:dyDescent="0.3">
      <c r="A5" s="27">
        <v>0.25</v>
      </c>
      <c r="B5" s="1" t="s">
        <v>16</v>
      </c>
      <c r="C5" s="1">
        <v>40</v>
      </c>
      <c r="D5" s="1">
        <v>10</v>
      </c>
      <c r="E5" s="1">
        <v>30</v>
      </c>
      <c r="F5" s="1">
        <v>5</v>
      </c>
      <c r="G5" s="1">
        <f>($C5-$D5)*$J$5+$D5*$K$5+($E5-$F5)*$J$6+$F5*$K$6</f>
        <v>880</v>
      </c>
      <c r="I5" s="1" t="s">
        <v>12</v>
      </c>
      <c r="J5" s="1">
        <v>8</v>
      </c>
      <c r="K5" s="1">
        <v>6</v>
      </c>
    </row>
    <row r="6" spans="1:13" x14ac:dyDescent="0.3">
      <c r="A6" s="27">
        <v>0.2951388888888889</v>
      </c>
      <c r="B6" s="1" t="s">
        <v>17</v>
      </c>
      <c r="C6" s="1">
        <v>50</v>
      </c>
      <c r="D6" s="1">
        <v>15</v>
      </c>
      <c r="E6" s="1">
        <v>40</v>
      </c>
      <c r="F6" s="1">
        <v>20</v>
      </c>
      <c r="G6" s="1">
        <f t="shared" ref="G6:G15" si="0">($C6-$D6)*$J$5+$D6*$K$5+($E6-$F6)*$J$6+$F6*$K$6</f>
        <v>1090</v>
      </c>
      <c r="I6" s="1" t="s">
        <v>13</v>
      </c>
      <c r="J6" s="1">
        <v>20</v>
      </c>
      <c r="K6" s="1">
        <v>16</v>
      </c>
    </row>
    <row r="7" spans="1:13" x14ac:dyDescent="0.3">
      <c r="A7" s="27">
        <v>0.34027777777777773</v>
      </c>
      <c r="B7" s="1" t="s">
        <v>16</v>
      </c>
      <c r="C7" s="1">
        <v>45</v>
      </c>
      <c r="D7" s="1">
        <v>15</v>
      </c>
      <c r="E7" s="1">
        <v>35</v>
      </c>
      <c r="F7" s="1">
        <v>10</v>
      </c>
      <c r="G7" s="1">
        <f t="shared" si="0"/>
        <v>990</v>
      </c>
    </row>
    <row r="8" spans="1:13" x14ac:dyDescent="0.3">
      <c r="A8" s="27">
        <v>0.38541666666666669</v>
      </c>
      <c r="B8" s="1" t="s">
        <v>17</v>
      </c>
      <c r="C8" s="1">
        <v>50</v>
      </c>
      <c r="D8" s="1">
        <v>20</v>
      </c>
      <c r="E8" s="1">
        <v>45</v>
      </c>
      <c r="F8" s="1">
        <v>15</v>
      </c>
      <c r="G8" s="1">
        <f t="shared" si="0"/>
        <v>1200</v>
      </c>
      <c r="I8" t="s">
        <v>27</v>
      </c>
    </row>
    <row r="9" spans="1:13" x14ac:dyDescent="0.3">
      <c r="A9" s="27">
        <v>0.4375</v>
      </c>
      <c r="B9" s="1" t="s">
        <v>16</v>
      </c>
      <c r="C9" s="1">
        <v>60</v>
      </c>
      <c r="D9" s="1">
        <v>20</v>
      </c>
      <c r="E9" s="1">
        <v>40</v>
      </c>
      <c r="F9" s="1">
        <v>17</v>
      </c>
      <c r="G9" s="1">
        <f t="shared" si="0"/>
        <v>1172</v>
      </c>
      <c r="I9" s="44" t="s">
        <v>28</v>
      </c>
      <c r="J9" s="44"/>
      <c r="K9" s="44"/>
      <c r="L9" s="44"/>
      <c r="M9">
        <f>MAX(G5:G15)</f>
        <v>1286</v>
      </c>
    </row>
    <row r="10" spans="1:13" x14ac:dyDescent="0.3">
      <c r="A10" s="27">
        <v>0.4826388888888889</v>
      </c>
      <c r="B10" s="1" t="s">
        <v>17</v>
      </c>
      <c r="C10" s="1">
        <v>45</v>
      </c>
      <c r="D10" s="1">
        <v>19</v>
      </c>
      <c r="E10" s="1">
        <v>45</v>
      </c>
      <c r="F10" s="1">
        <v>12</v>
      </c>
      <c r="G10" s="1">
        <f t="shared" si="0"/>
        <v>1174</v>
      </c>
      <c r="I10" s="44" t="s">
        <v>29</v>
      </c>
      <c r="J10" s="44"/>
      <c r="K10" s="44"/>
      <c r="L10" s="44"/>
      <c r="M10">
        <f>MIN(G5:G15)</f>
        <v>280</v>
      </c>
    </row>
    <row r="11" spans="1:13" x14ac:dyDescent="0.3">
      <c r="A11" s="27">
        <v>0.56736111111111109</v>
      </c>
      <c r="B11" s="1" t="s">
        <v>22</v>
      </c>
      <c r="C11" s="1">
        <v>32</v>
      </c>
      <c r="D11" s="1">
        <v>10</v>
      </c>
      <c r="E11" s="1">
        <v>43</v>
      </c>
      <c r="F11" s="1">
        <v>32</v>
      </c>
      <c r="G11" s="1">
        <f t="shared" si="0"/>
        <v>968</v>
      </c>
      <c r="I11" s="44" t="s">
        <v>30</v>
      </c>
      <c r="J11" s="44"/>
      <c r="K11" s="44"/>
      <c r="L11" s="44"/>
      <c r="M11">
        <f>SUM(D5:D15)+SUM(F5:F15)</f>
        <v>357</v>
      </c>
    </row>
    <row r="12" spans="1:13" x14ac:dyDescent="0.3">
      <c r="A12" s="27">
        <v>0.59166666666666667</v>
      </c>
      <c r="B12" s="1" t="s">
        <v>23</v>
      </c>
      <c r="C12" s="1">
        <v>15</v>
      </c>
      <c r="D12" s="1">
        <v>3</v>
      </c>
      <c r="E12" s="1">
        <v>12</v>
      </c>
      <c r="F12" s="1">
        <v>1</v>
      </c>
      <c r="G12" s="1">
        <f t="shared" si="0"/>
        <v>350</v>
      </c>
      <c r="I12" s="44" t="s">
        <v>31</v>
      </c>
      <c r="J12" s="44"/>
      <c r="K12" s="44"/>
      <c r="L12" s="44"/>
      <c r="M12">
        <f>COUNTIF(A5:A15,SUM(D5:D15, F5:F15)&gt;(SUM(C5:C15,E5:E15))/2)</f>
        <v>0</v>
      </c>
    </row>
    <row r="13" spans="1:13" x14ac:dyDescent="0.3">
      <c r="A13" s="27">
        <v>0.63680555555555551</v>
      </c>
      <c r="B13" s="1" t="s">
        <v>24</v>
      </c>
      <c r="C13" s="1">
        <v>45</v>
      </c>
      <c r="D13" s="1">
        <v>34</v>
      </c>
      <c r="E13" s="1">
        <v>45</v>
      </c>
      <c r="F13" s="1">
        <v>23</v>
      </c>
      <c r="G13" s="1">
        <f t="shared" si="0"/>
        <v>1100</v>
      </c>
      <c r="I13" s="44" t="s">
        <v>32</v>
      </c>
      <c r="J13" s="44"/>
      <c r="K13" s="44"/>
      <c r="L13" s="44"/>
      <c r="M13">
        <f>SUM(D5:D15)*K5+SUM(F5:F15)*K6</f>
        <v>4022</v>
      </c>
    </row>
    <row r="14" spans="1:13" x14ac:dyDescent="0.3">
      <c r="A14" s="27">
        <v>0.67222222222222217</v>
      </c>
      <c r="B14" s="1" t="s">
        <v>25</v>
      </c>
      <c r="C14" s="1">
        <v>23</v>
      </c>
      <c r="D14" s="1">
        <v>13</v>
      </c>
      <c r="E14" s="1">
        <v>65</v>
      </c>
      <c r="F14" s="1">
        <v>43</v>
      </c>
      <c r="G14" s="1">
        <f t="shared" si="0"/>
        <v>1286</v>
      </c>
      <c r="I14" s="45" t="s">
        <v>56</v>
      </c>
      <c r="J14" s="45"/>
      <c r="K14" s="45"/>
      <c r="L14" s="45"/>
      <c r="M14" s="73">
        <f>SUMIF(A5:A15, "&gt;=" &amp;I16, C5:C15) - SUMIF(A5:A15, "&gt;" &amp;K16, C5:C15) + SUMIF(A5:A15, "&gt;=" &amp;I16, E5:E15) - SUMIF(A5:A15, "&gt;" &amp;K16, E5:E15)</f>
        <v>365</v>
      </c>
    </row>
    <row r="15" spans="1:13" x14ac:dyDescent="0.3">
      <c r="A15" s="27">
        <v>0.7104166666666667</v>
      </c>
      <c r="B15" s="1" t="s">
        <v>26</v>
      </c>
      <c r="C15" s="1">
        <v>15</v>
      </c>
      <c r="D15" s="1">
        <v>10</v>
      </c>
      <c r="E15" s="1">
        <v>11</v>
      </c>
      <c r="F15" s="1">
        <v>10</v>
      </c>
      <c r="G15" s="1">
        <f t="shared" si="0"/>
        <v>280</v>
      </c>
      <c r="I15" s="45" t="s">
        <v>57</v>
      </c>
      <c r="J15" s="45"/>
      <c r="K15" s="45" t="s">
        <v>58</v>
      </c>
      <c r="L15" s="45"/>
      <c r="M15" s="73"/>
    </row>
    <row r="16" spans="1:13" x14ac:dyDescent="0.3">
      <c r="C16">
        <f>SUM(C$5:C15)</f>
        <v>420</v>
      </c>
      <c r="D16">
        <f>SUM(D$5:D15)</f>
        <v>169</v>
      </c>
      <c r="E16">
        <f>SUM(E$5:E15)</f>
        <v>411</v>
      </c>
      <c r="F16">
        <f>SUM(F$5:F15)</f>
        <v>188</v>
      </c>
      <c r="G16">
        <f>SUM(G$5:G15)</f>
        <v>10490</v>
      </c>
      <c r="I16" s="74">
        <v>0.2951388888888889</v>
      </c>
      <c r="J16" s="45"/>
      <c r="K16" s="74">
        <v>0.4375</v>
      </c>
      <c r="L16" s="45"/>
      <c r="M16" s="73"/>
    </row>
  </sheetData>
  <mergeCells count="18">
    <mergeCell ref="I15:J15"/>
    <mergeCell ref="K15:L15"/>
    <mergeCell ref="I16:J16"/>
    <mergeCell ref="K16:L16"/>
    <mergeCell ref="M14:M16"/>
    <mergeCell ref="I3:K3"/>
    <mergeCell ref="G3:G4"/>
    <mergeCell ref="A1:G2"/>
    <mergeCell ref="I9:L9"/>
    <mergeCell ref="A3:A4"/>
    <mergeCell ref="B3:B4"/>
    <mergeCell ref="C3:D3"/>
    <mergeCell ref="E3:F3"/>
    <mergeCell ref="I10:L10"/>
    <mergeCell ref="I11:L11"/>
    <mergeCell ref="I12:L12"/>
    <mergeCell ref="I13:L13"/>
    <mergeCell ref="I14:L14"/>
  </mergeCells>
  <conditionalFormatting sqref="G5:G15">
    <cfRule type="cellIs" dxfId="1" priority="2" operator="greaterThan">
      <formula>1100</formula>
    </cfRule>
    <cfRule type="cellIs" dxfId="0" priority="1" operator="greaterThan">
      <formula>1100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51AEB-ED30-4F2A-A078-6A4CB5D14404}">
  <dimension ref="B1:M25"/>
  <sheetViews>
    <sheetView workbookViewId="0">
      <selection activeCell="J16" sqref="J16:L24"/>
    </sheetView>
  </sheetViews>
  <sheetFormatPr defaultRowHeight="14.4" x14ac:dyDescent="0.3"/>
  <cols>
    <col min="2" max="2" width="11" bestFit="1" customWidth="1"/>
    <col min="3" max="5" width="12" bestFit="1" customWidth="1"/>
    <col min="6" max="6" width="15.109375" customWidth="1"/>
    <col min="7" max="7" width="14.5546875" customWidth="1"/>
    <col min="8" max="8" width="8.109375" bestFit="1" customWidth="1"/>
    <col min="11" max="11" width="12.6640625" bestFit="1" customWidth="1"/>
  </cols>
  <sheetData>
    <row r="1" spans="2:13" ht="15" thickBot="1" x14ac:dyDescent="0.35"/>
    <row r="2" spans="2:13" x14ac:dyDescent="0.3">
      <c r="B2" s="28" t="s">
        <v>36</v>
      </c>
      <c r="C2" s="29" t="s">
        <v>33</v>
      </c>
      <c r="D2" s="29" t="s">
        <v>34</v>
      </c>
      <c r="E2" s="29" t="s">
        <v>35</v>
      </c>
      <c r="F2" s="29" t="s">
        <v>38</v>
      </c>
      <c r="G2" s="29" t="s">
        <v>39</v>
      </c>
      <c r="H2" s="29"/>
      <c r="I2" s="29"/>
      <c r="J2" s="29" t="s">
        <v>37</v>
      </c>
      <c r="K2" s="29"/>
      <c r="L2" s="29"/>
      <c r="M2" s="30"/>
    </row>
    <row r="3" spans="2:13" x14ac:dyDescent="0.3">
      <c r="B3" s="31">
        <f>3*C3+5*D3+4*E3</f>
        <v>3668898166.0508776</v>
      </c>
      <c r="C3" s="32">
        <v>795355546.36732304</v>
      </c>
      <c r="D3" s="32">
        <v>0</v>
      </c>
      <c r="E3" s="32">
        <v>320707881.73722708</v>
      </c>
      <c r="F3" s="32">
        <v>89798207.010423601</v>
      </c>
      <c r="G3" s="32">
        <v>0.77500000000000013</v>
      </c>
      <c r="H3" s="32"/>
      <c r="I3" s="32"/>
      <c r="J3" s="32"/>
      <c r="K3" s="32">
        <f>3*C3+D3-8*E3+2*F3+G3</f>
        <v>-2.1457672105817949E-7</v>
      </c>
      <c r="L3" s="32"/>
      <c r="M3" s="33">
        <f>C3</f>
        <v>795355546.36732304</v>
      </c>
    </row>
    <row r="4" spans="2:13" x14ac:dyDescent="0.3">
      <c r="B4" s="31"/>
      <c r="C4" s="32"/>
      <c r="D4" s="32"/>
      <c r="E4" s="32"/>
      <c r="F4" s="32"/>
      <c r="G4" s="32"/>
      <c r="H4" s="32"/>
      <c r="I4" s="32"/>
      <c r="J4" s="32"/>
      <c r="K4" s="32">
        <f>2*C3-2*D3-3*E3-7*F3+2*G3</f>
        <v>-3.0994415256557772E-7</v>
      </c>
      <c r="L4" s="32"/>
      <c r="M4" s="33">
        <f>D3</f>
        <v>0</v>
      </c>
    </row>
    <row r="5" spans="2:13" x14ac:dyDescent="0.3">
      <c r="B5" s="31"/>
      <c r="C5" s="32"/>
      <c r="D5" s="32"/>
      <c r="E5" s="32"/>
      <c r="F5" s="32"/>
      <c r="G5" s="32"/>
      <c r="H5" s="32"/>
      <c r="I5" s="32"/>
      <c r="J5" s="32"/>
      <c r="K5" s="32">
        <f>C3+11*D3-12*E3+34*F3-5*G3</f>
        <v>4.7683715731494658E-7</v>
      </c>
      <c r="L5" s="32"/>
      <c r="M5" s="33">
        <f>E3</f>
        <v>320707881.73722708</v>
      </c>
    </row>
    <row r="6" spans="2:13" x14ac:dyDescent="0.3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3">
        <f>F3</f>
        <v>89798207.010423601</v>
      </c>
    </row>
    <row r="7" spans="2:13" ht="15" thickBot="1" x14ac:dyDescent="0.35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6">
        <f>G3</f>
        <v>0.77500000000000013</v>
      </c>
    </row>
    <row r="8" spans="2:13" ht="15" thickBot="1" x14ac:dyDescent="0.35"/>
    <row r="9" spans="2:13" x14ac:dyDescent="0.3">
      <c r="B9" s="28" t="s">
        <v>36</v>
      </c>
      <c r="C9" s="29" t="s">
        <v>33</v>
      </c>
      <c r="D9" s="29" t="s">
        <v>34</v>
      </c>
      <c r="E9" s="29" t="s">
        <v>35</v>
      </c>
      <c r="F9" s="29" t="s">
        <v>38</v>
      </c>
      <c r="G9" s="29" t="s">
        <v>39</v>
      </c>
      <c r="H9" s="29"/>
      <c r="I9" s="29"/>
      <c r="J9" s="29" t="s">
        <v>37</v>
      </c>
      <c r="K9" s="29"/>
      <c r="L9" s="29"/>
      <c r="M9" s="30"/>
    </row>
    <row r="10" spans="2:13" x14ac:dyDescent="0.3">
      <c r="B10" s="31">
        <f>3*C10+5*D10+4*E10</f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/>
      <c r="I10" s="32"/>
      <c r="J10" s="32"/>
      <c r="K10" s="32">
        <f>7*C10+2*D10-E10-2*F10+2*G10</f>
        <v>0</v>
      </c>
      <c r="L10" s="32"/>
      <c r="M10" s="33">
        <v>0</v>
      </c>
    </row>
    <row r="11" spans="2:13" x14ac:dyDescent="0.3">
      <c r="B11" s="31"/>
      <c r="C11" s="32"/>
      <c r="D11" s="32"/>
      <c r="E11" s="32"/>
      <c r="F11" s="32"/>
      <c r="G11" s="32"/>
      <c r="H11" s="32"/>
      <c r="I11" s="32"/>
      <c r="J11" s="32"/>
      <c r="K11" s="32">
        <f>C10-3*D10+E10-F10-G10</f>
        <v>0</v>
      </c>
      <c r="L11" s="32"/>
      <c r="M11" s="33">
        <v>0</v>
      </c>
    </row>
    <row r="12" spans="2:13" x14ac:dyDescent="0.3">
      <c r="B12" s="31"/>
      <c r="C12" s="32"/>
      <c r="D12" s="32"/>
      <c r="E12" s="32"/>
      <c r="F12" s="32"/>
      <c r="G12" s="32"/>
      <c r="H12" s="32"/>
      <c r="I12" s="32"/>
      <c r="J12" s="32"/>
      <c r="K12" s="32">
        <f>2*C10+5*D10+2*E10+F10+G10</f>
        <v>0</v>
      </c>
      <c r="L12" s="32"/>
      <c r="M12" s="33">
        <v>0</v>
      </c>
    </row>
    <row r="13" spans="2:13" x14ac:dyDescent="0.3"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>
        <v>0</v>
      </c>
    </row>
    <row r="14" spans="2:13" ht="15" thickBot="1" x14ac:dyDescent="0.35"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6">
        <v>0</v>
      </c>
    </row>
    <row r="15" spans="2:13" ht="15" thickBot="1" x14ac:dyDescent="0.35"/>
    <row r="16" spans="2:13" x14ac:dyDescent="0.3">
      <c r="B16" s="66" t="s">
        <v>40</v>
      </c>
      <c r="C16" s="67"/>
      <c r="D16" s="67"/>
      <c r="E16" s="67"/>
      <c r="F16" s="67" t="s">
        <v>48</v>
      </c>
      <c r="G16" s="70"/>
      <c r="H16" s="66" t="s">
        <v>52</v>
      </c>
      <c r="I16" s="67"/>
      <c r="J16" s="59" t="s">
        <v>55</v>
      </c>
      <c r="K16" s="60"/>
      <c r="L16" s="61"/>
    </row>
    <row r="17" spans="2:12" x14ac:dyDescent="0.3">
      <c r="B17" s="68"/>
      <c r="C17" s="69"/>
      <c r="D17" s="69"/>
      <c r="E17" s="69"/>
      <c r="F17" s="32" t="s">
        <v>49</v>
      </c>
      <c r="G17" s="33" t="s">
        <v>50</v>
      </c>
      <c r="H17" s="31" t="s">
        <v>53</v>
      </c>
      <c r="I17" s="32" t="s">
        <v>54</v>
      </c>
      <c r="J17" s="62"/>
      <c r="K17" s="45"/>
      <c r="L17" s="63"/>
    </row>
    <row r="18" spans="2:12" x14ac:dyDescent="0.3">
      <c r="B18" s="68" t="s">
        <v>41</v>
      </c>
      <c r="C18" s="69"/>
      <c r="D18" s="69"/>
      <c r="E18" s="69"/>
      <c r="F18" s="32">
        <v>33159</v>
      </c>
      <c r="G18" s="33">
        <v>33159</v>
      </c>
      <c r="H18" s="38">
        <f>(F18/$F$25)*100%</f>
        <v>5.6667424305862933E-2</v>
      </c>
      <c r="I18" s="42">
        <f>(G18/$G$25)*100%</f>
        <v>4.763204428936909E-2</v>
      </c>
      <c r="J18" s="53">
        <f>$I18-$H18</f>
        <v>-9.0353800164938436E-3</v>
      </c>
      <c r="K18" s="54"/>
      <c r="L18" s="55"/>
    </row>
    <row r="19" spans="2:12" x14ac:dyDescent="0.3">
      <c r="B19" s="68" t="s">
        <v>42</v>
      </c>
      <c r="C19" s="69"/>
      <c r="D19" s="69"/>
      <c r="E19" s="69"/>
      <c r="F19" s="32">
        <v>139362</v>
      </c>
      <c r="G19" s="33">
        <v>142910</v>
      </c>
      <c r="H19" s="38">
        <f t="shared" ref="H19:H24" si="0">(F19/$F$25)*100%</f>
        <v>0.23816416617249223</v>
      </c>
      <c r="I19" s="42">
        <f t="shared" ref="I19:I24" si="1">(G19/$G$25)*100%</f>
        <v>0.20528651193925437</v>
      </c>
      <c r="J19" s="53">
        <f t="shared" ref="J19:J24" si="2">$I19-$H19</f>
        <v>-3.2877654233237852E-2</v>
      </c>
      <c r="K19" s="54"/>
      <c r="L19" s="55"/>
    </row>
    <row r="20" spans="2:12" x14ac:dyDescent="0.3">
      <c r="B20" s="68" t="s">
        <v>43</v>
      </c>
      <c r="C20" s="69"/>
      <c r="D20" s="69"/>
      <c r="E20" s="69"/>
      <c r="F20" s="32">
        <v>127327</v>
      </c>
      <c r="G20" s="33">
        <v>134297</v>
      </c>
      <c r="H20" s="38">
        <f t="shared" si="0"/>
        <v>0.2175968254348023</v>
      </c>
      <c r="I20" s="42">
        <f t="shared" si="1"/>
        <v>0.19291416061791369</v>
      </c>
      <c r="J20" s="53">
        <f t="shared" si="2"/>
        <v>-2.4682664816888605E-2</v>
      </c>
      <c r="K20" s="54"/>
      <c r="L20" s="55"/>
    </row>
    <row r="21" spans="2:12" x14ac:dyDescent="0.3">
      <c r="B21" s="68" t="s">
        <v>44</v>
      </c>
      <c r="C21" s="69"/>
      <c r="D21" s="69"/>
      <c r="E21" s="69"/>
      <c r="F21" s="32">
        <v>262482</v>
      </c>
      <c r="G21" s="33">
        <v>360535</v>
      </c>
      <c r="H21" s="38">
        <f t="shared" si="0"/>
        <v>0.44857139439221672</v>
      </c>
      <c r="I21" s="42">
        <f t="shared" si="1"/>
        <v>0.51789918537554458</v>
      </c>
      <c r="J21" s="53">
        <f t="shared" si="2"/>
        <v>6.9327790983327864E-2</v>
      </c>
      <c r="K21" s="54"/>
      <c r="L21" s="55"/>
    </row>
    <row r="22" spans="2:12" x14ac:dyDescent="0.3">
      <c r="B22" s="68" t="s">
        <v>45</v>
      </c>
      <c r="C22" s="69"/>
      <c r="D22" s="69"/>
      <c r="E22" s="69"/>
      <c r="F22" s="32">
        <v>17532</v>
      </c>
      <c r="G22" s="33">
        <v>19371</v>
      </c>
      <c r="H22" s="38">
        <f t="shared" si="0"/>
        <v>2.9961497117837958E-2</v>
      </c>
      <c r="I22" s="42">
        <f t="shared" si="1"/>
        <v>2.7825939561789213E-2</v>
      </c>
      <c r="J22" s="53">
        <f t="shared" si="2"/>
        <v>-2.135557556048745E-3</v>
      </c>
      <c r="K22" s="54"/>
      <c r="L22" s="55"/>
    </row>
    <row r="23" spans="2:12" x14ac:dyDescent="0.3">
      <c r="B23" s="68" t="s">
        <v>46</v>
      </c>
      <c r="C23" s="69"/>
      <c r="D23" s="69"/>
      <c r="E23" s="69"/>
      <c r="F23" s="32">
        <v>4966</v>
      </c>
      <c r="G23" s="33">
        <v>5554</v>
      </c>
      <c r="H23" s="38">
        <f t="shared" si="0"/>
        <v>8.4866983052237794E-3</v>
      </c>
      <c r="I23" s="42">
        <f t="shared" si="1"/>
        <v>7.9781770856526407E-3</v>
      </c>
      <c r="J23" s="53">
        <f t="shared" si="2"/>
        <v>-5.0852121957113867E-4</v>
      </c>
      <c r="K23" s="54"/>
      <c r="L23" s="55"/>
    </row>
    <row r="24" spans="2:12" ht="15" thickBot="1" x14ac:dyDescent="0.35">
      <c r="B24" s="64" t="s">
        <v>47</v>
      </c>
      <c r="C24" s="65"/>
      <c r="D24" s="65"/>
      <c r="E24" s="65"/>
      <c r="F24" s="35">
        <v>323</v>
      </c>
      <c r="G24" s="36">
        <v>323</v>
      </c>
      <c r="H24" s="39">
        <f t="shared" si="0"/>
        <v>5.5199427156409206E-4</v>
      </c>
      <c r="I24" s="43">
        <f t="shared" si="1"/>
        <v>4.6398113047637789E-4</v>
      </c>
      <c r="J24" s="56">
        <f t="shared" si="2"/>
        <v>-8.801314108771417E-5</v>
      </c>
      <c r="K24" s="57"/>
      <c r="L24" s="58"/>
    </row>
    <row r="25" spans="2:12" ht="15" thickBot="1" x14ac:dyDescent="0.35">
      <c r="B25" s="71" t="s">
        <v>51</v>
      </c>
      <c r="C25" s="72"/>
      <c r="D25" s="72"/>
      <c r="E25" s="72"/>
      <c r="F25" s="40">
        <f>SUM(F18:F24)</f>
        <v>585151</v>
      </c>
      <c r="G25" s="41">
        <f>SUM(G18:G24)</f>
        <v>696149</v>
      </c>
      <c r="H25" s="37"/>
    </row>
  </sheetData>
  <mergeCells count="19">
    <mergeCell ref="B24:E24"/>
    <mergeCell ref="B16:E17"/>
    <mergeCell ref="F16:G16"/>
    <mergeCell ref="B25:E25"/>
    <mergeCell ref="H16:I16"/>
    <mergeCell ref="B18:E18"/>
    <mergeCell ref="B19:E19"/>
    <mergeCell ref="B20:E20"/>
    <mergeCell ref="B21:E21"/>
    <mergeCell ref="B22:E22"/>
    <mergeCell ref="B23:E23"/>
    <mergeCell ref="J21:L21"/>
    <mergeCell ref="J22:L22"/>
    <mergeCell ref="J23:L23"/>
    <mergeCell ref="J24:L24"/>
    <mergeCell ref="J16:L17"/>
    <mergeCell ref="J18:L18"/>
    <mergeCell ref="J19:L19"/>
    <mergeCell ref="J20:L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372C-134C-45B7-8994-8DCF85B7864D}">
  <dimension ref="A1"/>
  <sheetViews>
    <sheetView tabSelected="1" workbookViewId="0">
      <selection activeCell="M16" sqref="M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BD45-7C18-48BF-ACA5-364548B4395F}">
  <dimension ref="A1"/>
  <sheetViews>
    <sheetView workbookViewId="0">
      <selection activeCell="L16" sqref="L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Pril1_1</vt:lpstr>
      <vt:lpstr>Pril1_2</vt:lpstr>
      <vt:lpstr>PRIL1_3</vt:lpstr>
      <vt:lpstr>PRIL2_1</vt:lpstr>
      <vt:lpstr>PRIL3_1</vt:lpstr>
      <vt:lpstr>PRIL3_2</vt:lpstr>
      <vt:lpstr>PRIL3_3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Клишевич</dc:creator>
  <cp:lastModifiedBy>Вадим Клишевич</cp:lastModifiedBy>
  <dcterms:created xsi:type="dcterms:W3CDTF">2019-10-22T05:42:14Z</dcterms:created>
  <dcterms:modified xsi:type="dcterms:W3CDTF">2019-11-19T17:03:13Z</dcterms:modified>
</cp:coreProperties>
</file>