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yangige\Downloads\Sample Financial Model\"/>
    </mc:Choice>
  </mc:AlternateContent>
  <xr:revisionPtr revIDLastSave="0" documentId="13_ncr:1_{87972B06-33EF-4ACA-B688-4B5AADEB5046}" xr6:coauthVersionLast="47" xr6:coauthVersionMax="47" xr10:uidLastSave="{00000000-0000-0000-0000-000000000000}"/>
  <bookViews>
    <workbookView xWindow="0" yWindow="0" windowWidth="10635" windowHeight="9135" firstSheet="3" activeTab="3" xr2:uid="{7F5D13A9-7509-43B6-8A71-95DB810D7AA4}"/>
  </bookViews>
  <sheets>
    <sheet name="Model Inc" sheetId="1" r:id="rId1"/>
    <sheet name="Time Periods" sheetId="2" r:id="rId2"/>
    <sheet name="Calculations of Costs" sheetId="3" r:id="rId3"/>
    <sheet name="Scenario Summary" sheetId="7" r:id="rId4"/>
    <sheet name="D_E Ratio" sheetId="4" r:id="rId5"/>
  </sheets>
  <definedNames>
    <definedName name="Beta">'Calculations of Costs'!$C$10</definedName>
    <definedName name="Cost_of_Equity">'Calculations of Costs'!$C$11</definedName>
    <definedName name="Cost_of_Sales">'Calculations of Costs'!$G$12</definedName>
    <definedName name="CostofDebt">'Calculations of Costs'!$C$13</definedName>
    <definedName name="Current_Sales">'Calculations of Costs'!$G$7</definedName>
    <definedName name="Debt_Funding">'Calculations of Costs'!$C$20</definedName>
    <definedName name="DebtValue">'Calculations of Costs'!$C$18</definedName>
    <definedName name="Equity_Funding">'Calculations of Costs'!$C$19</definedName>
    <definedName name="EquityValue">'Calculations of Costs'!$C$17</definedName>
    <definedName name="Gross_Margin">'Calculations of Costs'!$G$9</definedName>
    <definedName name="Gross_Profit">'Calculations of Costs'!$G$13</definedName>
    <definedName name="MarketReturns">'Calculations of Costs'!$C$8</definedName>
    <definedName name="Next_Year_Sales">'Calculations of Costs'!$G$11</definedName>
    <definedName name="Post_Tax_Cost_of_Debt">'Calculations of Costs'!$C$15</definedName>
    <definedName name="RiskFreeRate">'Calculations of Costs'!$C$7</definedName>
    <definedName name="Sales_Growth">'Calculations of Costs'!$G$8</definedName>
    <definedName name="TaxRate">'Calculations of Costs'!$C$14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" l="1"/>
  <c r="C26" i="3"/>
  <c r="C11" i="3"/>
  <c r="C9" i="3"/>
  <c r="D59" i="2"/>
  <c r="D58" i="2"/>
  <c r="D55" i="2"/>
  <c r="D54" i="2"/>
  <c r="D51" i="2"/>
  <c r="D50" i="2"/>
  <c r="D45" i="2"/>
  <c r="D44" i="2"/>
  <c r="D42" i="2"/>
  <c r="B54" i="2"/>
  <c r="D34" i="2"/>
  <c r="D33" i="2"/>
  <c r="D32" i="2"/>
  <c r="D30" i="2"/>
  <c r="D29" i="2"/>
  <c r="D43" i="1"/>
  <c r="D42" i="1"/>
  <c r="B40" i="1"/>
  <c r="D31" i="1"/>
  <c r="D30" i="1"/>
  <c r="D29" i="1"/>
  <c r="B28" i="1"/>
  <c r="F9" i="1"/>
  <c r="E21" i="1"/>
  <c r="B8" i="1"/>
  <c r="C17" i="4"/>
  <c r="C7" i="4"/>
  <c r="G11" i="3"/>
  <c r="C20" i="3"/>
  <c r="C19" i="3"/>
  <c r="C15" i="3"/>
  <c r="C24" i="3"/>
  <c r="C22" i="3"/>
  <c r="J59" i="2"/>
  <c r="I59" i="2"/>
  <c r="H59" i="2"/>
  <c r="G59" i="2"/>
  <c r="F59" i="2"/>
  <c r="E59" i="2"/>
  <c r="J58" i="2"/>
  <c r="I58" i="2"/>
  <c r="H58" i="2"/>
  <c r="G58" i="2"/>
  <c r="F58" i="2"/>
  <c r="E58" i="2"/>
  <c r="J56" i="2"/>
  <c r="I56" i="2"/>
  <c r="H56" i="2"/>
  <c r="G56" i="2"/>
  <c r="F56" i="2"/>
  <c r="E56" i="2"/>
  <c r="J55" i="2"/>
  <c r="I55" i="2"/>
  <c r="H55" i="2"/>
  <c r="G55" i="2"/>
  <c r="F55" i="2"/>
  <c r="E55" i="2"/>
  <c r="B55" i="2"/>
  <c r="J54" i="2"/>
  <c r="I54" i="2"/>
  <c r="H54" i="2"/>
  <c r="G54" i="2"/>
  <c r="F54" i="2"/>
  <c r="E54" i="2"/>
  <c r="C42" i="2"/>
  <c r="E41" i="2"/>
  <c r="E40" i="2"/>
  <c r="E39" i="2"/>
  <c r="E38" i="2"/>
  <c r="E37" i="2"/>
  <c r="E11" i="2"/>
  <c r="E13" i="2" s="1"/>
  <c r="E16" i="2" s="1"/>
  <c r="E18" i="2" s="1"/>
  <c r="D11" i="2"/>
  <c r="D13" i="2" s="1"/>
  <c r="D16" i="2" s="1"/>
  <c r="D18" i="2" s="1"/>
  <c r="D41" i="2"/>
  <c r="D40" i="2"/>
  <c r="D39" i="2"/>
  <c r="D38" i="2"/>
  <c r="D37" i="2"/>
  <c r="J30" i="2"/>
  <c r="J33" i="2" s="1"/>
  <c r="J34" i="2" s="1"/>
  <c r="I30" i="2"/>
  <c r="I33" i="2" s="1"/>
  <c r="I34" i="2" s="1"/>
  <c r="H30" i="2"/>
  <c r="H33" i="2" s="1"/>
  <c r="H34" i="2" s="1"/>
  <c r="G30" i="2"/>
  <c r="G33" i="2" s="1"/>
  <c r="G34" i="2" s="1"/>
  <c r="F30" i="2"/>
  <c r="F33" i="2" s="1"/>
  <c r="F34" i="2" s="1"/>
  <c r="E30" i="2"/>
  <c r="E33" i="2" s="1"/>
  <c r="E34" i="2" s="1"/>
  <c r="C30" i="2"/>
  <c r="J29" i="2"/>
  <c r="J32" i="2" s="1"/>
  <c r="I29" i="2"/>
  <c r="I32" i="2" s="1"/>
  <c r="H29" i="2"/>
  <c r="H32" i="2" s="1"/>
  <c r="G29" i="2"/>
  <c r="G32" i="2" s="1"/>
  <c r="F29" i="2"/>
  <c r="F32" i="2" s="1"/>
  <c r="E29" i="2"/>
  <c r="E32" i="2" s="1"/>
  <c r="B73" i="2"/>
  <c r="B61" i="2"/>
  <c r="E21" i="2"/>
  <c r="B20" i="2"/>
  <c r="B8" i="2"/>
  <c r="D62" i="2"/>
  <c r="E62" i="2"/>
  <c r="D63" i="2"/>
  <c r="E63" i="2"/>
  <c r="E83" i="2"/>
  <c r="D83" i="2"/>
  <c r="E81" i="2"/>
  <c r="D81" i="2"/>
  <c r="E80" i="2"/>
  <c r="D80" i="2"/>
  <c r="E78" i="2"/>
  <c r="D78" i="2"/>
  <c r="E76" i="2"/>
  <c r="D76" i="2"/>
  <c r="E75" i="2"/>
  <c r="D75" i="2"/>
  <c r="E70" i="2"/>
  <c r="D70" i="2"/>
  <c r="E68" i="2"/>
  <c r="D68" i="2"/>
  <c r="E67" i="2"/>
  <c r="D67" i="2"/>
  <c r="E65" i="2"/>
  <c r="D65" i="2"/>
  <c r="G26" i="2"/>
  <c r="H26" i="2" s="1"/>
  <c r="I26" i="2" s="1"/>
  <c r="J26" i="2" s="1"/>
  <c r="G25" i="2"/>
  <c r="H25" i="2" s="1"/>
  <c r="I25" i="2" s="1"/>
  <c r="I15" i="2" s="1"/>
  <c r="I81" i="2" s="1"/>
  <c r="E25" i="2"/>
  <c r="D25" i="2"/>
  <c r="G24" i="2"/>
  <c r="H24" i="2" s="1"/>
  <c r="I24" i="2" s="1"/>
  <c r="J24" i="2" s="1"/>
  <c r="E24" i="2"/>
  <c r="D24" i="2"/>
  <c r="G23" i="2"/>
  <c r="H23" i="2" s="1"/>
  <c r="I23" i="2" s="1"/>
  <c r="I12" i="2" s="1"/>
  <c r="I38" i="2" s="1"/>
  <c r="E23" i="2"/>
  <c r="D23" i="2"/>
  <c r="G22" i="2"/>
  <c r="H22" i="2" s="1"/>
  <c r="I22" i="2" s="1"/>
  <c r="J22" i="2" s="1"/>
  <c r="E22" i="2"/>
  <c r="D22" i="2"/>
  <c r="I21" i="2"/>
  <c r="J21" i="2" s="1"/>
  <c r="G21" i="2"/>
  <c r="F15" i="2"/>
  <c r="F81" i="2" s="1"/>
  <c r="F12" i="2"/>
  <c r="F78" i="2" s="1"/>
  <c r="F9" i="2"/>
  <c r="E6" i="2"/>
  <c r="F6" i="2" s="1"/>
  <c r="G6" i="2" s="1"/>
  <c r="H6" i="2" s="1"/>
  <c r="I6" i="2" s="1"/>
  <c r="J6" i="2" s="1"/>
  <c r="B20" i="1"/>
  <c r="E50" i="1"/>
  <c r="D50" i="1"/>
  <c r="F48" i="1"/>
  <c r="E48" i="1"/>
  <c r="D48" i="1"/>
  <c r="E47" i="1"/>
  <c r="D47" i="1"/>
  <c r="E45" i="1"/>
  <c r="D45" i="1"/>
  <c r="E44" i="1"/>
  <c r="E43" i="1"/>
  <c r="E42" i="1"/>
  <c r="E29" i="1"/>
  <c r="E37" i="1"/>
  <c r="E35" i="1"/>
  <c r="E34" i="1"/>
  <c r="E32" i="1"/>
  <c r="E30" i="1"/>
  <c r="D37" i="1"/>
  <c r="D35" i="1"/>
  <c r="D34" i="1"/>
  <c r="D32" i="1"/>
  <c r="F15" i="1"/>
  <c r="F12" i="1"/>
  <c r="F45" i="1" s="1"/>
  <c r="F14" i="1"/>
  <c r="F34" i="1" s="1"/>
  <c r="G26" i="1"/>
  <c r="H26" i="1" s="1"/>
  <c r="I26" i="1" s="1"/>
  <c r="J26" i="1" s="1"/>
  <c r="G25" i="1"/>
  <c r="H25" i="1" s="1"/>
  <c r="I25" i="1" s="1"/>
  <c r="J25" i="1" s="1"/>
  <c r="J15" i="1" s="1"/>
  <c r="J48" i="1" s="1"/>
  <c r="G24" i="1"/>
  <c r="H24" i="1" s="1"/>
  <c r="I24" i="1" s="1"/>
  <c r="J24" i="1" s="1"/>
  <c r="G23" i="1"/>
  <c r="H23" i="1" s="1"/>
  <c r="I23" i="1" s="1"/>
  <c r="J23" i="1" s="1"/>
  <c r="J12" i="1" s="1"/>
  <c r="J45" i="1" s="1"/>
  <c r="G22" i="1"/>
  <c r="H22" i="1" s="1"/>
  <c r="I22" i="1" s="1"/>
  <c r="J22" i="1" s="1"/>
  <c r="I21" i="1"/>
  <c r="J21" i="1" s="1"/>
  <c r="G21" i="1"/>
  <c r="E25" i="1"/>
  <c r="D25" i="1"/>
  <c r="E24" i="1"/>
  <c r="D24" i="1"/>
  <c r="E23" i="1"/>
  <c r="D23" i="1"/>
  <c r="E22" i="1"/>
  <c r="D22" i="1"/>
  <c r="E11" i="1"/>
  <c r="E13" i="1" s="1"/>
  <c r="E16" i="1" s="1"/>
  <c r="E18" i="1" s="1"/>
  <c r="E38" i="1" s="1"/>
  <c r="D11" i="1"/>
  <c r="D13" i="1" s="1"/>
  <c r="D16" i="1" s="1"/>
  <c r="D18" i="1" s="1"/>
  <c r="D38" i="1" s="1"/>
  <c r="E6" i="1"/>
  <c r="F6" i="1" s="1"/>
  <c r="G6" i="1" s="1"/>
  <c r="H6" i="1" s="1"/>
  <c r="I6" i="1" s="1"/>
  <c r="J6" i="1" s="1"/>
  <c r="D56" i="2" l="1"/>
  <c r="G12" i="3"/>
  <c r="G13" i="3" s="1"/>
  <c r="G28" i="3" s="1"/>
  <c r="G16" i="3"/>
  <c r="E44" i="2"/>
  <c r="E51" i="2"/>
  <c r="D48" i="2"/>
  <c r="E49" i="2"/>
  <c r="E50" i="2"/>
  <c r="D46" i="2"/>
  <c r="D49" i="2"/>
  <c r="E45" i="2"/>
  <c r="E46" i="2"/>
  <c r="E48" i="2"/>
  <c r="E42" i="2"/>
  <c r="I40" i="2"/>
  <c r="F62" i="2"/>
  <c r="F38" i="2"/>
  <c r="F40" i="2"/>
  <c r="D77" i="2"/>
  <c r="D64" i="2"/>
  <c r="E64" i="2"/>
  <c r="D66" i="2"/>
  <c r="E77" i="2"/>
  <c r="F65" i="2"/>
  <c r="G15" i="2"/>
  <c r="H15" i="2"/>
  <c r="E66" i="2"/>
  <c r="E79" i="2"/>
  <c r="I78" i="2"/>
  <c r="G12" i="2"/>
  <c r="G38" i="2" s="1"/>
  <c r="F68" i="2"/>
  <c r="J23" i="2"/>
  <c r="J12" i="2" s="1"/>
  <c r="J38" i="2" s="1"/>
  <c r="D79" i="2"/>
  <c r="H12" i="2"/>
  <c r="H38" i="2" s="1"/>
  <c r="J25" i="2"/>
  <c r="J15" i="2" s="1"/>
  <c r="J40" i="2" s="1"/>
  <c r="F75" i="2"/>
  <c r="F14" i="2"/>
  <c r="F39" i="2" s="1"/>
  <c r="F10" i="2"/>
  <c r="G9" i="2"/>
  <c r="E31" i="1"/>
  <c r="D44" i="1"/>
  <c r="F32" i="1"/>
  <c r="F47" i="1"/>
  <c r="F42" i="1"/>
  <c r="H12" i="1"/>
  <c r="H45" i="1" s="1"/>
  <c r="F35" i="1"/>
  <c r="D36" i="1"/>
  <c r="E33" i="1"/>
  <c r="E36" i="1"/>
  <c r="D46" i="1"/>
  <c r="D49" i="1"/>
  <c r="D51" i="1"/>
  <c r="D33" i="1"/>
  <c r="E46" i="1"/>
  <c r="E49" i="1"/>
  <c r="E51" i="1"/>
  <c r="F29" i="1"/>
  <c r="G15" i="1"/>
  <c r="I12" i="1"/>
  <c r="I45" i="1" s="1"/>
  <c r="H15" i="1"/>
  <c r="H48" i="1" s="1"/>
  <c r="I15" i="1"/>
  <c r="I48" i="1" s="1"/>
  <c r="G12" i="1"/>
  <c r="G9" i="1"/>
  <c r="F10" i="1"/>
  <c r="F43" i="1" s="1"/>
  <c r="F63" i="2" l="1"/>
  <c r="F37" i="2"/>
  <c r="H81" i="2"/>
  <c r="H40" i="2"/>
  <c r="G81" i="2"/>
  <c r="G40" i="2"/>
  <c r="G62" i="2"/>
  <c r="G11" i="2"/>
  <c r="G13" i="2" s="1"/>
  <c r="G16" i="2" s="1"/>
  <c r="F11" i="2"/>
  <c r="F13" i="2" s="1"/>
  <c r="F16" i="2" s="1"/>
  <c r="D69" i="2"/>
  <c r="J81" i="2"/>
  <c r="E82" i="2"/>
  <c r="E69" i="2"/>
  <c r="D82" i="2"/>
  <c r="F67" i="2"/>
  <c r="F80" i="2"/>
  <c r="G65" i="2"/>
  <c r="G78" i="2"/>
  <c r="G10" i="2"/>
  <c r="G75" i="2"/>
  <c r="G14" i="2"/>
  <c r="G39" i="2" s="1"/>
  <c r="H9" i="2"/>
  <c r="H78" i="2"/>
  <c r="F76" i="2"/>
  <c r="F64" i="2"/>
  <c r="G68" i="2"/>
  <c r="J78" i="2"/>
  <c r="G29" i="1"/>
  <c r="G42" i="1"/>
  <c r="G32" i="1"/>
  <c r="G45" i="1"/>
  <c r="G35" i="1"/>
  <c r="G48" i="1"/>
  <c r="F11" i="1"/>
  <c r="F44" i="1" s="1"/>
  <c r="F30" i="1"/>
  <c r="H9" i="1"/>
  <c r="H42" i="1" s="1"/>
  <c r="G14" i="1"/>
  <c r="G10" i="1"/>
  <c r="G43" i="1" s="1"/>
  <c r="G63" i="2" l="1"/>
  <c r="G37" i="2"/>
  <c r="H65" i="2"/>
  <c r="H62" i="2"/>
  <c r="E71" i="2"/>
  <c r="E84" i="2"/>
  <c r="F77" i="2"/>
  <c r="G76" i="2"/>
  <c r="G80" i="2"/>
  <c r="G67" i="2"/>
  <c r="D84" i="2"/>
  <c r="D71" i="2"/>
  <c r="H75" i="2"/>
  <c r="H14" i="2"/>
  <c r="H39" i="2" s="1"/>
  <c r="H10" i="2"/>
  <c r="H11" i="2" s="1"/>
  <c r="I9" i="2"/>
  <c r="H68" i="2"/>
  <c r="G64" i="2"/>
  <c r="G34" i="1"/>
  <c r="G47" i="1"/>
  <c r="H35" i="1"/>
  <c r="H29" i="1"/>
  <c r="H32" i="1"/>
  <c r="F13" i="1"/>
  <c r="F46" i="1" s="1"/>
  <c r="F31" i="1"/>
  <c r="G11" i="1"/>
  <c r="G44" i="1" s="1"/>
  <c r="G30" i="1"/>
  <c r="I9" i="1"/>
  <c r="I42" i="1" s="1"/>
  <c r="H14" i="1"/>
  <c r="H10" i="1"/>
  <c r="H13" i="2" l="1"/>
  <c r="H16" i="2" s="1"/>
  <c r="H64" i="2"/>
  <c r="H63" i="2"/>
  <c r="H37" i="2"/>
  <c r="I62" i="2"/>
  <c r="H77" i="2"/>
  <c r="F79" i="2"/>
  <c r="F66" i="2"/>
  <c r="G77" i="2"/>
  <c r="H76" i="2"/>
  <c r="H80" i="2"/>
  <c r="H67" i="2"/>
  <c r="I75" i="2"/>
  <c r="J9" i="2"/>
  <c r="I10" i="2"/>
  <c r="I11" i="2" s="1"/>
  <c r="I14" i="2"/>
  <c r="I39" i="2" s="1"/>
  <c r="I65" i="2"/>
  <c r="I68" i="2"/>
  <c r="H30" i="1"/>
  <c r="H43" i="1"/>
  <c r="H34" i="1"/>
  <c r="H47" i="1"/>
  <c r="F16" i="1"/>
  <c r="F49" i="1" s="1"/>
  <c r="F33" i="1"/>
  <c r="H11" i="1"/>
  <c r="H44" i="1" s="1"/>
  <c r="I29" i="1"/>
  <c r="I35" i="1"/>
  <c r="I32" i="1"/>
  <c r="G13" i="1"/>
  <c r="G46" i="1" s="1"/>
  <c r="G31" i="1"/>
  <c r="J9" i="1"/>
  <c r="J42" i="1" s="1"/>
  <c r="I14" i="1"/>
  <c r="I10" i="1"/>
  <c r="I43" i="1" s="1"/>
  <c r="I13" i="2" l="1"/>
  <c r="I16" i="2" s="1"/>
  <c r="I64" i="2"/>
  <c r="I63" i="2"/>
  <c r="I37" i="2"/>
  <c r="J62" i="2"/>
  <c r="I77" i="2"/>
  <c r="G79" i="2"/>
  <c r="G66" i="2"/>
  <c r="I67" i="2"/>
  <c r="I80" i="2"/>
  <c r="I76" i="2"/>
  <c r="H66" i="2"/>
  <c r="H79" i="2"/>
  <c r="J75" i="2"/>
  <c r="J14" i="2"/>
  <c r="J39" i="2" s="1"/>
  <c r="J10" i="2"/>
  <c r="J68" i="2"/>
  <c r="J65" i="2"/>
  <c r="F82" i="2"/>
  <c r="F17" i="2"/>
  <c r="F69" i="2"/>
  <c r="I34" i="1"/>
  <c r="I47" i="1"/>
  <c r="I11" i="1"/>
  <c r="I44" i="1" s="1"/>
  <c r="I30" i="1"/>
  <c r="H13" i="1"/>
  <c r="H46" i="1" s="1"/>
  <c r="H31" i="1"/>
  <c r="G16" i="1"/>
  <c r="G49" i="1" s="1"/>
  <c r="G33" i="1"/>
  <c r="J29" i="1"/>
  <c r="J32" i="1"/>
  <c r="J35" i="1"/>
  <c r="F36" i="1"/>
  <c r="F17" i="1"/>
  <c r="F50" i="1" s="1"/>
  <c r="J14" i="1"/>
  <c r="J10" i="1"/>
  <c r="J43" i="1" s="1"/>
  <c r="F41" i="2" l="1"/>
  <c r="F18" i="2"/>
  <c r="F84" i="2" s="1"/>
  <c r="J63" i="2"/>
  <c r="J37" i="2"/>
  <c r="J11" i="2"/>
  <c r="J13" i="2" s="1"/>
  <c r="J16" i="2" s="1"/>
  <c r="F83" i="2"/>
  <c r="F70" i="2"/>
  <c r="J67" i="2"/>
  <c r="J80" i="2"/>
  <c r="I66" i="2"/>
  <c r="I79" i="2"/>
  <c r="F71" i="2"/>
  <c r="J76" i="2"/>
  <c r="H69" i="2"/>
  <c r="H82" i="2"/>
  <c r="H17" i="2"/>
  <c r="G69" i="2"/>
  <c r="G17" i="2"/>
  <c r="G82" i="2"/>
  <c r="J34" i="1"/>
  <c r="J47" i="1"/>
  <c r="H16" i="1"/>
  <c r="H49" i="1" s="1"/>
  <c r="H33" i="1"/>
  <c r="F18" i="1"/>
  <c r="F37" i="1"/>
  <c r="J11" i="1"/>
  <c r="J44" i="1" s="1"/>
  <c r="J30" i="1"/>
  <c r="G36" i="1"/>
  <c r="G17" i="1"/>
  <c r="G18" i="1" s="1"/>
  <c r="I13" i="1"/>
  <c r="I46" i="1" s="1"/>
  <c r="I31" i="1"/>
  <c r="F42" i="2" l="1"/>
  <c r="F51" i="2"/>
  <c r="F50" i="2"/>
  <c r="F45" i="2"/>
  <c r="F48" i="2"/>
  <c r="F49" i="2"/>
  <c r="F46" i="2"/>
  <c r="F44" i="2"/>
  <c r="H41" i="2"/>
  <c r="H18" i="2"/>
  <c r="H84" i="2" s="1"/>
  <c r="G41" i="2"/>
  <c r="G18" i="2"/>
  <c r="G71" i="2" s="1"/>
  <c r="J64" i="2"/>
  <c r="H70" i="2"/>
  <c r="H83" i="2"/>
  <c r="I82" i="2"/>
  <c r="I17" i="2"/>
  <c r="I69" i="2"/>
  <c r="J77" i="2"/>
  <c r="G83" i="2"/>
  <c r="G70" i="2"/>
  <c r="F38" i="1"/>
  <c r="F51" i="1"/>
  <c r="G38" i="1"/>
  <c r="G51" i="1"/>
  <c r="G37" i="1"/>
  <c r="G50" i="1"/>
  <c r="I16" i="1"/>
  <c r="I49" i="1" s="1"/>
  <c r="I33" i="1"/>
  <c r="J13" i="1"/>
  <c r="J46" i="1" s="1"/>
  <c r="J31" i="1"/>
  <c r="H36" i="1"/>
  <c r="H17" i="1"/>
  <c r="H50" i="1" s="1"/>
  <c r="H42" i="2" l="1"/>
  <c r="H50" i="2"/>
  <c r="H48" i="2"/>
  <c r="H49" i="2"/>
  <c r="H46" i="2"/>
  <c r="H44" i="2"/>
  <c r="H45" i="2"/>
  <c r="H51" i="2"/>
  <c r="G42" i="2"/>
  <c r="G50" i="2"/>
  <c r="G48" i="2"/>
  <c r="G49" i="2"/>
  <c r="G46" i="2"/>
  <c r="G44" i="2"/>
  <c r="G45" i="2"/>
  <c r="G51" i="2"/>
  <c r="G84" i="2"/>
  <c r="H71" i="2"/>
  <c r="I41" i="2"/>
  <c r="I18" i="2"/>
  <c r="I84" i="2" s="1"/>
  <c r="J79" i="2"/>
  <c r="J66" i="2"/>
  <c r="I70" i="2"/>
  <c r="I83" i="2"/>
  <c r="J16" i="1"/>
  <c r="J49" i="1" s="1"/>
  <c r="J33" i="1"/>
  <c r="H18" i="1"/>
  <c r="H37" i="1"/>
  <c r="I36" i="1"/>
  <c r="I17" i="1"/>
  <c r="I50" i="1" s="1"/>
  <c r="I42" i="2" l="1"/>
  <c r="I51" i="2"/>
  <c r="I50" i="2"/>
  <c r="I49" i="2"/>
  <c r="I46" i="2"/>
  <c r="I48" i="2"/>
  <c r="I44" i="2"/>
  <c r="I45" i="2"/>
  <c r="I71" i="2"/>
  <c r="J82" i="2"/>
  <c r="J69" i="2"/>
  <c r="J17" i="2"/>
  <c r="H38" i="1"/>
  <c r="H51" i="1"/>
  <c r="I18" i="1"/>
  <c r="I37" i="1"/>
  <c r="J36" i="1"/>
  <c r="J17" i="1"/>
  <c r="J50" i="1" s="1"/>
  <c r="J41" i="2" l="1"/>
  <c r="J18" i="2"/>
  <c r="J83" i="2"/>
  <c r="J70" i="2"/>
  <c r="I38" i="1"/>
  <c r="I51" i="1"/>
  <c r="J18" i="1"/>
  <c r="J37" i="1"/>
  <c r="J42" i="2" l="1"/>
  <c r="J51" i="2"/>
  <c r="J50" i="2"/>
  <c r="J49" i="2"/>
  <c r="J45" i="2"/>
  <c r="J48" i="2"/>
  <c r="J46" i="2"/>
  <c r="J44" i="2"/>
  <c r="J71" i="2"/>
  <c r="J84" i="2"/>
  <c r="J38" i="1"/>
  <c r="J51" i="1"/>
</calcChain>
</file>

<file path=xl/sharedStrings.xml><?xml version="1.0" encoding="utf-8"?>
<sst xmlns="http://schemas.openxmlformats.org/spreadsheetml/2006/main" count="164" uniqueCount="78">
  <si>
    <t>INR (Cores)</t>
  </si>
  <si>
    <t>Revenue</t>
  </si>
  <si>
    <t>COGS</t>
  </si>
  <si>
    <t>Gross Profit</t>
  </si>
  <si>
    <t>EBITDA</t>
  </si>
  <si>
    <t>Depreciation</t>
  </si>
  <si>
    <t>Interest</t>
  </si>
  <si>
    <t>EBT</t>
  </si>
  <si>
    <t>Taxes</t>
  </si>
  <si>
    <t>Net Income</t>
  </si>
  <si>
    <t>Revenue Growth</t>
  </si>
  <si>
    <t>COGS % of Revenue</t>
  </si>
  <si>
    <t>S&amp;G Expenses</t>
  </si>
  <si>
    <t>Depreciation % Sales</t>
  </si>
  <si>
    <t>NA</t>
  </si>
  <si>
    <t>Selling &amp; General Expenses</t>
  </si>
  <si>
    <t>Tata Steels</t>
  </si>
  <si>
    <t>Time Periods</t>
  </si>
  <si>
    <t>Monthly Data</t>
  </si>
  <si>
    <t>Annual Data</t>
  </si>
  <si>
    <t>Monthly Period</t>
  </si>
  <si>
    <t>Annual Period</t>
  </si>
  <si>
    <t>Cost Analysis</t>
  </si>
  <si>
    <t>Total</t>
  </si>
  <si>
    <t>Average</t>
  </si>
  <si>
    <t>Weighted Average</t>
  </si>
  <si>
    <t>Median</t>
  </si>
  <si>
    <t>Min</t>
  </si>
  <si>
    <t>Max</t>
  </si>
  <si>
    <t>Small</t>
  </si>
  <si>
    <t>Large</t>
  </si>
  <si>
    <t>Stub or Full Year</t>
  </si>
  <si>
    <t>Total Expenses</t>
  </si>
  <si>
    <t>Use IF for error checking</t>
  </si>
  <si>
    <t>Beta</t>
  </si>
  <si>
    <t>Cost of Capital</t>
  </si>
  <si>
    <t>RiskFreeRate</t>
  </si>
  <si>
    <t>MarketReturns</t>
  </si>
  <si>
    <t>CostofDebt</t>
  </si>
  <si>
    <t>TaxRate</t>
  </si>
  <si>
    <t>EquityValue</t>
  </si>
  <si>
    <t>DebtValue</t>
  </si>
  <si>
    <t>ERP</t>
  </si>
  <si>
    <t>Post Tax Cost of Debt</t>
  </si>
  <si>
    <t>Equity Funding</t>
  </si>
  <si>
    <t>Debt Funding</t>
  </si>
  <si>
    <t>Cost of Equity</t>
  </si>
  <si>
    <t>Current Sales</t>
  </si>
  <si>
    <t>Gross Margin</t>
  </si>
  <si>
    <t>Sales Growth</t>
  </si>
  <si>
    <t>Next Year Sales</t>
  </si>
  <si>
    <t>Cost of Sales</t>
  </si>
  <si>
    <t>D/E Ratio</t>
  </si>
  <si>
    <t>Coupon Rate</t>
  </si>
  <si>
    <t>Risk Rating</t>
  </si>
  <si>
    <t>Baa2</t>
  </si>
  <si>
    <t>Baa3</t>
  </si>
  <si>
    <t>Ba1</t>
  </si>
  <si>
    <t>Ba2</t>
  </si>
  <si>
    <t>Growth Margin</t>
  </si>
  <si>
    <t>Base Case</t>
  </si>
  <si>
    <t>Best Case</t>
  </si>
  <si>
    <t>Worst Case</t>
  </si>
  <si>
    <t>Current_Sales</t>
  </si>
  <si>
    <t>Sales_Growth</t>
  </si>
  <si>
    <t>Gross_Margin</t>
  </si>
  <si>
    <t>Created by Deborah Nyangige on 2/21/2025
Modified by Deborah Nyangige on 2/21/2025</t>
  </si>
  <si>
    <t>Created by Deborah Nyangige on 2/21/2025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</si>
  <si>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</si>
  <si>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</si>
  <si>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</si>
  <si>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</si>
  <si>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</si>
  <si>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</si>
  <si>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</si>
  <si>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Next_Year_Sales</t>
  </si>
  <si>
    <t>Cost_of_Sales</t>
  </si>
  <si>
    <t>Gross_Profit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</si>
</sst>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A&quot;"/>
    <numFmt numFmtId="165" formatCode="0&quot;E&quot;"/>
    <numFmt numFmtId="166" formatCode="#,##0.0;\(#,##0\)"/>
    <numFmt numFmtId="167" formatCode="dd\-mm\-yyyy"/>
    <numFmt numFmtId="168" formatCode="0.000000"/>
    <numFmt numFmtId="169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0" fillId="3" borderId="0" xfId="0" applyFill="1"/>
    <xf numFmtId="166" fontId="0" fillId="0" borderId="0" xfId="0" applyNumberFormat="1"/>
    <xf numFmtId="166" fontId="4" fillId="0" borderId="0" xfId="0" applyNumberFormat="1" applyFont="1"/>
    <xf numFmtId="0" fontId="0" fillId="0" borderId="0" xfId="0" applyAlignment="1">
      <alignment horizontal="right"/>
    </xf>
    <xf numFmtId="10" fontId="0" fillId="0" borderId="0" xfId="1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0" fontId="4" fillId="0" borderId="0" xfId="1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10" fontId="1" fillId="0" borderId="0" xfId="1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5" fillId="0" borderId="0" xfId="0" applyNumberFormat="1" applyFont="1"/>
    <xf numFmtId="0" fontId="3" fillId="4" borderId="0" xfId="0" applyFont="1" applyFill="1"/>
    <xf numFmtId="0" fontId="0" fillId="4" borderId="0" xfId="0" applyFill="1"/>
    <xf numFmtId="166" fontId="6" fillId="0" borderId="0" xfId="0" applyNumberFormat="1" applyFont="1"/>
    <xf numFmtId="166" fontId="7" fillId="0" borderId="0" xfId="0" applyNumberFormat="1" applyFont="1"/>
    <xf numFmtId="0" fontId="0" fillId="0" borderId="1" xfId="0" applyNumberFormat="1" applyBorder="1"/>
    <xf numFmtId="0" fontId="3" fillId="0" borderId="2" xfId="0" applyFont="1" applyBorder="1"/>
    <xf numFmtId="166" fontId="3" fillId="0" borderId="2" xfId="0" applyNumberFormat="1" applyFont="1" applyBorder="1"/>
    <xf numFmtId="10" fontId="0" fillId="0" borderId="0" xfId="1" applyNumberFormat="1" applyFont="1"/>
    <xf numFmtId="10" fontId="4" fillId="0" borderId="0" xfId="0" applyNumberFormat="1" applyFont="1"/>
    <xf numFmtId="0" fontId="0" fillId="0" borderId="0" xfId="0" applyBorder="1"/>
    <xf numFmtId="166" fontId="5" fillId="0" borderId="0" xfId="0" applyNumberFormat="1" applyFont="1" applyBorder="1"/>
    <xf numFmtId="166" fontId="5" fillId="0" borderId="1" xfId="0" applyNumberFormat="1" applyFont="1" applyBorder="1"/>
    <xf numFmtId="1" fontId="4" fillId="0" borderId="0" xfId="1" applyNumberFormat="1" applyFont="1" applyAlignment="1">
      <alignment horizontal="right"/>
    </xf>
    <xf numFmtId="2" fontId="4" fillId="0" borderId="0" xfId="0" applyNumberFormat="1" applyFont="1"/>
    <xf numFmtId="167" fontId="4" fillId="0" borderId="0" xfId="0" applyNumberFormat="1" applyFont="1"/>
    <xf numFmtId="167" fontId="5" fillId="0" borderId="0" xfId="0" applyNumberFormat="1" applyFont="1"/>
    <xf numFmtId="167" fontId="0" fillId="0" borderId="0" xfId="0" applyNumberFormat="1"/>
    <xf numFmtId="10" fontId="5" fillId="0" borderId="0" xfId="1" applyNumberFormat="1" applyFont="1" applyAlignment="1">
      <alignment horizontal="right"/>
    </xf>
    <xf numFmtId="168" fontId="5" fillId="0" borderId="0" xfId="1" applyNumberFormat="1" applyFont="1" applyAlignment="1">
      <alignment horizontal="right"/>
    </xf>
    <xf numFmtId="169" fontId="5" fillId="0" borderId="0" xfId="1" applyNumberFormat="1" applyFont="1" applyAlignment="1">
      <alignment horizontal="right"/>
    </xf>
    <xf numFmtId="0" fontId="8" fillId="0" borderId="1" xfId="0" applyFont="1" applyBorder="1"/>
    <xf numFmtId="169" fontId="7" fillId="0" borderId="1" xfId="1" applyNumberFormat="1" applyFont="1" applyBorder="1" applyAlignment="1">
      <alignment horizontal="right"/>
    </xf>
    <xf numFmtId="0" fontId="4" fillId="0" borderId="0" xfId="0" applyFont="1"/>
    <xf numFmtId="169" fontId="0" fillId="0" borderId="0" xfId="0" applyNumberFormat="1"/>
    <xf numFmtId="169" fontId="4" fillId="0" borderId="0" xfId="1" applyNumberFormat="1" applyFont="1" applyAlignment="1">
      <alignment horizontal="right"/>
    </xf>
    <xf numFmtId="169" fontId="1" fillId="0" borderId="0" xfId="1" applyNumberFormat="1" applyFont="1" applyAlignment="1">
      <alignment horizontal="right"/>
    </xf>
    <xf numFmtId="3" fontId="4" fillId="0" borderId="0" xfId="0" applyNumberFormat="1" applyFont="1"/>
    <xf numFmtId="4" fontId="7" fillId="0" borderId="0" xfId="1" applyNumberFormat="1" applyFont="1" applyAlignment="1">
      <alignment horizontal="right"/>
    </xf>
    <xf numFmtId="49" fontId="5" fillId="0" borderId="0" xfId="1" applyNumberFormat="1" applyFont="1" applyAlignment="1">
      <alignment horizontal="right"/>
    </xf>
    <xf numFmtId="9" fontId="4" fillId="0" borderId="0" xfId="1" applyFont="1"/>
    <xf numFmtId="1" fontId="4" fillId="0" borderId="0" xfId="1" applyNumberFormat="1" applyFont="1"/>
    <xf numFmtId="10" fontId="0" fillId="0" borderId="0" xfId="0" applyNumberFormat="1"/>
    <xf numFmtId="9" fontId="5" fillId="0" borderId="0" xfId="1" applyFont="1"/>
    <xf numFmtId="10" fontId="5" fillId="0" borderId="0" xfId="1" applyNumberFormat="1" applyFont="1"/>
    <xf numFmtId="9" fontId="4" fillId="0" borderId="0" xfId="0" applyNumberFormat="1" applyFont="1"/>
    <xf numFmtId="4" fontId="4" fillId="0" borderId="0" xfId="0" applyNumberFormat="1" applyFont="1"/>
    <xf numFmtId="4" fontId="0" fillId="0" borderId="0" xfId="0" applyNumberFormat="1"/>
    <xf numFmtId="9" fontId="4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10" fontId="4" fillId="0" borderId="0" xfId="0" applyNumberFormat="1" applyFont="1" applyProtection="1">
      <protection locked="0"/>
    </xf>
    <xf numFmtId="9" fontId="4" fillId="0" borderId="1" xfId="0" applyNumberFormat="1" applyFont="1" applyBorder="1"/>
    <xf numFmtId="0" fontId="4" fillId="0" borderId="1" xfId="0" applyFont="1" applyBorder="1" applyAlignment="1" applyProtection="1">
      <alignment horizontal="right"/>
      <protection locked="0"/>
    </xf>
    <xf numFmtId="10" fontId="4" fillId="0" borderId="1" xfId="0" applyNumberFormat="1" applyFont="1" applyBorder="1" applyProtection="1">
      <protection locked="0"/>
    </xf>
    <xf numFmtId="10" fontId="0" fillId="0" borderId="0" xfId="1" applyNumberFormat="1" applyFont="1" applyProtection="1">
      <protection locked="0"/>
    </xf>
    <xf numFmtId="4" fontId="0" fillId="0" borderId="4" xfId="0" applyNumberFormat="1" applyBorder="1"/>
    <xf numFmtId="4" fontId="0" fillId="0" borderId="5" xfId="0" applyNumberFormat="1" applyBorder="1"/>
    <xf numFmtId="0" fontId="0" fillId="2" borderId="0" xfId="0" applyFill="1"/>
    <xf numFmtId="0" fontId="10" fillId="2" borderId="0" xfId="0" applyFont="1" applyFill="1"/>
    <xf numFmtId="9" fontId="4" fillId="0" borderId="3" xfId="0" applyNumberFormat="1" applyFont="1" applyBorder="1"/>
    <xf numFmtId="10" fontId="4" fillId="0" borderId="3" xfId="0" applyNumberFormat="1" applyFont="1" applyBorder="1"/>
    <xf numFmtId="10" fontId="4" fillId="0" borderId="0" xfId="0" applyNumberFormat="1" applyFont="1" applyBorder="1"/>
    <xf numFmtId="4" fontId="11" fillId="0" borderId="0" xfId="0" applyNumberFormat="1" applyFont="1"/>
    <xf numFmtId="2" fontId="11" fillId="0" borderId="0" xfId="0" applyNumberFormat="1" applyFont="1"/>
    <xf numFmtId="4" fontId="0" fillId="0" borderId="1" xfId="0" applyNumberFormat="1" applyBorder="1"/>
    <xf numFmtId="0" fontId="0" fillId="0" borderId="3" xfId="0" applyBorder="1"/>
    <xf numFmtId="4" fontId="3" fillId="5" borderId="0" xfId="0" applyNumberFormat="1" applyFont="1" applyFill="1"/>
    <xf numFmtId="0" fontId="0" fillId="0" borderId="0" xfId="0" applyFill="1" applyBorder="1" applyAlignment="1"/>
    <xf numFmtId="4" fontId="0" fillId="0" borderId="0" xfId="0" applyNumberFormat="1" applyFill="1" applyBorder="1" applyAlignment="1"/>
    <xf numFmtId="9" fontId="0" fillId="0" borderId="0" xfId="0" applyNumberFormat="1" applyFill="1" applyBorder="1" applyAlignment="1"/>
    <xf numFmtId="0" fontId="12" fillId="6" borderId="8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/>
    </xf>
    <xf numFmtId="0" fontId="0" fillId="0" borderId="4" xfId="0" applyFill="1" applyBorder="1" applyAlignment="1"/>
    <xf numFmtId="0" fontId="13" fillId="7" borderId="0" xfId="0" applyFont="1" applyFill="1" applyBorder="1" applyAlignment="1">
      <alignment horizontal="left"/>
    </xf>
    <xf numFmtId="0" fontId="14" fillId="7" borderId="4" xfId="0" applyFont="1" applyFill="1" applyBorder="1" applyAlignment="1">
      <alignment horizontal="left"/>
    </xf>
    <xf numFmtId="0" fontId="13" fillId="7" borderId="7" xfId="0" applyFont="1" applyFill="1" applyBorder="1" applyAlignment="1">
      <alignment horizontal="left"/>
    </xf>
    <xf numFmtId="0" fontId="15" fillId="6" borderId="6" xfId="0" applyFont="1" applyFill="1" applyBorder="1" applyAlignment="1">
      <alignment horizontal="right"/>
    </xf>
    <xf numFmtId="0" fontId="15" fillId="6" borderId="8" xfId="0" applyFont="1" applyFill="1" applyBorder="1" applyAlignment="1">
      <alignment horizontal="right"/>
    </xf>
    <xf numFmtId="4" fontId="0" fillId="8" borderId="0" xfId="0" applyNumberFormat="1" applyFill="1" applyBorder="1" applyAlignment="1"/>
    <xf numFmtId="9" fontId="0" fillId="8" borderId="0" xfId="0" applyNumberFormat="1" applyFill="1" applyBorder="1" applyAlignment="1"/>
    <xf numFmtId="0" fontId="16" fillId="0" borderId="0" xfId="0" applyFont="1" applyFill="1" applyBorder="1" applyAlignment="1">
      <alignment vertical="top" wrapText="1"/>
    </xf>
    <xf numFmtId="4" fontId="0" fillId="0" borderId="7" xfId="0" applyNumberFormat="1" applyFill="1" applyBorder="1" applyAlignment="1"/>
  </cellXfs>
  <cellStyles count="2">
    <cellStyle name="Normal" xfId="0" builtinId="0"/>
    <cellStyle name="Percent" xfId="1" builtinId="5"/>
  </cellStyles>
  <dxfs count="4">
    <dxf>
      <font>
        <color auto="1"/>
      </font>
      <fill>
        <patternFill>
          <bgColor rgb="FF92D050"/>
        </patternFill>
      </fill>
    </dxf>
    <dxf>
      <font>
        <b val="0"/>
        <i/>
        <color theme="0" tint="-0.499984740745262"/>
      </font>
    </dxf>
    <dxf>
      <font>
        <color auto="1"/>
      </font>
      <fill>
        <patternFill>
          <bgColor rgb="FF92D050"/>
        </patternFill>
      </fill>
    </dxf>
    <dxf>
      <font>
        <b val="0"/>
        <i/>
        <color theme="0" tint="-0.499984740745262"/>
      </font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05F6-4A8C-48B6-8441-1324769B6637}">
  <dimension ref="B5:J52"/>
  <sheetViews>
    <sheetView showGridLines="0" topLeftCell="B1" workbookViewId="0">
      <pane ySplit="6" topLeftCell="A47" activePane="bottomLeft" state="frozen"/>
      <selection pane="bottomLeft" activeCell="C54" sqref="C54"/>
    </sheetView>
  </sheetViews>
  <sheetFormatPr defaultRowHeight="15" outlineLevelRow="1" x14ac:dyDescent="0.25"/>
  <cols>
    <col min="1" max="1" width="1.85546875" customWidth="1"/>
    <col min="2" max="2" width="24.7109375" customWidth="1"/>
    <col min="4" max="10" width="10.7109375" customWidth="1"/>
  </cols>
  <sheetData>
    <row r="5" spans="2:10" x14ac:dyDescent="0.25">
      <c r="B5" t="s">
        <v>16</v>
      </c>
    </row>
    <row r="6" spans="2:10" x14ac:dyDescent="0.25">
      <c r="B6" s="1" t="s">
        <v>0</v>
      </c>
      <c r="C6" s="1"/>
      <c r="D6" s="2">
        <v>2020</v>
      </c>
      <c r="E6" s="2">
        <f>D6+1</f>
        <v>2021</v>
      </c>
      <c r="F6" s="3">
        <f t="shared" ref="F6:J6" si="0">E6+1</f>
        <v>2022</v>
      </c>
      <c r="G6" s="3">
        <f t="shared" si="0"/>
        <v>2023</v>
      </c>
      <c r="H6" s="3">
        <f t="shared" si="0"/>
        <v>2024</v>
      </c>
      <c r="I6" s="3">
        <f t="shared" si="0"/>
        <v>2025</v>
      </c>
      <c r="J6" s="3">
        <f t="shared" si="0"/>
        <v>2026</v>
      </c>
    </row>
    <row r="7" spans="2:10" s="8" customFormat="1" x14ac:dyDescent="0.25">
      <c r="B7" s="5"/>
      <c r="C7" s="5"/>
      <c r="D7" s="6"/>
      <c r="E7" s="6"/>
      <c r="F7" s="7"/>
      <c r="G7" s="7"/>
      <c r="H7" s="7"/>
      <c r="I7" s="7"/>
      <c r="J7" s="7"/>
    </row>
    <row r="8" spans="2:10" x14ac:dyDescent="0.25">
      <c r="B8" s="20" t="str">
        <f>"Income Statement"&amp;" - "&amp;B5</f>
        <v>Income Statement - Tata Steels</v>
      </c>
      <c r="C8" s="21"/>
      <c r="D8" s="21"/>
      <c r="E8" s="21"/>
      <c r="F8" s="21"/>
      <c r="G8" s="21"/>
      <c r="H8" s="21"/>
      <c r="I8" s="21"/>
      <c r="J8" s="21"/>
    </row>
    <row r="9" spans="2:10" outlineLevel="1" x14ac:dyDescent="0.25">
      <c r="B9" s="4" t="s">
        <v>1</v>
      </c>
      <c r="C9" s="4"/>
      <c r="D9" s="22">
        <v>20000</v>
      </c>
      <c r="E9" s="22">
        <v>22500</v>
      </c>
      <c r="F9" s="23">
        <f>E9*(1+F21)</f>
        <v>24750.000000000004</v>
      </c>
      <c r="G9" s="23">
        <f t="shared" ref="G9:J9" si="1">F9*(1+G21)</f>
        <v>27225.000000000007</v>
      </c>
      <c r="H9" s="23">
        <f t="shared" si="1"/>
        <v>31308.750000000007</v>
      </c>
      <c r="I9" s="23">
        <f t="shared" si="1"/>
        <v>36005.062500000007</v>
      </c>
      <c r="J9" s="23">
        <f t="shared" si="1"/>
        <v>41405.821875000009</v>
      </c>
    </row>
    <row r="10" spans="2:10" outlineLevel="1" x14ac:dyDescent="0.25">
      <c r="B10" t="s">
        <v>2</v>
      </c>
      <c r="D10" s="10">
        <v>8000</v>
      </c>
      <c r="E10" s="10">
        <v>9000</v>
      </c>
      <c r="F10" s="19">
        <f>F9*F22</f>
        <v>9900.0000000000018</v>
      </c>
      <c r="G10" s="19">
        <f t="shared" ref="G10:J10" si="2">G9*G22</f>
        <v>10890.000000000004</v>
      </c>
      <c r="H10" s="19">
        <f t="shared" si="2"/>
        <v>12523.500000000004</v>
      </c>
      <c r="I10" s="19">
        <f t="shared" si="2"/>
        <v>14402.025000000003</v>
      </c>
      <c r="J10" s="19">
        <f t="shared" si="2"/>
        <v>16562.328750000004</v>
      </c>
    </row>
    <row r="11" spans="2:10" outlineLevel="1" x14ac:dyDescent="0.25">
      <c r="B11" s="24" t="s">
        <v>3</v>
      </c>
      <c r="C11" s="24"/>
      <c r="D11" s="31">
        <f>D9-D10</f>
        <v>12000</v>
      </c>
      <c r="E11" s="31">
        <f>E9-E10</f>
        <v>13500</v>
      </c>
      <c r="F11" s="31">
        <f t="shared" ref="F11:J11" si="3">F9-F10</f>
        <v>14850.000000000002</v>
      </c>
      <c r="G11" s="31">
        <f t="shared" si="3"/>
        <v>16335.000000000004</v>
      </c>
      <c r="H11" s="31">
        <f t="shared" si="3"/>
        <v>18785.250000000004</v>
      </c>
      <c r="I11" s="31">
        <f t="shared" si="3"/>
        <v>21603.037500000006</v>
      </c>
      <c r="J11" s="31">
        <f t="shared" si="3"/>
        <v>24843.493125000005</v>
      </c>
    </row>
    <row r="12" spans="2:10" outlineLevel="1" x14ac:dyDescent="0.25">
      <c r="B12" t="s">
        <v>15</v>
      </c>
      <c r="D12" s="10">
        <v>2000</v>
      </c>
      <c r="E12" s="10">
        <v>2250</v>
      </c>
      <c r="F12" s="9">
        <f>F23</f>
        <v>2500</v>
      </c>
      <c r="G12" s="9">
        <f t="shared" ref="G12:J12" si="4">G23</f>
        <v>2500</v>
      </c>
      <c r="H12" s="9">
        <f t="shared" si="4"/>
        <v>2500</v>
      </c>
      <c r="I12" s="9">
        <f t="shared" si="4"/>
        <v>2500</v>
      </c>
      <c r="J12" s="9">
        <f t="shared" si="4"/>
        <v>2500</v>
      </c>
    </row>
    <row r="13" spans="2:10" outlineLevel="1" x14ac:dyDescent="0.25">
      <c r="B13" s="24" t="s">
        <v>4</v>
      </c>
      <c r="C13" s="24"/>
      <c r="D13" s="31">
        <f>D11-D12</f>
        <v>10000</v>
      </c>
      <c r="E13" s="31">
        <f>E11-E12</f>
        <v>11250</v>
      </c>
      <c r="F13" s="31">
        <f t="shared" ref="F13:J13" si="5">F11-F12</f>
        <v>12350.000000000002</v>
      </c>
      <c r="G13" s="31">
        <f t="shared" si="5"/>
        <v>13835.000000000004</v>
      </c>
      <c r="H13" s="31">
        <f t="shared" si="5"/>
        <v>16285.250000000004</v>
      </c>
      <c r="I13" s="31">
        <f t="shared" si="5"/>
        <v>19103.037500000006</v>
      </c>
      <c r="J13" s="31">
        <f t="shared" si="5"/>
        <v>22343.493125000005</v>
      </c>
    </row>
    <row r="14" spans="2:10" outlineLevel="1" x14ac:dyDescent="0.25">
      <c r="B14" t="s">
        <v>5</v>
      </c>
      <c r="D14" s="10">
        <v>800</v>
      </c>
      <c r="E14" s="10">
        <v>900</v>
      </c>
      <c r="F14" s="9">
        <f>F9*F24</f>
        <v>1237.5000000000002</v>
      </c>
      <c r="G14" s="9">
        <f t="shared" ref="G14:J14" si="6">G9*G24</f>
        <v>1361.2500000000005</v>
      </c>
      <c r="H14" s="9">
        <f t="shared" si="6"/>
        <v>1565.4375000000005</v>
      </c>
      <c r="I14" s="9">
        <f t="shared" si="6"/>
        <v>1800.2531250000004</v>
      </c>
      <c r="J14" s="9">
        <f t="shared" si="6"/>
        <v>2070.2910937500005</v>
      </c>
    </row>
    <row r="15" spans="2:10" outlineLevel="1" x14ac:dyDescent="0.25">
      <c r="B15" t="s">
        <v>6</v>
      </c>
      <c r="D15" s="10">
        <v>200</v>
      </c>
      <c r="E15" s="10">
        <v>225</v>
      </c>
      <c r="F15" s="9">
        <f>F25</f>
        <v>250</v>
      </c>
      <c r="G15" s="9">
        <f t="shared" ref="G15:J15" si="7">G25</f>
        <v>250</v>
      </c>
      <c r="H15" s="9">
        <f t="shared" si="7"/>
        <v>250</v>
      </c>
      <c r="I15" s="9">
        <f t="shared" si="7"/>
        <v>250</v>
      </c>
      <c r="J15" s="9">
        <f t="shared" si="7"/>
        <v>250</v>
      </c>
    </row>
    <row r="16" spans="2:10" outlineLevel="1" x14ac:dyDescent="0.25">
      <c r="B16" s="24" t="s">
        <v>7</v>
      </c>
      <c r="C16" s="24"/>
      <c r="D16" s="31">
        <f>D13-SUM(D14+D15)</f>
        <v>9000</v>
      </c>
      <c r="E16" s="31">
        <f>E13-SUM(E14+E15)</f>
        <v>10125</v>
      </c>
      <c r="F16" s="31">
        <f t="shared" ref="F16:J16" si="8">F13-SUM(F14+F15)</f>
        <v>10862.500000000002</v>
      </c>
      <c r="G16" s="31">
        <f t="shared" si="8"/>
        <v>12223.750000000004</v>
      </c>
      <c r="H16" s="31">
        <f t="shared" si="8"/>
        <v>14469.812500000004</v>
      </c>
      <c r="I16" s="31">
        <f t="shared" si="8"/>
        <v>17052.784375000007</v>
      </c>
      <c r="J16" s="31">
        <f t="shared" si="8"/>
        <v>20023.202031250003</v>
      </c>
    </row>
    <row r="17" spans="2:10" outlineLevel="1" x14ac:dyDescent="0.25">
      <c r="B17" t="s">
        <v>8</v>
      </c>
      <c r="D17" s="10">
        <v>2700</v>
      </c>
      <c r="E17" s="10">
        <v>3038</v>
      </c>
      <c r="F17" s="9">
        <f>F16*F26</f>
        <v>3258.7500000000005</v>
      </c>
      <c r="G17" s="9">
        <f t="shared" ref="G17:J17" si="9">G16*G26</f>
        <v>3667.1250000000009</v>
      </c>
      <c r="H17" s="9">
        <f t="shared" si="9"/>
        <v>4340.9437500000013</v>
      </c>
      <c r="I17" s="9">
        <f t="shared" si="9"/>
        <v>5115.8353125000021</v>
      </c>
      <c r="J17" s="9">
        <f t="shared" si="9"/>
        <v>6006.9606093750008</v>
      </c>
    </row>
    <row r="18" spans="2:10" ht="15.75" outlineLevel="1" thickBot="1" x14ac:dyDescent="0.3">
      <c r="B18" s="25" t="s">
        <v>9</v>
      </c>
      <c r="C18" s="25"/>
      <c r="D18" s="26">
        <f>D16-D17</f>
        <v>6300</v>
      </c>
      <c r="E18" s="26">
        <f>E16-E17</f>
        <v>7087</v>
      </c>
      <c r="F18" s="26">
        <f t="shared" ref="F18:J18" si="10">F16-F17</f>
        <v>7603.7500000000018</v>
      </c>
      <c r="G18" s="26">
        <f t="shared" si="10"/>
        <v>8556.6250000000036</v>
      </c>
      <c r="H18" s="26">
        <f t="shared" si="10"/>
        <v>10128.868750000001</v>
      </c>
      <c r="I18" s="26">
        <f t="shared" si="10"/>
        <v>11936.949062500003</v>
      </c>
      <c r="J18" s="26">
        <f t="shared" si="10"/>
        <v>14016.241421875002</v>
      </c>
    </row>
    <row r="19" spans="2:10" ht="15.75" thickTop="1" x14ac:dyDescent="0.25"/>
    <row r="20" spans="2:10" x14ac:dyDescent="0.25">
      <c r="B20" s="20" t="str">
        <f xml:space="preserve"> "Assumptions Drivers"&amp;" - "&amp;B5</f>
        <v>Assumptions Drivers - Tata Steels</v>
      </c>
      <c r="C20" s="21"/>
      <c r="D20" s="21"/>
      <c r="E20" s="21"/>
      <c r="F20" s="21"/>
      <c r="G20" s="21"/>
      <c r="H20" s="21"/>
      <c r="I20" s="21"/>
      <c r="J20" s="21"/>
    </row>
    <row r="21" spans="2:10" outlineLevel="1" x14ac:dyDescent="0.25">
      <c r="B21" t="s">
        <v>10</v>
      </c>
      <c r="D21" s="11" t="s">
        <v>14</v>
      </c>
      <c r="E21" s="12">
        <f>E9/D9-1</f>
        <v>0.125</v>
      </c>
      <c r="F21" s="14">
        <v>0.1</v>
      </c>
      <c r="G21" s="16">
        <f>F21</f>
        <v>0.1</v>
      </c>
      <c r="H21" s="14">
        <v>0.15</v>
      </c>
      <c r="I21" s="16">
        <f t="shared" ref="I21:J21" si="11">H21</f>
        <v>0.15</v>
      </c>
      <c r="J21" s="16">
        <f t="shared" si="11"/>
        <v>0.15</v>
      </c>
    </row>
    <row r="22" spans="2:10" outlineLevel="1" x14ac:dyDescent="0.25">
      <c r="B22" t="s">
        <v>11</v>
      </c>
      <c r="D22" s="12">
        <f>D10/D9</f>
        <v>0.4</v>
      </c>
      <c r="E22" s="12">
        <f>E10/E9</f>
        <v>0.4</v>
      </c>
      <c r="F22" s="14">
        <v>0.4</v>
      </c>
      <c r="G22" s="17">
        <f t="shared" ref="G22:J22" si="12">F22</f>
        <v>0.4</v>
      </c>
      <c r="H22" s="17">
        <f t="shared" si="12"/>
        <v>0.4</v>
      </c>
      <c r="I22" s="17">
        <f t="shared" si="12"/>
        <v>0.4</v>
      </c>
      <c r="J22" s="17">
        <f t="shared" si="12"/>
        <v>0.4</v>
      </c>
    </row>
    <row r="23" spans="2:10" outlineLevel="1" x14ac:dyDescent="0.25">
      <c r="B23" t="s">
        <v>12</v>
      </c>
      <c r="D23" s="13">
        <f>D12</f>
        <v>2000</v>
      </c>
      <c r="E23" s="13">
        <f>E12</f>
        <v>2250</v>
      </c>
      <c r="F23" s="15">
        <v>2500</v>
      </c>
      <c r="G23" s="18">
        <f t="shared" ref="G23:J23" si="13">F23</f>
        <v>2500</v>
      </c>
      <c r="H23" s="18">
        <f t="shared" si="13"/>
        <v>2500</v>
      </c>
      <c r="I23" s="18">
        <f t="shared" si="13"/>
        <v>2500</v>
      </c>
      <c r="J23" s="18">
        <f t="shared" si="13"/>
        <v>2500</v>
      </c>
    </row>
    <row r="24" spans="2:10" outlineLevel="1" x14ac:dyDescent="0.25">
      <c r="B24" t="s">
        <v>13</v>
      </c>
      <c r="D24" s="12">
        <f>D14/D9</f>
        <v>0.04</v>
      </c>
      <c r="E24" s="12">
        <f>E14/E9</f>
        <v>0.04</v>
      </c>
      <c r="F24" s="14">
        <v>0.05</v>
      </c>
      <c r="G24" s="17">
        <f t="shared" ref="G24:J24" si="14">F24</f>
        <v>0.05</v>
      </c>
      <c r="H24" s="17">
        <f t="shared" si="14"/>
        <v>0.05</v>
      </c>
      <c r="I24" s="17">
        <f t="shared" si="14"/>
        <v>0.05</v>
      </c>
      <c r="J24" s="17">
        <f t="shared" si="14"/>
        <v>0.05</v>
      </c>
    </row>
    <row r="25" spans="2:10" outlineLevel="1" x14ac:dyDescent="0.25">
      <c r="B25" t="s">
        <v>6</v>
      </c>
      <c r="D25" s="13">
        <f>D15</f>
        <v>200</v>
      </c>
      <c r="E25" s="13">
        <f>E15</f>
        <v>225</v>
      </c>
      <c r="F25" s="15">
        <v>250</v>
      </c>
      <c r="G25" s="18">
        <f t="shared" ref="G25:J25" si="15">F25</f>
        <v>250</v>
      </c>
      <c r="H25" s="18">
        <f t="shared" si="15"/>
        <v>250</v>
      </c>
      <c r="I25" s="18">
        <f t="shared" si="15"/>
        <v>250</v>
      </c>
      <c r="J25" s="18">
        <f t="shared" si="15"/>
        <v>250</v>
      </c>
    </row>
    <row r="26" spans="2:10" outlineLevel="1" x14ac:dyDescent="0.25">
      <c r="B26" t="s">
        <v>8</v>
      </c>
      <c r="D26" s="14">
        <v>0.3</v>
      </c>
      <c r="E26" s="14">
        <v>0.3</v>
      </c>
      <c r="F26" s="14">
        <v>0.3</v>
      </c>
      <c r="G26" s="17">
        <f t="shared" ref="G26:J26" si="16">F26</f>
        <v>0.3</v>
      </c>
      <c r="H26" s="17">
        <f t="shared" si="16"/>
        <v>0.3</v>
      </c>
      <c r="I26" s="17">
        <f t="shared" si="16"/>
        <v>0.3</v>
      </c>
      <c r="J26" s="17">
        <f t="shared" si="16"/>
        <v>0.3</v>
      </c>
    </row>
    <row r="28" spans="2:10" x14ac:dyDescent="0.25">
      <c r="B28" s="20" t="str">
        <f xml:space="preserve"> "Common Size Statement"&amp;" - "&amp;B5</f>
        <v>Common Size Statement - Tata Steels</v>
      </c>
      <c r="C28" s="21"/>
      <c r="D28" s="21"/>
      <c r="E28" s="21"/>
      <c r="F28" s="21"/>
      <c r="G28" s="21"/>
      <c r="H28" s="21"/>
      <c r="I28" s="21"/>
      <c r="J28" s="21"/>
    </row>
    <row r="29" spans="2:10" outlineLevel="1" x14ac:dyDescent="0.25">
      <c r="B29" t="s">
        <v>1</v>
      </c>
      <c r="D29" s="27">
        <f>D9/D$9</f>
        <v>1</v>
      </c>
      <c r="E29" s="27">
        <f t="shared" ref="E29:J29" si="17">E9/E$9</f>
        <v>1</v>
      </c>
      <c r="F29" s="27">
        <f t="shared" si="17"/>
        <v>1</v>
      </c>
      <c r="G29" s="27">
        <f t="shared" si="17"/>
        <v>1</v>
      </c>
      <c r="H29" s="27">
        <f t="shared" si="17"/>
        <v>1</v>
      </c>
      <c r="I29" s="27">
        <f t="shared" si="17"/>
        <v>1</v>
      </c>
      <c r="J29" s="27">
        <f t="shared" si="17"/>
        <v>1</v>
      </c>
    </row>
    <row r="30" spans="2:10" outlineLevel="1" x14ac:dyDescent="0.25">
      <c r="B30" t="s">
        <v>2</v>
      </c>
      <c r="D30" s="27">
        <f>D10/D$9</f>
        <v>0.4</v>
      </c>
      <c r="E30" s="27">
        <f t="shared" ref="E30:J30" si="18">E10/E$9</f>
        <v>0.4</v>
      </c>
      <c r="F30" s="27">
        <f t="shared" si="18"/>
        <v>0.4</v>
      </c>
      <c r="G30" s="27">
        <f t="shared" si="18"/>
        <v>0.4</v>
      </c>
      <c r="H30" s="27">
        <f t="shared" si="18"/>
        <v>0.4</v>
      </c>
      <c r="I30" s="27">
        <f t="shared" si="18"/>
        <v>0.4</v>
      </c>
      <c r="J30" s="27">
        <f t="shared" si="18"/>
        <v>0.4</v>
      </c>
    </row>
    <row r="31" spans="2:10" outlineLevel="1" x14ac:dyDescent="0.25">
      <c r="B31" t="s">
        <v>3</v>
      </c>
      <c r="D31" s="27">
        <f>D11/D$9</f>
        <v>0.6</v>
      </c>
      <c r="E31" s="27">
        <f t="shared" ref="E31:J31" si="19">E11/E$9</f>
        <v>0.6</v>
      </c>
      <c r="F31" s="27">
        <f t="shared" si="19"/>
        <v>0.6</v>
      </c>
      <c r="G31" s="27">
        <f t="shared" si="19"/>
        <v>0.6</v>
      </c>
      <c r="H31" s="27">
        <f t="shared" si="19"/>
        <v>0.6</v>
      </c>
      <c r="I31" s="27">
        <f t="shared" si="19"/>
        <v>0.60000000000000009</v>
      </c>
      <c r="J31" s="27">
        <f t="shared" si="19"/>
        <v>0.6</v>
      </c>
    </row>
    <row r="32" spans="2:10" outlineLevel="1" x14ac:dyDescent="0.25">
      <c r="B32" t="s">
        <v>15</v>
      </c>
      <c r="D32" s="27">
        <f t="shared" ref="D31:D38" si="20">D12/$D$9</f>
        <v>0.1</v>
      </c>
      <c r="E32" s="27">
        <f t="shared" ref="E32:J32" si="21">E12/E$9</f>
        <v>0.1</v>
      </c>
      <c r="F32" s="27">
        <f t="shared" si="21"/>
        <v>0.10101010101010099</v>
      </c>
      <c r="G32" s="27">
        <f t="shared" si="21"/>
        <v>9.1827364554637261E-2</v>
      </c>
      <c r="H32" s="27">
        <f t="shared" si="21"/>
        <v>7.984988222142371E-2</v>
      </c>
      <c r="I32" s="27">
        <f t="shared" si="21"/>
        <v>6.9434680192542356E-2</v>
      </c>
      <c r="J32" s="27">
        <f t="shared" si="21"/>
        <v>6.0377982776123787E-2</v>
      </c>
    </row>
    <row r="33" spans="2:10" outlineLevel="1" x14ac:dyDescent="0.25">
      <c r="B33" t="s">
        <v>4</v>
      </c>
      <c r="D33" s="27">
        <f t="shared" si="20"/>
        <v>0.5</v>
      </c>
      <c r="E33" s="27">
        <f t="shared" ref="E33:J33" si="22">E13/E$9</f>
        <v>0.5</v>
      </c>
      <c r="F33" s="27">
        <f t="shared" si="22"/>
        <v>0.49898989898989898</v>
      </c>
      <c r="G33" s="27">
        <f t="shared" si="22"/>
        <v>0.50817263544536273</v>
      </c>
      <c r="H33" s="27">
        <f t="shared" si="22"/>
        <v>0.52015011777857623</v>
      </c>
      <c r="I33" s="27">
        <f t="shared" si="22"/>
        <v>0.53056531980745769</v>
      </c>
      <c r="J33" s="27">
        <f t="shared" si="22"/>
        <v>0.53962201722387615</v>
      </c>
    </row>
    <row r="34" spans="2:10" outlineLevel="1" x14ac:dyDescent="0.25">
      <c r="B34" t="s">
        <v>5</v>
      </c>
      <c r="D34" s="27">
        <f t="shared" si="20"/>
        <v>0.04</v>
      </c>
      <c r="E34" s="27">
        <f t="shared" ref="E34:J34" si="23">E14/E$9</f>
        <v>0.04</v>
      </c>
      <c r="F34" s="27">
        <f t="shared" si="23"/>
        <v>0.05</v>
      </c>
      <c r="G34" s="27">
        <f t="shared" si="23"/>
        <v>0.05</v>
      </c>
      <c r="H34" s="27">
        <f t="shared" si="23"/>
        <v>0.05</v>
      </c>
      <c r="I34" s="27">
        <f t="shared" si="23"/>
        <v>0.05</v>
      </c>
      <c r="J34" s="27">
        <f t="shared" si="23"/>
        <v>0.05</v>
      </c>
    </row>
    <row r="35" spans="2:10" outlineLevel="1" x14ac:dyDescent="0.25">
      <c r="B35" t="s">
        <v>6</v>
      </c>
      <c r="D35" s="27">
        <f t="shared" si="20"/>
        <v>0.01</v>
      </c>
      <c r="E35" s="27">
        <f t="shared" ref="E35:J35" si="24">E15/E$9</f>
        <v>0.01</v>
      </c>
      <c r="F35" s="27">
        <f t="shared" si="24"/>
        <v>1.01010101010101E-2</v>
      </c>
      <c r="G35" s="27">
        <f t="shared" si="24"/>
        <v>9.1827364554637261E-3</v>
      </c>
      <c r="H35" s="27">
        <f t="shared" si="24"/>
        <v>7.9849882221423706E-3</v>
      </c>
      <c r="I35" s="27">
        <f t="shared" si="24"/>
        <v>6.9434680192542357E-3</v>
      </c>
      <c r="J35" s="27">
        <f t="shared" si="24"/>
        <v>6.0377982776123789E-3</v>
      </c>
    </row>
    <row r="36" spans="2:10" outlineLevel="1" x14ac:dyDescent="0.25">
      <c r="B36" t="s">
        <v>7</v>
      </c>
      <c r="D36" s="27">
        <f t="shared" si="20"/>
        <v>0.45</v>
      </c>
      <c r="E36" s="27">
        <f t="shared" ref="E36:J36" si="25">E16/E$9</f>
        <v>0.45</v>
      </c>
      <c r="F36" s="27">
        <f t="shared" si="25"/>
        <v>0.43888888888888888</v>
      </c>
      <c r="G36" s="27">
        <f t="shared" si="25"/>
        <v>0.44898989898989899</v>
      </c>
      <c r="H36" s="27">
        <f t="shared" si="25"/>
        <v>0.46216512955643391</v>
      </c>
      <c r="I36" s="27">
        <f t="shared" si="25"/>
        <v>0.47362185178820349</v>
      </c>
      <c r="J36" s="27">
        <f t="shared" si="25"/>
        <v>0.4835842189462638</v>
      </c>
    </row>
    <row r="37" spans="2:10" outlineLevel="1" x14ac:dyDescent="0.25">
      <c r="B37" t="s">
        <v>8</v>
      </c>
      <c r="D37" s="27">
        <f t="shared" si="20"/>
        <v>0.13500000000000001</v>
      </c>
      <c r="E37" s="27">
        <f t="shared" ref="E37:J37" si="26">E17/E$9</f>
        <v>0.13502222222222221</v>
      </c>
      <c r="F37" s="27">
        <f t="shared" si="26"/>
        <v>0.13166666666666665</v>
      </c>
      <c r="G37" s="27">
        <f t="shared" si="26"/>
        <v>0.1346969696969697</v>
      </c>
      <c r="H37" s="27">
        <f t="shared" si="26"/>
        <v>0.13864953886693018</v>
      </c>
      <c r="I37" s="27">
        <f t="shared" si="26"/>
        <v>0.14208655553646105</v>
      </c>
      <c r="J37" s="27">
        <f t="shared" si="26"/>
        <v>0.14507526568387913</v>
      </c>
    </row>
    <row r="38" spans="2:10" outlineLevel="1" x14ac:dyDescent="0.25">
      <c r="B38" t="s">
        <v>9</v>
      </c>
      <c r="D38" s="27">
        <f t="shared" si="20"/>
        <v>0.315</v>
      </c>
      <c r="E38" s="27">
        <f t="shared" ref="E38:J38" si="27">E18/E$9</f>
        <v>0.3149777777777778</v>
      </c>
      <c r="F38" s="27">
        <f t="shared" si="27"/>
        <v>0.30722222222222223</v>
      </c>
      <c r="G38" s="27">
        <f t="shared" si="27"/>
        <v>0.31429292929292935</v>
      </c>
      <c r="H38" s="27">
        <f t="shared" si="27"/>
        <v>0.3235155906895037</v>
      </c>
      <c r="I38" s="27">
        <f t="shared" si="27"/>
        <v>0.33153529625174238</v>
      </c>
      <c r="J38" s="27">
        <f t="shared" si="27"/>
        <v>0.33850895326238467</v>
      </c>
    </row>
    <row r="40" spans="2:10" x14ac:dyDescent="0.25">
      <c r="B40" s="20" t="str">
        <f xml:space="preserve"> "Change Analysis Statement"&amp;" - "&amp;B5</f>
        <v>Change Analysis Statement - Tata Steels</v>
      </c>
      <c r="C40" s="21"/>
      <c r="D40" s="21"/>
      <c r="E40" s="21"/>
      <c r="F40" s="21"/>
      <c r="G40" s="21"/>
      <c r="H40" s="21"/>
      <c r="I40" s="21"/>
      <c r="J40" s="21"/>
    </row>
    <row r="41" spans="2:10" outlineLevel="1" x14ac:dyDescent="0.25">
      <c r="C41" s="28">
        <v>0.1</v>
      </c>
    </row>
    <row r="42" spans="2:10" outlineLevel="1" x14ac:dyDescent="0.25">
      <c r="B42" s="4" t="s">
        <v>1</v>
      </c>
      <c r="C42" s="4"/>
      <c r="D42" s="23">
        <f>D9*(1+$C$41)</f>
        <v>22000</v>
      </c>
      <c r="E42" s="23">
        <f t="shared" ref="E42:J42" si="28">E9*(1+$C$41)</f>
        <v>24750.000000000004</v>
      </c>
      <c r="F42" s="23">
        <f t="shared" si="28"/>
        <v>27225.000000000007</v>
      </c>
      <c r="G42" s="23">
        <f t="shared" si="28"/>
        <v>29947.500000000011</v>
      </c>
      <c r="H42" s="23">
        <f t="shared" si="28"/>
        <v>34439.625000000007</v>
      </c>
      <c r="I42" s="23">
        <f t="shared" si="28"/>
        <v>39605.568750000013</v>
      </c>
      <c r="J42" s="23">
        <f t="shared" si="28"/>
        <v>45546.404062500013</v>
      </c>
    </row>
    <row r="43" spans="2:10" outlineLevel="1" x14ac:dyDescent="0.25">
      <c r="B43" s="29" t="s">
        <v>2</v>
      </c>
      <c r="C43" s="29"/>
      <c r="D43" s="30">
        <f>D10*(1+$C$41)</f>
        <v>8800</v>
      </c>
      <c r="E43" s="30">
        <f t="shared" ref="E43:J43" si="29">E10*(1+$C$41)</f>
        <v>9900</v>
      </c>
      <c r="F43" s="30">
        <f t="shared" si="29"/>
        <v>10890.000000000004</v>
      </c>
      <c r="G43" s="30">
        <f t="shared" si="29"/>
        <v>11979.000000000005</v>
      </c>
      <c r="H43" s="30">
        <f t="shared" si="29"/>
        <v>13775.850000000006</v>
      </c>
      <c r="I43" s="30">
        <f t="shared" si="29"/>
        <v>15842.227500000005</v>
      </c>
      <c r="J43" s="30">
        <f t="shared" si="29"/>
        <v>18218.561625000006</v>
      </c>
    </row>
    <row r="44" spans="2:10" outlineLevel="1" x14ac:dyDescent="0.25">
      <c r="B44" s="24" t="s">
        <v>3</v>
      </c>
      <c r="C44" s="24"/>
      <c r="D44" s="31">
        <f t="shared" ref="D44:J44" si="30">D11*(1+$C$41)</f>
        <v>13200.000000000002</v>
      </c>
      <c r="E44" s="31">
        <f t="shared" si="30"/>
        <v>14850.000000000002</v>
      </c>
      <c r="F44" s="31">
        <f t="shared" si="30"/>
        <v>16335.000000000004</v>
      </c>
      <c r="G44" s="31">
        <f t="shared" si="30"/>
        <v>17968.500000000004</v>
      </c>
      <c r="H44" s="31">
        <f t="shared" si="30"/>
        <v>20663.775000000005</v>
      </c>
      <c r="I44" s="31">
        <f t="shared" si="30"/>
        <v>23763.341250000009</v>
      </c>
      <c r="J44" s="31">
        <f t="shared" si="30"/>
        <v>27327.842437500007</v>
      </c>
    </row>
    <row r="45" spans="2:10" outlineLevel="1" x14ac:dyDescent="0.25">
      <c r="B45" t="s">
        <v>15</v>
      </c>
      <c r="D45" s="19">
        <f t="shared" ref="D45:J45" si="31">D12*(1+$C$41)</f>
        <v>2200</v>
      </c>
      <c r="E45" s="19">
        <f t="shared" si="31"/>
        <v>2475</v>
      </c>
      <c r="F45" s="9">
        <f t="shared" si="31"/>
        <v>2750</v>
      </c>
      <c r="G45" s="9">
        <f t="shared" si="31"/>
        <v>2750</v>
      </c>
      <c r="H45" s="9">
        <f t="shared" si="31"/>
        <v>2750</v>
      </c>
      <c r="I45" s="9">
        <f t="shared" si="31"/>
        <v>2750</v>
      </c>
      <c r="J45" s="9">
        <f t="shared" si="31"/>
        <v>2750</v>
      </c>
    </row>
    <row r="46" spans="2:10" outlineLevel="1" x14ac:dyDescent="0.25">
      <c r="B46" s="24" t="s">
        <v>4</v>
      </c>
      <c r="C46" s="24"/>
      <c r="D46" s="31">
        <f t="shared" ref="D46:J46" si="32">D13*(1+$C$41)</f>
        <v>11000</v>
      </c>
      <c r="E46" s="31">
        <f t="shared" si="32"/>
        <v>12375.000000000002</v>
      </c>
      <c r="F46" s="31">
        <f t="shared" si="32"/>
        <v>13585.000000000004</v>
      </c>
      <c r="G46" s="31">
        <f t="shared" si="32"/>
        <v>15218.500000000005</v>
      </c>
      <c r="H46" s="31">
        <f t="shared" si="32"/>
        <v>17913.775000000005</v>
      </c>
      <c r="I46" s="31">
        <f t="shared" si="32"/>
        <v>21013.341250000009</v>
      </c>
      <c r="J46" s="31">
        <f t="shared" si="32"/>
        <v>24577.842437500007</v>
      </c>
    </row>
    <row r="47" spans="2:10" outlineLevel="1" x14ac:dyDescent="0.25">
      <c r="B47" t="s">
        <v>5</v>
      </c>
      <c r="D47" s="19">
        <f t="shared" ref="D47:J47" si="33">D14*(1+$C$41)</f>
        <v>880.00000000000011</v>
      </c>
      <c r="E47" s="19">
        <f t="shared" si="33"/>
        <v>990.00000000000011</v>
      </c>
      <c r="F47" s="9">
        <f t="shared" si="33"/>
        <v>1361.2500000000005</v>
      </c>
      <c r="G47" s="9">
        <f t="shared" si="33"/>
        <v>1497.3750000000007</v>
      </c>
      <c r="H47" s="9">
        <f t="shared" si="33"/>
        <v>1721.9812500000007</v>
      </c>
      <c r="I47" s="9">
        <f t="shared" si="33"/>
        <v>1980.2784375000006</v>
      </c>
      <c r="J47" s="9">
        <f t="shared" si="33"/>
        <v>2277.3202031250007</v>
      </c>
    </row>
    <row r="48" spans="2:10" outlineLevel="1" x14ac:dyDescent="0.25">
      <c r="B48" t="s">
        <v>6</v>
      </c>
      <c r="D48" s="19">
        <f t="shared" ref="D48:J48" si="34">D15*(1+$C$41)</f>
        <v>220.00000000000003</v>
      </c>
      <c r="E48" s="19">
        <f t="shared" si="34"/>
        <v>247.50000000000003</v>
      </c>
      <c r="F48" s="9">
        <f t="shared" si="34"/>
        <v>275</v>
      </c>
      <c r="G48" s="9">
        <f t="shared" si="34"/>
        <v>275</v>
      </c>
      <c r="H48" s="9">
        <f t="shared" si="34"/>
        <v>275</v>
      </c>
      <c r="I48" s="9">
        <f t="shared" si="34"/>
        <v>275</v>
      </c>
      <c r="J48" s="9">
        <f t="shared" si="34"/>
        <v>275</v>
      </c>
    </row>
    <row r="49" spans="2:10" outlineLevel="1" x14ac:dyDescent="0.25">
      <c r="B49" s="24" t="s">
        <v>7</v>
      </c>
      <c r="C49" s="24"/>
      <c r="D49" s="31">
        <f t="shared" ref="D49:J49" si="35">D16*(1+$C$41)</f>
        <v>9900</v>
      </c>
      <c r="E49" s="31">
        <f t="shared" si="35"/>
        <v>11137.5</v>
      </c>
      <c r="F49" s="31">
        <f t="shared" si="35"/>
        <v>11948.750000000004</v>
      </c>
      <c r="G49" s="31">
        <f t="shared" si="35"/>
        <v>13446.125000000005</v>
      </c>
      <c r="H49" s="31">
        <f t="shared" si="35"/>
        <v>15916.793750000006</v>
      </c>
      <c r="I49" s="31">
        <f t="shared" si="35"/>
        <v>18758.062812500008</v>
      </c>
      <c r="J49" s="31">
        <f t="shared" si="35"/>
        <v>22025.522234375003</v>
      </c>
    </row>
    <row r="50" spans="2:10" outlineLevel="1" x14ac:dyDescent="0.25">
      <c r="B50" t="s">
        <v>8</v>
      </c>
      <c r="D50" s="19">
        <f t="shared" ref="D50:J50" si="36">D17*(1+$C$41)</f>
        <v>2970.0000000000005</v>
      </c>
      <c r="E50" s="19">
        <f t="shared" si="36"/>
        <v>3341.8</v>
      </c>
      <c r="F50" s="9">
        <f t="shared" si="36"/>
        <v>3584.6250000000009</v>
      </c>
      <c r="G50" s="9">
        <f t="shared" si="36"/>
        <v>4033.8375000000015</v>
      </c>
      <c r="H50" s="9">
        <f t="shared" si="36"/>
        <v>4775.0381250000019</v>
      </c>
      <c r="I50" s="9">
        <f t="shared" si="36"/>
        <v>5627.4188437500025</v>
      </c>
      <c r="J50" s="9">
        <f t="shared" si="36"/>
        <v>6607.6566703125018</v>
      </c>
    </row>
    <row r="51" spans="2:10" ht="15.75" outlineLevel="1" thickBot="1" x14ac:dyDescent="0.3">
      <c r="B51" s="25" t="s">
        <v>9</v>
      </c>
      <c r="C51" s="25"/>
      <c r="D51" s="26">
        <f t="shared" ref="D51:J51" si="37">D18*(1+$C$41)</f>
        <v>6930.0000000000009</v>
      </c>
      <c r="E51" s="26">
        <f t="shared" si="37"/>
        <v>7795.7000000000007</v>
      </c>
      <c r="F51" s="26">
        <f t="shared" si="37"/>
        <v>8364.1250000000018</v>
      </c>
      <c r="G51" s="26">
        <f t="shared" si="37"/>
        <v>9412.287500000004</v>
      </c>
      <c r="H51" s="26">
        <f t="shared" si="37"/>
        <v>11141.755625000002</v>
      </c>
      <c r="I51" s="26">
        <f t="shared" si="37"/>
        <v>13130.643968750004</v>
      </c>
      <c r="J51" s="26">
        <f t="shared" si="37"/>
        <v>15417.865564062504</v>
      </c>
    </row>
    <row r="52" spans="2:10" ht="15.75" thickTop="1" x14ac:dyDescent="0.25"/>
  </sheetData>
  <conditionalFormatting sqref="D29:J38">
    <cfRule type="cellIs" dxfId="3" priority="2" operator="lessThan">
      <formula>0.1</formula>
    </cfRule>
  </conditionalFormatting>
  <conditionalFormatting sqref="D46:J46">
    <cfRule type="cellIs" dxfId="2" priority="1" operator="greaterThan">
      <formula>15000</formula>
    </cfRule>
  </conditionalFormatting>
  <pageMargins left="0.7" right="0.7" top="0.75" bottom="0.75" header="0.3" footer="0.3"/>
  <pageSetup orientation="portrait" r:id="rId1"/>
  <ignoredErrors>
    <ignoredError sqref="F12 G12:J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953-CF83-475B-A16D-E352DB2968F5}">
  <dimension ref="A5:J85"/>
  <sheetViews>
    <sheetView showGridLines="0" workbookViewId="0">
      <pane ySplit="6" topLeftCell="A7" activePane="bottomLeft" state="frozen"/>
      <selection pane="bottomLeft" activeCell="C91" sqref="C91"/>
    </sheetView>
  </sheetViews>
  <sheetFormatPr defaultRowHeight="15" outlineLevelRow="1" x14ac:dyDescent="0.25"/>
  <cols>
    <col min="1" max="1" width="1.85546875" customWidth="1"/>
    <col min="2" max="2" width="24.7109375" customWidth="1"/>
    <col min="3" max="10" width="10.7109375" customWidth="1"/>
  </cols>
  <sheetData>
    <row r="5" spans="2:10" x14ac:dyDescent="0.25">
      <c r="B5" t="s">
        <v>16</v>
      </c>
    </row>
    <row r="6" spans="2:10" x14ac:dyDescent="0.25">
      <c r="B6" s="1" t="s">
        <v>0</v>
      </c>
      <c r="C6" s="1"/>
      <c r="D6" s="2">
        <v>2020</v>
      </c>
      <c r="E6" s="2">
        <f>D6+1</f>
        <v>2021</v>
      </c>
      <c r="F6" s="3">
        <f t="shared" ref="F6:J6" si="0">E6+1</f>
        <v>2022</v>
      </c>
      <c r="G6" s="3">
        <f t="shared" si="0"/>
        <v>2023</v>
      </c>
      <c r="H6" s="3">
        <f t="shared" si="0"/>
        <v>2024</v>
      </c>
      <c r="I6" s="3">
        <f t="shared" si="0"/>
        <v>2025</v>
      </c>
      <c r="J6" s="3">
        <f t="shared" si="0"/>
        <v>2026</v>
      </c>
    </row>
    <row r="7" spans="2:10" s="8" customFormat="1" x14ac:dyDescent="0.25">
      <c r="B7" s="5"/>
      <c r="C7" s="5"/>
      <c r="D7" s="6"/>
      <c r="E7" s="6"/>
      <c r="F7" s="7"/>
      <c r="G7" s="7"/>
      <c r="H7" s="7"/>
      <c r="I7" s="7"/>
      <c r="J7" s="7"/>
    </row>
    <row r="8" spans="2:10" x14ac:dyDescent="0.25">
      <c r="B8" s="20" t="str">
        <f>"Income Statement"&amp;" / "&amp;B5</f>
        <v>Income Statement / Tata Steels</v>
      </c>
      <c r="C8" s="21"/>
      <c r="D8" s="21"/>
      <c r="E8" s="21"/>
      <c r="F8" s="21"/>
      <c r="G8" s="21"/>
      <c r="H8" s="21"/>
      <c r="I8" s="21"/>
      <c r="J8" s="21"/>
    </row>
    <row r="9" spans="2:10" outlineLevel="1" x14ac:dyDescent="0.25">
      <c r="B9" s="4" t="s">
        <v>1</v>
      </c>
      <c r="C9" s="4"/>
      <c r="D9" s="22">
        <v>20000</v>
      </c>
      <c r="E9" s="22">
        <v>22500</v>
      </c>
      <c r="F9" s="23">
        <f>E9*(1+F21)</f>
        <v>24750.000000000004</v>
      </c>
      <c r="G9" s="23">
        <f t="shared" ref="G9:J9" si="1">F9*(1+G21)</f>
        <v>27225.000000000007</v>
      </c>
      <c r="H9" s="23">
        <f t="shared" si="1"/>
        <v>31308.750000000007</v>
      </c>
      <c r="I9" s="23">
        <f t="shared" si="1"/>
        <v>36005.062500000007</v>
      </c>
      <c r="J9" s="23">
        <f t="shared" si="1"/>
        <v>41405.821875000009</v>
      </c>
    </row>
    <row r="10" spans="2:10" outlineLevel="1" x14ac:dyDescent="0.25">
      <c r="B10" t="s">
        <v>2</v>
      </c>
      <c r="D10" s="10">
        <v>8000</v>
      </c>
      <c r="E10" s="10">
        <v>9000</v>
      </c>
      <c r="F10" s="19">
        <f>F9*F22</f>
        <v>9900.0000000000018</v>
      </c>
      <c r="G10" s="19">
        <f t="shared" ref="G10:J10" si="2">G9*G22</f>
        <v>10890.000000000004</v>
      </c>
      <c r="H10" s="19">
        <f t="shared" si="2"/>
        <v>12523.500000000004</v>
      </c>
      <c r="I10" s="19">
        <f t="shared" si="2"/>
        <v>14402.025000000003</v>
      </c>
      <c r="J10" s="19">
        <f t="shared" si="2"/>
        <v>16562.328750000004</v>
      </c>
    </row>
    <row r="11" spans="2:10" outlineLevel="1" x14ac:dyDescent="0.25">
      <c r="B11" s="24" t="s">
        <v>3</v>
      </c>
      <c r="C11" s="24"/>
      <c r="D11" s="31">
        <f>D9-D10</f>
        <v>12000</v>
      </c>
      <c r="E11" s="31">
        <f t="shared" ref="E11:J11" si="3">E9-E10</f>
        <v>13500</v>
      </c>
      <c r="F11" s="31">
        <f t="shared" si="3"/>
        <v>14850.000000000002</v>
      </c>
      <c r="G11" s="31">
        <f t="shared" si="3"/>
        <v>16335.000000000004</v>
      </c>
      <c r="H11" s="31">
        <f t="shared" si="3"/>
        <v>18785.250000000004</v>
      </c>
      <c r="I11" s="31">
        <f t="shared" si="3"/>
        <v>21603.037500000006</v>
      </c>
      <c r="J11" s="31">
        <f t="shared" si="3"/>
        <v>24843.493125000005</v>
      </c>
    </row>
    <row r="12" spans="2:10" outlineLevel="1" x14ac:dyDescent="0.25">
      <c r="B12" t="s">
        <v>15</v>
      </c>
      <c r="D12" s="10">
        <v>2000</v>
      </c>
      <c r="E12" s="10">
        <v>2250</v>
      </c>
      <c r="F12" s="9">
        <f>F23</f>
        <v>2500</v>
      </c>
      <c r="G12" s="9">
        <f t="shared" ref="G12:J12" si="4">G23</f>
        <v>2500</v>
      </c>
      <c r="H12" s="9">
        <f t="shared" si="4"/>
        <v>2500</v>
      </c>
      <c r="I12" s="9">
        <f t="shared" si="4"/>
        <v>2500</v>
      </c>
      <c r="J12" s="9">
        <f t="shared" si="4"/>
        <v>2500</v>
      </c>
    </row>
    <row r="13" spans="2:10" outlineLevel="1" x14ac:dyDescent="0.25">
      <c r="B13" s="24" t="s">
        <v>4</v>
      </c>
      <c r="C13" s="24"/>
      <c r="D13" s="31">
        <f>D11-D12</f>
        <v>10000</v>
      </c>
      <c r="E13" s="31">
        <f t="shared" ref="E13:J13" si="5">E11-E12</f>
        <v>11250</v>
      </c>
      <c r="F13" s="31">
        <f t="shared" si="5"/>
        <v>12350.000000000002</v>
      </c>
      <c r="G13" s="31">
        <f t="shared" si="5"/>
        <v>13835.000000000004</v>
      </c>
      <c r="H13" s="31">
        <f t="shared" si="5"/>
        <v>16285.250000000004</v>
      </c>
      <c r="I13" s="31">
        <f t="shared" si="5"/>
        <v>19103.037500000006</v>
      </c>
      <c r="J13" s="31">
        <f t="shared" si="5"/>
        <v>22343.493125000005</v>
      </c>
    </row>
    <row r="14" spans="2:10" outlineLevel="1" x14ac:dyDescent="0.25">
      <c r="B14" t="s">
        <v>5</v>
      </c>
      <c r="D14" s="10">
        <v>800</v>
      </c>
      <c r="E14" s="10">
        <v>900</v>
      </c>
      <c r="F14" s="9">
        <f>F9*F24</f>
        <v>1237.5000000000002</v>
      </c>
      <c r="G14" s="9">
        <f t="shared" ref="G14:J14" si="6">G9*G24</f>
        <v>1361.2500000000005</v>
      </c>
      <c r="H14" s="9">
        <f t="shared" si="6"/>
        <v>1565.4375000000005</v>
      </c>
      <c r="I14" s="9">
        <f t="shared" si="6"/>
        <v>1800.2531250000004</v>
      </c>
      <c r="J14" s="9">
        <f t="shared" si="6"/>
        <v>2070.2910937500005</v>
      </c>
    </row>
    <row r="15" spans="2:10" outlineLevel="1" x14ac:dyDescent="0.25">
      <c r="B15" t="s">
        <v>6</v>
      </c>
      <c r="D15" s="10">
        <v>200</v>
      </c>
      <c r="E15" s="10">
        <v>225</v>
      </c>
      <c r="F15" s="9">
        <f>F25</f>
        <v>250</v>
      </c>
      <c r="G15" s="9">
        <f t="shared" ref="G15:J15" si="7">G25</f>
        <v>250</v>
      </c>
      <c r="H15" s="9">
        <f t="shared" si="7"/>
        <v>250</v>
      </c>
      <c r="I15" s="9">
        <f t="shared" si="7"/>
        <v>250</v>
      </c>
      <c r="J15" s="9">
        <f t="shared" si="7"/>
        <v>250</v>
      </c>
    </row>
    <row r="16" spans="2:10" outlineLevel="1" x14ac:dyDescent="0.25">
      <c r="B16" s="24" t="s">
        <v>7</v>
      </c>
      <c r="C16" s="24"/>
      <c r="D16" s="31">
        <f>D13-SUM(D14+D15)</f>
        <v>9000</v>
      </c>
      <c r="E16" s="31">
        <f t="shared" ref="E16:J16" si="8">E13-SUM(E14+E15)</f>
        <v>10125</v>
      </c>
      <c r="F16" s="31">
        <f t="shared" si="8"/>
        <v>10862.500000000002</v>
      </c>
      <c r="G16" s="31">
        <f t="shared" si="8"/>
        <v>12223.750000000004</v>
      </c>
      <c r="H16" s="31">
        <f t="shared" si="8"/>
        <v>14469.812500000004</v>
      </c>
      <c r="I16" s="31">
        <f t="shared" si="8"/>
        <v>17052.784375000007</v>
      </c>
      <c r="J16" s="31">
        <f t="shared" si="8"/>
        <v>20023.202031250003</v>
      </c>
    </row>
    <row r="17" spans="1:10" outlineLevel="1" x14ac:dyDescent="0.25">
      <c r="B17" t="s">
        <v>8</v>
      </c>
      <c r="D17" s="10">
        <v>2700</v>
      </c>
      <c r="E17" s="10">
        <v>3038</v>
      </c>
      <c r="F17" s="9">
        <f>F16*F26</f>
        <v>3258.7500000000005</v>
      </c>
      <c r="G17" s="9">
        <f t="shared" ref="G17:J17" si="9">G16*G26</f>
        <v>3667.1250000000009</v>
      </c>
      <c r="H17" s="9">
        <f t="shared" si="9"/>
        <v>4340.9437500000013</v>
      </c>
      <c r="I17" s="9">
        <f t="shared" si="9"/>
        <v>5115.8353125000021</v>
      </c>
      <c r="J17" s="9">
        <f t="shared" si="9"/>
        <v>6006.9606093750008</v>
      </c>
    </row>
    <row r="18" spans="1:10" ht="15.75" outlineLevel="1" thickBot="1" x14ac:dyDescent="0.3">
      <c r="B18" s="25" t="s">
        <v>9</v>
      </c>
      <c r="C18" s="25"/>
      <c r="D18" s="26">
        <f>D16-D17</f>
        <v>6300</v>
      </c>
      <c r="E18" s="26">
        <f t="shared" ref="E18:J18" si="10">E16-E17</f>
        <v>7087</v>
      </c>
      <c r="F18" s="26">
        <f t="shared" si="10"/>
        <v>7603.7500000000018</v>
      </c>
      <c r="G18" s="26">
        <f t="shared" si="10"/>
        <v>8556.6250000000036</v>
      </c>
      <c r="H18" s="26">
        <f t="shared" si="10"/>
        <v>10128.868750000001</v>
      </c>
      <c r="I18" s="26">
        <f t="shared" si="10"/>
        <v>11936.949062500003</v>
      </c>
      <c r="J18" s="26">
        <f t="shared" si="10"/>
        <v>14016.241421875002</v>
      </c>
    </row>
    <row r="19" spans="1:10" ht="15.75" thickTop="1" x14ac:dyDescent="0.25"/>
    <row r="20" spans="1:10" x14ac:dyDescent="0.25">
      <c r="B20" s="20" t="str">
        <f xml:space="preserve"> "Assumptions Drivers"&amp;" / "&amp;B5</f>
        <v>Assumptions Drivers / Tata Steels</v>
      </c>
      <c r="C20" s="21"/>
      <c r="D20" s="21"/>
      <c r="E20" s="21"/>
      <c r="F20" s="21"/>
      <c r="G20" s="21"/>
      <c r="H20" s="21"/>
      <c r="I20" s="21"/>
      <c r="J20" s="21"/>
    </row>
    <row r="21" spans="1:10" outlineLevel="1" x14ac:dyDescent="0.25">
      <c r="B21" t="s">
        <v>10</v>
      </c>
      <c r="D21" s="11" t="s">
        <v>14</v>
      </c>
      <c r="E21" s="12">
        <f>E9/D9/1</f>
        <v>1.125</v>
      </c>
      <c r="F21" s="14">
        <v>0.1</v>
      </c>
      <c r="G21" s="16">
        <f>F21</f>
        <v>0.1</v>
      </c>
      <c r="H21" s="16">
        <v>0.15</v>
      </c>
      <c r="I21" s="16">
        <f t="shared" ref="I21:J21" si="11">H21</f>
        <v>0.15</v>
      </c>
      <c r="J21" s="16">
        <f t="shared" si="11"/>
        <v>0.15</v>
      </c>
    </row>
    <row r="22" spans="1:10" outlineLevel="1" x14ac:dyDescent="0.25">
      <c r="B22" t="s">
        <v>11</v>
      </c>
      <c r="D22" s="12">
        <f>D10/D9</f>
        <v>0.4</v>
      </c>
      <c r="E22" s="12">
        <f>E10/E9</f>
        <v>0.4</v>
      </c>
      <c r="F22" s="14">
        <v>0.4</v>
      </c>
      <c r="G22" s="17">
        <f t="shared" ref="G22:J26" si="12">F22</f>
        <v>0.4</v>
      </c>
      <c r="H22" s="17">
        <f t="shared" si="12"/>
        <v>0.4</v>
      </c>
      <c r="I22" s="17">
        <f t="shared" si="12"/>
        <v>0.4</v>
      </c>
      <c r="J22" s="17">
        <f t="shared" si="12"/>
        <v>0.4</v>
      </c>
    </row>
    <row r="23" spans="1:10" outlineLevel="1" x14ac:dyDescent="0.25">
      <c r="B23" t="s">
        <v>12</v>
      </c>
      <c r="D23" s="13">
        <f>D12</f>
        <v>2000</v>
      </c>
      <c r="E23" s="13">
        <f>E12</f>
        <v>2250</v>
      </c>
      <c r="F23" s="15">
        <v>2500</v>
      </c>
      <c r="G23" s="18">
        <f t="shared" si="12"/>
        <v>2500</v>
      </c>
      <c r="H23" s="18">
        <f t="shared" si="12"/>
        <v>2500</v>
      </c>
      <c r="I23" s="18">
        <f t="shared" si="12"/>
        <v>2500</v>
      </c>
      <c r="J23" s="18">
        <f t="shared" si="12"/>
        <v>2500</v>
      </c>
    </row>
    <row r="24" spans="1:10" outlineLevel="1" x14ac:dyDescent="0.25">
      <c r="B24" t="s">
        <v>13</v>
      </c>
      <c r="D24" s="12">
        <f>D14/D9</f>
        <v>0.04</v>
      </c>
      <c r="E24" s="12">
        <f>E14/E9</f>
        <v>0.04</v>
      </c>
      <c r="F24" s="14">
        <v>0.05</v>
      </c>
      <c r="G24" s="17">
        <f t="shared" si="12"/>
        <v>0.05</v>
      </c>
      <c r="H24" s="17">
        <f t="shared" si="12"/>
        <v>0.05</v>
      </c>
      <c r="I24" s="17">
        <f t="shared" si="12"/>
        <v>0.05</v>
      </c>
      <c r="J24" s="17">
        <f t="shared" si="12"/>
        <v>0.05</v>
      </c>
    </row>
    <row r="25" spans="1:10" outlineLevel="1" x14ac:dyDescent="0.25">
      <c r="B25" t="s">
        <v>6</v>
      </c>
      <c r="D25" s="13">
        <f>D15</f>
        <v>200</v>
      </c>
      <c r="E25" s="13">
        <f>E15</f>
        <v>225</v>
      </c>
      <c r="F25" s="15">
        <v>250</v>
      </c>
      <c r="G25" s="18">
        <f t="shared" si="12"/>
        <v>250</v>
      </c>
      <c r="H25" s="18">
        <f t="shared" si="12"/>
        <v>250</v>
      </c>
      <c r="I25" s="18">
        <f t="shared" si="12"/>
        <v>250</v>
      </c>
      <c r="J25" s="18">
        <f t="shared" si="12"/>
        <v>250</v>
      </c>
    </row>
    <row r="26" spans="1:10" outlineLevel="1" x14ac:dyDescent="0.25">
      <c r="B26" t="s">
        <v>8</v>
      </c>
      <c r="D26" s="14">
        <v>0.3</v>
      </c>
      <c r="E26" s="14">
        <v>0.3</v>
      </c>
      <c r="F26" s="14">
        <v>0.3</v>
      </c>
      <c r="G26" s="17">
        <f t="shared" si="12"/>
        <v>0.3</v>
      </c>
      <c r="H26" s="17">
        <f t="shared" si="12"/>
        <v>0.3</v>
      </c>
      <c r="I26" s="17">
        <f t="shared" si="12"/>
        <v>0.3</v>
      </c>
      <c r="J26" s="17">
        <f t="shared" si="12"/>
        <v>0.3</v>
      </c>
    </row>
    <row r="27" spans="1:10" x14ac:dyDescent="0.25">
      <c r="D27" s="14"/>
      <c r="E27" s="14"/>
      <c r="F27" s="14"/>
      <c r="G27" s="17"/>
      <c r="H27" s="17"/>
      <c r="I27" s="17"/>
      <c r="J27" s="17"/>
    </row>
    <row r="28" spans="1:10" x14ac:dyDescent="0.25">
      <c r="B28" s="4" t="s">
        <v>17</v>
      </c>
      <c r="C28" s="34">
        <v>44788</v>
      </c>
      <c r="D28" s="32">
        <v>0</v>
      </c>
      <c r="E28" s="32">
        <v>1</v>
      </c>
      <c r="F28" s="32">
        <v>2</v>
      </c>
      <c r="G28" s="32">
        <v>3</v>
      </c>
      <c r="H28" s="32">
        <v>4</v>
      </c>
      <c r="I28" s="32">
        <v>5</v>
      </c>
      <c r="J28" s="32">
        <v>6</v>
      </c>
    </row>
    <row r="29" spans="1:10" x14ac:dyDescent="0.25">
      <c r="B29" t="s">
        <v>18</v>
      </c>
      <c r="D29" s="35">
        <f>EOMONTH($C$28, D28)</f>
        <v>44804</v>
      </c>
      <c r="E29" s="35">
        <f t="shared" ref="E29:J29" si="13">EOMONTH($C$28, E28)</f>
        <v>44834</v>
      </c>
      <c r="F29" s="35">
        <f t="shared" si="13"/>
        <v>44865</v>
      </c>
      <c r="G29" s="35">
        <f t="shared" si="13"/>
        <v>44895</v>
      </c>
      <c r="H29" s="35">
        <f t="shared" si="13"/>
        <v>44926</v>
      </c>
      <c r="I29" s="35">
        <f t="shared" si="13"/>
        <v>44957</v>
      </c>
      <c r="J29" s="35">
        <f t="shared" si="13"/>
        <v>44985</v>
      </c>
    </row>
    <row r="30" spans="1:10" x14ac:dyDescent="0.25">
      <c r="A30" s="35"/>
      <c r="B30" t="s">
        <v>19</v>
      </c>
      <c r="C30" s="36">
        <f>C28+365</f>
        <v>45153</v>
      </c>
      <c r="D30" s="35">
        <f>DATE(YEAR($C$28)+D28,12,31)</f>
        <v>44926</v>
      </c>
      <c r="E30" s="35">
        <f t="shared" ref="E30:J30" si="14">DATE(YEAR($C$28)+E28,12,31)</f>
        <v>45291</v>
      </c>
      <c r="F30" s="35">
        <f t="shared" si="14"/>
        <v>45657</v>
      </c>
      <c r="G30" s="35">
        <f t="shared" si="14"/>
        <v>46022</v>
      </c>
      <c r="H30" s="35">
        <f t="shared" si="14"/>
        <v>46387</v>
      </c>
      <c r="I30" s="35">
        <f t="shared" si="14"/>
        <v>46752</v>
      </c>
      <c r="J30" s="35">
        <f t="shared" si="14"/>
        <v>47118</v>
      </c>
    </row>
    <row r="31" spans="1:10" x14ac:dyDescent="0.25">
      <c r="D31" s="14"/>
      <c r="E31" s="14"/>
      <c r="F31" s="14"/>
      <c r="G31" s="17"/>
      <c r="H31" s="17"/>
      <c r="I31" s="17"/>
      <c r="J31" s="17"/>
    </row>
    <row r="32" spans="1:10" x14ac:dyDescent="0.25">
      <c r="B32" t="s">
        <v>20</v>
      </c>
      <c r="D32" s="38">
        <f>YEARFRAC($C$28,D29)</f>
        <v>4.4444444444444446E-2</v>
      </c>
      <c r="E32" s="38">
        <f t="shared" ref="E32:J32" si="15">YEARFRAC($C$28,E29)</f>
        <v>0.125</v>
      </c>
      <c r="F32" s="38">
        <f t="shared" si="15"/>
        <v>0.21111111111111111</v>
      </c>
      <c r="G32" s="38">
        <f t="shared" si="15"/>
        <v>0.29166666666666669</v>
      </c>
      <c r="H32" s="38">
        <f t="shared" si="15"/>
        <v>0.37777777777777777</v>
      </c>
      <c r="I32" s="38">
        <f t="shared" si="15"/>
        <v>0.46111111111111114</v>
      </c>
      <c r="J32" s="38">
        <f t="shared" si="15"/>
        <v>0.53611111111111109</v>
      </c>
    </row>
    <row r="33" spans="2:10" x14ac:dyDescent="0.25">
      <c r="B33" t="s">
        <v>21</v>
      </c>
      <c r="D33" s="38">
        <f>YEARFRAC($C$28,D30)</f>
        <v>0.37777777777777777</v>
      </c>
      <c r="E33" s="38">
        <f t="shared" ref="E33:J33" si="16">YEARFRAC($C$28,E30)</f>
        <v>1.3777777777777778</v>
      </c>
      <c r="F33" s="38">
        <f t="shared" si="16"/>
        <v>2.3777777777777778</v>
      </c>
      <c r="G33" s="38">
        <f t="shared" si="16"/>
        <v>3.3777777777777778</v>
      </c>
      <c r="H33" s="38">
        <f t="shared" si="16"/>
        <v>4.3777777777777782</v>
      </c>
      <c r="I33" s="38">
        <f t="shared" si="16"/>
        <v>5.3777777777777782</v>
      </c>
      <c r="J33" s="38">
        <f t="shared" si="16"/>
        <v>6.3777777777777782</v>
      </c>
    </row>
    <row r="34" spans="2:10" x14ac:dyDescent="0.25">
      <c r="B34" t="s">
        <v>31</v>
      </c>
      <c r="D34" s="38" t="str">
        <f>IF(D33&lt;1, "Stub", "Full Year")</f>
        <v>Stub</v>
      </c>
      <c r="E34" s="38" t="str">
        <f t="shared" ref="E34:J34" si="17">IF(E33&lt;1, "Stub", "Full Year")</f>
        <v>Full Year</v>
      </c>
      <c r="F34" s="38" t="str">
        <f t="shared" si="17"/>
        <v>Full Year</v>
      </c>
      <c r="G34" s="38" t="str">
        <f t="shared" si="17"/>
        <v>Full Year</v>
      </c>
      <c r="H34" s="38" t="str">
        <f t="shared" si="17"/>
        <v>Full Year</v>
      </c>
      <c r="I34" s="38" t="str">
        <f t="shared" si="17"/>
        <v>Full Year</v>
      </c>
      <c r="J34" s="38" t="str">
        <f t="shared" si="17"/>
        <v>Full Year</v>
      </c>
    </row>
    <row r="35" spans="2:10" x14ac:dyDescent="0.25">
      <c r="D35" s="14"/>
      <c r="E35" s="14"/>
      <c r="F35" s="14"/>
      <c r="G35" s="17"/>
      <c r="H35" s="17"/>
      <c r="I35" s="17"/>
      <c r="J35" s="17"/>
    </row>
    <row r="36" spans="2:10" x14ac:dyDescent="0.25">
      <c r="B36" s="4" t="s">
        <v>22</v>
      </c>
      <c r="D36" s="14"/>
      <c r="E36" s="14"/>
      <c r="F36" s="14"/>
      <c r="G36" s="17"/>
      <c r="H36" s="17"/>
      <c r="I36" s="17"/>
      <c r="J36" s="17"/>
    </row>
    <row r="37" spans="2:10" x14ac:dyDescent="0.25">
      <c r="B37" t="s">
        <v>2</v>
      </c>
      <c r="C37" s="33">
        <v>0.1</v>
      </c>
      <c r="D37" s="39">
        <f>D10</f>
        <v>8000</v>
      </c>
      <c r="E37" s="39">
        <f t="shared" ref="E37:J37" si="18">E10</f>
        <v>9000</v>
      </c>
      <c r="F37" s="39">
        <f t="shared" si="18"/>
        <v>9900.0000000000018</v>
      </c>
      <c r="G37" s="39">
        <f t="shared" si="18"/>
        <v>10890.000000000004</v>
      </c>
      <c r="H37" s="39">
        <f t="shared" si="18"/>
        <v>12523.500000000004</v>
      </c>
      <c r="I37" s="39">
        <f t="shared" si="18"/>
        <v>14402.025000000003</v>
      </c>
      <c r="J37" s="39">
        <f t="shared" si="18"/>
        <v>16562.328750000004</v>
      </c>
    </row>
    <row r="38" spans="2:10" x14ac:dyDescent="0.25">
      <c r="B38" t="s">
        <v>15</v>
      </c>
      <c r="C38" s="33">
        <v>0.2</v>
      </c>
      <c r="D38" s="39">
        <f>D12</f>
        <v>2000</v>
      </c>
      <c r="E38" s="39">
        <f t="shared" ref="E38:J38" si="19">E12</f>
        <v>2250</v>
      </c>
      <c r="F38" s="39">
        <f t="shared" si="19"/>
        <v>2500</v>
      </c>
      <c r="G38" s="39">
        <f t="shared" si="19"/>
        <v>2500</v>
      </c>
      <c r="H38" s="39">
        <f t="shared" si="19"/>
        <v>2500</v>
      </c>
      <c r="I38" s="39">
        <f t="shared" si="19"/>
        <v>2500</v>
      </c>
      <c r="J38" s="39">
        <f t="shared" si="19"/>
        <v>2500</v>
      </c>
    </row>
    <row r="39" spans="2:10" x14ac:dyDescent="0.25">
      <c r="B39" t="s">
        <v>5</v>
      </c>
      <c r="C39" s="33">
        <v>0.2</v>
      </c>
      <c r="D39" s="39">
        <f>D14</f>
        <v>800</v>
      </c>
      <c r="E39" s="39">
        <f t="shared" ref="E39:J39" si="20">E14</f>
        <v>900</v>
      </c>
      <c r="F39" s="39">
        <f t="shared" si="20"/>
        <v>1237.5000000000002</v>
      </c>
      <c r="G39" s="39">
        <f t="shared" si="20"/>
        <v>1361.2500000000005</v>
      </c>
      <c r="H39" s="39">
        <f t="shared" si="20"/>
        <v>1565.4375000000005</v>
      </c>
      <c r="I39" s="39">
        <f t="shared" si="20"/>
        <v>1800.2531250000004</v>
      </c>
      <c r="J39" s="39">
        <f t="shared" si="20"/>
        <v>2070.2910937500005</v>
      </c>
    </row>
    <row r="40" spans="2:10" x14ac:dyDescent="0.25">
      <c r="B40" t="s">
        <v>6</v>
      </c>
      <c r="C40" s="33">
        <v>0.3</v>
      </c>
      <c r="D40" s="39">
        <f>D15</f>
        <v>200</v>
      </c>
      <c r="E40" s="39">
        <f t="shared" ref="E40:J40" si="21">E15</f>
        <v>225</v>
      </c>
      <c r="F40" s="39">
        <f t="shared" si="21"/>
        <v>250</v>
      </c>
      <c r="G40" s="39">
        <f t="shared" si="21"/>
        <v>250</v>
      </c>
      <c r="H40" s="39">
        <f t="shared" si="21"/>
        <v>250</v>
      </c>
      <c r="I40" s="39">
        <f t="shared" si="21"/>
        <v>250</v>
      </c>
      <c r="J40" s="39">
        <f t="shared" si="21"/>
        <v>250</v>
      </c>
    </row>
    <row r="41" spans="2:10" x14ac:dyDescent="0.25">
      <c r="B41" t="s">
        <v>8</v>
      </c>
      <c r="C41" s="33">
        <v>0.2</v>
      </c>
      <c r="D41" s="39">
        <f>D17</f>
        <v>2700</v>
      </c>
      <c r="E41" s="39">
        <f t="shared" ref="E41:J41" si="22">E17</f>
        <v>3038</v>
      </c>
      <c r="F41" s="39">
        <f t="shared" si="22"/>
        <v>3258.7500000000005</v>
      </c>
      <c r="G41" s="39">
        <f t="shared" si="22"/>
        <v>3667.1250000000009</v>
      </c>
      <c r="H41" s="39">
        <f t="shared" si="22"/>
        <v>4340.9437500000013</v>
      </c>
      <c r="I41" s="39">
        <f t="shared" si="22"/>
        <v>5115.8353125000021</v>
      </c>
      <c r="J41" s="39">
        <f t="shared" si="22"/>
        <v>6006.9606093750008</v>
      </c>
    </row>
    <row r="42" spans="2:10" x14ac:dyDescent="0.25">
      <c r="B42" s="40" t="s">
        <v>23</v>
      </c>
      <c r="C42" s="41">
        <f>SUM(C37:C41)</f>
        <v>1</v>
      </c>
      <c r="D42" s="41">
        <f>SUM(D37:D41)</f>
        <v>13700</v>
      </c>
      <c r="E42" s="41">
        <f t="shared" ref="E42:J42" si="23">SUM(E37:E41)</f>
        <v>15413</v>
      </c>
      <c r="F42" s="41">
        <f t="shared" si="23"/>
        <v>17146.250000000004</v>
      </c>
      <c r="G42" s="41">
        <f t="shared" si="23"/>
        <v>18668.375000000004</v>
      </c>
      <c r="H42" s="41">
        <f t="shared" si="23"/>
        <v>21179.881250000006</v>
      </c>
      <c r="I42" s="41">
        <f t="shared" si="23"/>
        <v>24068.113437500004</v>
      </c>
      <c r="J42" s="41">
        <f t="shared" si="23"/>
        <v>27389.580453125007</v>
      </c>
    </row>
    <row r="43" spans="2:10" x14ac:dyDescent="0.25">
      <c r="D43" s="14"/>
      <c r="E43" s="14"/>
      <c r="F43" s="14"/>
      <c r="G43" s="17"/>
      <c r="H43" s="17"/>
      <c r="I43" s="17"/>
      <c r="J43" s="17"/>
    </row>
    <row r="44" spans="2:10" x14ac:dyDescent="0.25">
      <c r="B44" s="4" t="s">
        <v>24</v>
      </c>
      <c r="C44" s="43"/>
      <c r="D44" s="39">
        <f>AVERAGE(D37:D41)</f>
        <v>2740</v>
      </c>
      <c r="E44" s="39">
        <f t="shared" ref="E44:J44" si="24">AVERAGE(E37:E41)</f>
        <v>3082.6</v>
      </c>
      <c r="F44" s="39">
        <f t="shared" si="24"/>
        <v>3429.2500000000009</v>
      </c>
      <c r="G44" s="39">
        <f t="shared" si="24"/>
        <v>3733.6750000000006</v>
      </c>
      <c r="H44" s="39">
        <f t="shared" si="24"/>
        <v>4235.9762500000015</v>
      </c>
      <c r="I44" s="39">
        <f t="shared" si="24"/>
        <v>4813.6226875000011</v>
      </c>
      <c r="J44" s="39">
        <f t="shared" si="24"/>
        <v>5477.9160906250017</v>
      </c>
    </row>
    <row r="45" spans="2:10" x14ac:dyDescent="0.25">
      <c r="B45" s="4" t="s">
        <v>25</v>
      </c>
      <c r="C45" s="43"/>
      <c r="D45" s="39">
        <f>SUMPRODUCT($C$37:$C$41,D37:D41)</f>
        <v>1960</v>
      </c>
      <c r="E45" s="39">
        <f t="shared" ref="E45:J45" si="25">SUMPRODUCT($C$37:$C$41,E37:E41)</f>
        <v>2205.1</v>
      </c>
      <c r="F45" s="39">
        <f t="shared" si="25"/>
        <v>2464.2500000000005</v>
      </c>
      <c r="G45" s="39">
        <f t="shared" si="25"/>
        <v>2669.6750000000006</v>
      </c>
      <c r="H45" s="39">
        <f t="shared" si="25"/>
        <v>3008.6262500000007</v>
      </c>
      <c r="I45" s="39">
        <f t="shared" si="25"/>
        <v>3398.4201875000008</v>
      </c>
      <c r="J45" s="39">
        <f t="shared" si="25"/>
        <v>3846.6832156250011</v>
      </c>
    </row>
    <row r="46" spans="2:10" x14ac:dyDescent="0.25">
      <c r="B46" s="4" t="s">
        <v>26</v>
      </c>
      <c r="C46" s="43"/>
      <c r="D46" s="39">
        <f>MEDIAN( D37:D41)</f>
        <v>2000</v>
      </c>
      <c r="E46" s="39">
        <f t="shared" ref="E46:J46" si="26">MEDIAN( E37:E41)</f>
        <v>2250</v>
      </c>
      <c r="F46" s="39">
        <f t="shared" si="26"/>
        <v>2500</v>
      </c>
      <c r="G46" s="39">
        <f t="shared" si="26"/>
        <v>2500</v>
      </c>
      <c r="H46" s="39">
        <f t="shared" si="26"/>
        <v>2500</v>
      </c>
      <c r="I46" s="39">
        <f t="shared" si="26"/>
        <v>2500</v>
      </c>
      <c r="J46" s="39">
        <f t="shared" si="26"/>
        <v>2500</v>
      </c>
    </row>
    <row r="47" spans="2:10" x14ac:dyDescent="0.25">
      <c r="C47" s="43"/>
      <c r="D47" s="44"/>
      <c r="E47" s="44"/>
      <c r="F47" s="44"/>
      <c r="G47" s="45"/>
      <c r="H47" s="45"/>
      <c r="I47" s="45"/>
      <c r="J47" s="45"/>
    </row>
    <row r="48" spans="2:10" x14ac:dyDescent="0.25">
      <c r="B48" s="4" t="s">
        <v>27</v>
      </c>
      <c r="C48" s="43"/>
      <c r="D48" s="39">
        <f>MIN(D37:D41)</f>
        <v>200</v>
      </c>
      <c r="E48" s="39">
        <f t="shared" ref="E48:J48" si="27">MIN(E37:E41)</f>
        <v>225</v>
      </c>
      <c r="F48" s="39">
        <f t="shared" si="27"/>
        <v>250</v>
      </c>
      <c r="G48" s="39">
        <f t="shared" si="27"/>
        <v>250</v>
      </c>
      <c r="H48" s="39">
        <f t="shared" si="27"/>
        <v>250</v>
      </c>
      <c r="I48" s="39">
        <f t="shared" si="27"/>
        <v>250</v>
      </c>
      <c r="J48" s="39">
        <f t="shared" si="27"/>
        <v>250</v>
      </c>
    </row>
    <row r="49" spans="2:10" x14ac:dyDescent="0.25">
      <c r="B49" s="4" t="s">
        <v>28</v>
      </c>
      <c r="C49" s="43"/>
      <c r="D49" s="39">
        <f>MAX(D37:D41)</f>
        <v>8000</v>
      </c>
      <c r="E49" s="39">
        <f t="shared" ref="E49:J49" si="28">MAX(E37:E41)</f>
        <v>9000</v>
      </c>
      <c r="F49" s="39">
        <f t="shared" si="28"/>
        <v>9900.0000000000018</v>
      </c>
      <c r="G49" s="39">
        <f t="shared" si="28"/>
        <v>10890.000000000004</v>
      </c>
      <c r="H49" s="39">
        <f t="shared" si="28"/>
        <v>12523.500000000004</v>
      </c>
      <c r="I49" s="39">
        <f t="shared" si="28"/>
        <v>14402.025000000003</v>
      </c>
      <c r="J49" s="39">
        <f t="shared" si="28"/>
        <v>16562.328750000004</v>
      </c>
    </row>
    <row r="50" spans="2:10" x14ac:dyDescent="0.25">
      <c r="B50" s="4" t="s">
        <v>29</v>
      </c>
      <c r="C50" s="42">
        <v>2</v>
      </c>
      <c r="D50" s="39">
        <f>SMALL(D37:D41,$C$50)</f>
        <v>800</v>
      </c>
      <c r="E50" s="39">
        <f t="shared" ref="E50:J50" si="29">SMALL(E37:E41,$C$50)</f>
        <v>900</v>
      </c>
      <c r="F50" s="39">
        <f t="shared" si="29"/>
        <v>1237.5000000000002</v>
      </c>
      <c r="G50" s="39">
        <f t="shared" si="29"/>
        <v>1361.2500000000005</v>
      </c>
      <c r="H50" s="39">
        <f t="shared" si="29"/>
        <v>1565.4375000000005</v>
      </c>
      <c r="I50" s="39">
        <f t="shared" si="29"/>
        <v>1800.2531250000004</v>
      </c>
      <c r="J50" s="39">
        <f t="shared" si="29"/>
        <v>2070.2910937500005</v>
      </c>
    </row>
    <row r="51" spans="2:10" x14ac:dyDescent="0.25">
      <c r="B51" s="4" t="s">
        <v>30</v>
      </c>
      <c r="C51" s="42">
        <v>3</v>
      </c>
      <c r="D51" s="39">
        <f>LARGE(D37:D41,$C$51)</f>
        <v>2000</v>
      </c>
      <c r="E51" s="39">
        <f t="shared" ref="E51:J51" si="30">LARGE(E37:E41,$C$51)</f>
        <v>2250</v>
      </c>
      <c r="F51" s="39">
        <f t="shared" si="30"/>
        <v>2500</v>
      </c>
      <c r="G51" s="39">
        <f t="shared" si="30"/>
        <v>2500</v>
      </c>
      <c r="H51" s="39">
        <f t="shared" si="30"/>
        <v>2500</v>
      </c>
      <c r="I51" s="39">
        <f t="shared" si="30"/>
        <v>2500</v>
      </c>
      <c r="J51" s="39">
        <f t="shared" si="30"/>
        <v>2500</v>
      </c>
    </row>
    <row r="52" spans="2:10" x14ac:dyDescent="0.25">
      <c r="D52" s="14"/>
      <c r="E52" s="14"/>
      <c r="F52" s="14"/>
      <c r="G52" s="17"/>
      <c r="H52" s="17"/>
      <c r="I52" s="17"/>
      <c r="J52" s="17"/>
    </row>
    <row r="53" spans="2:10" x14ac:dyDescent="0.25">
      <c r="B53" s="4" t="s">
        <v>32</v>
      </c>
      <c r="D53" s="14"/>
      <c r="E53" s="14"/>
      <c r="F53" s="14"/>
      <c r="G53" s="17"/>
      <c r="H53" s="17"/>
      <c r="I53" s="17"/>
      <c r="J53" s="17"/>
    </row>
    <row r="54" spans="2:10" x14ac:dyDescent="0.25">
      <c r="B54" s="4" t="str">
        <f>"if &lt; " &amp;C54</f>
        <v>if &lt; 17500</v>
      </c>
      <c r="C54" s="46">
        <v>17500</v>
      </c>
      <c r="D54" s="39">
        <f>IF(D42&lt;$C$54,D42,0)</f>
        <v>13700</v>
      </c>
      <c r="E54" s="39">
        <f t="shared" ref="E54:J54" si="31">IF(E42&lt;$C$54,E42,0)</f>
        <v>15413</v>
      </c>
      <c r="F54" s="39">
        <f t="shared" si="31"/>
        <v>17146.250000000004</v>
      </c>
      <c r="G54" s="39">
        <f t="shared" si="31"/>
        <v>0</v>
      </c>
      <c r="H54" s="39">
        <f t="shared" si="31"/>
        <v>0</v>
      </c>
      <c r="I54" s="39">
        <f t="shared" si="31"/>
        <v>0</v>
      </c>
      <c r="J54" s="39">
        <f t="shared" si="31"/>
        <v>0</v>
      </c>
    </row>
    <row r="55" spans="2:10" x14ac:dyDescent="0.25">
      <c r="B55" s="4" t="str">
        <f>"if &gt;= " &amp;C55</f>
        <v>if &gt;= 17500</v>
      </c>
      <c r="C55" s="46">
        <v>17500</v>
      </c>
      <c r="D55" s="39">
        <f>IF(D42&gt;=$C$55, D42, 0)</f>
        <v>0</v>
      </c>
      <c r="E55" s="39">
        <f t="shared" ref="E55:J55" si="32">IF(E42&gt;=$C$55, E42, 0)</f>
        <v>0</v>
      </c>
      <c r="F55" s="39">
        <f t="shared" si="32"/>
        <v>0</v>
      </c>
      <c r="G55" s="39">
        <f t="shared" si="32"/>
        <v>18668.375000000004</v>
      </c>
      <c r="H55" s="39">
        <f t="shared" si="32"/>
        <v>21179.881250000006</v>
      </c>
      <c r="I55" s="39">
        <f t="shared" si="32"/>
        <v>24068.113437500004</v>
      </c>
      <c r="J55" s="39">
        <f t="shared" si="32"/>
        <v>27389.580453125007</v>
      </c>
    </row>
    <row r="56" spans="2:10" x14ac:dyDescent="0.25">
      <c r="B56" s="4" t="s">
        <v>23</v>
      </c>
      <c r="D56" s="47">
        <f>SUM(D54:D55)</f>
        <v>13700</v>
      </c>
      <c r="E56" s="47">
        <f t="shared" ref="E56:J56" si="33">SUM(E54:E55)</f>
        <v>15413</v>
      </c>
      <c r="F56" s="47">
        <f t="shared" si="33"/>
        <v>17146.250000000004</v>
      </c>
      <c r="G56" s="47">
        <f t="shared" si="33"/>
        <v>18668.375000000004</v>
      </c>
      <c r="H56" s="47">
        <f t="shared" si="33"/>
        <v>21179.881250000006</v>
      </c>
      <c r="I56" s="47">
        <f t="shared" si="33"/>
        <v>24068.113437500004</v>
      </c>
      <c r="J56" s="47">
        <f t="shared" si="33"/>
        <v>27389.580453125007</v>
      </c>
    </row>
    <row r="57" spans="2:10" x14ac:dyDescent="0.25">
      <c r="D57" s="14"/>
      <c r="E57" s="14"/>
      <c r="F57" s="14"/>
      <c r="G57" s="17"/>
      <c r="H57" s="17"/>
      <c r="I57" s="17"/>
      <c r="J57" s="17"/>
    </row>
    <row r="58" spans="2:10" x14ac:dyDescent="0.25">
      <c r="B58" s="4" t="s">
        <v>33</v>
      </c>
      <c r="D58" s="48" t="str">
        <f t="shared" ref="D58:J58" si="34">IF(D56=D42, "Ok", "Error")</f>
        <v>Ok</v>
      </c>
      <c r="E58" s="48" t="str">
        <f t="shared" si="34"/>
        <v>Ok</v>
      </c>
      <c r="F58" s="48" t="str">
        <f t="shared" si="34"/>
        <v>Ok</v>
      </c>
      <c r="G58" s="48" t="str">
        <f t="shared" si="34"/>
        <v>Ok</v>
      </c>
      <c r="H58" s="48" t="str">
        <f t="shared" si="34"/>
        <v>Ok</v>
      </c>
      <c r="I58" s="48" t="str">
        <f t="shared" si="34"/>
        <v>Ok</v>
      </c>
      <c r="J58" s="48" t="str">
        <f t="shared" si="34"/>
        <v>Ok</v>
      </c>
    </row>
    <row r="59" spans="2:10" x14ac:dyDescent="0.25">
      <c r="D59" s="37" t="b">
        <f>D56=D42</f>
        <v>1</v>
      </c>
      <c r="E59" s="37" t="b">
        <f t="shared" ref="E59:J59" si="35">E56=E42</f>
        <v>1</v>
      </c>
      <c r="F59" s="37" t="b">
        <f t="shared" si="35"/>
        <v>1</v>
      </c>
      <c r="G59" s="37" t="b">
        <f t="shared" si="35"/>
        <v>1</v>
      </c>
      <c r="H59" s="37" t="b">
        <f t="shared" si="35"/>
        <v>1</v>
      </c>
      <c r="I59" s="37" t="b">
        <f t="shared" si="35"/>
        <v>1</v>
      </c>
      <c r="J59" s="37" t="b">
        <f t="shared" si="35"/>
        <v>1</v>
      </c>
    </row>
    <row r="61" spans="2:10" x14ac:dyDescent="0.25">
      <c r="B61" s="20" t="str">
        <f xml:space="preserve"> "Common Size Statement"&amp;" / "&amp;B5</f>
        <v>Common Size Statement / Tata Steels</v>
      </c>
      <c r="C61" s="21"/>
      <c r="D61" s="21"/>
      <c r="E61" s="21"/>
      <c r="F61" s="21"/>
      <c r="G61" s="21"/>
      <c r="H61" s="21"/>
      <c r="I61" s="21"/>
      <c r="J61" s="21"/>
    </row>
    <row r="62" spans="2:10" hidden="1" outlineLevel="1" x14ac:dyDescent="0.25">
      <c r="B62" t="s">
        <v>1</v>
      </c>
      <c r="D62" s="27">
        <f t="shared" ref="D62:J63" si="36">D9/D$9</f>
        <v>1</v>
      </c>
      <c r="E62" s="27">
        <f t="shared" si="36"/>
        <v>1</v>
      </c>
      <c r="F62" s="27">
        <f t="shared" si="36"/>
        <v>1</v>
      </c>
      <c r="G62" s="27">
        <f t="shared" si="36"/>
        <v>1</v>
      </c>
      <c r="H62" s="27">
        <f t="shared" si="36"/>
        <v>1</v>
      </c>
      <c r="I62" s="27">
        <f t="shared" si="36"/>
        <v>1</v>
      </c>
      <c r="J62" s="27">
        <f t="shared" si="36"/>
        <v>1</v>
      </c>
    </row>
    <row r="63" spans="2:10" hidden="1" outlineLevel="1" x14ac:dyDescent="0.25">
      <c r="B63" t="s">
        <v>2</v>
      </c>
      <c r="D63" s="27">
        <f t="shared" si="36"/>
        <v>0.4</v>
      </c>
      <c r="E63" s="27">
        <f t="shared" si="36"/>
        <v>0.4</v>
      </c>
      <c r="F63" s="27">
        <f t="shared" si="36"/>
        <v>0.4</v>
      </c>
      <c r="G63" s="27">
        <f t="shared" si="36"/>
        <v>0.4</v>
      </c>
      <c r="H63" s="27">
        <f t="shared" si="36"/>
        <v>0.4</v>
      </c>
      <c r="I63" s="27">
        <f t="shared" si="36"/>
        <v>0.4</v>
      </c>
      <c r="J63" s="27">
        <f t="shared" si="36"/>
        <v>0.4</v>
      </c>
    </row>
    <row r="64" spans="2:10" hidden="1" outlineLevel="1" x14ac:dyDescent="0.25">
      <c r="B64" t="s">
        <v>3</v>
      </c>
      <c r="D64" s="27">
        <f t="shared" ref="D64:D71" si="37">D11/$D$9</f>
        <v>0.6</v>
      </c>
      <c r="E64" s="27">
        <f t="shared" ref="E64:J71" si="38">E11/E$9</f>
        <v>0.6</v>
      </c>
      <c r="F64" s="27">
        <f t="shared" si="38"/>
        <v>0.6</v>
      </c>
      <c r="G64" s="27">
        <f t="shared" si="38"/>
        <v>0.6</v>
      </c>
      <c r="H64" s="27">
        <f t="shared" si="38"/>
        <v>0.6</v>
      </c>
      <c r="I64" s="27">
        <f t="shared" si="38"/>
        <v>0.60000000000000009</v>
      </c>
      <c r="J64" s="27">
        <f t="shared" si="38"/>
        <v>0.6</v>
      </c>
    </row>
    <row r="65" spans="2:10" hidden="1" outlineLevel="1" x14ac:dyDescent="0.25">
      <c r="B65" t="s">
        <v>15</v>
      </c>
      <c r="D65" s="27">
        <f t="shared" si="37"/>
        <v>0.1</v>
      </c>
      <c r="E65" s="27">
        <f t="shared" si="38"/>
        <v>0.1</v>
      </c>
      <c r="F65" s="27">
        <f t="shared" si="38"/>
        <v>0.10101010101010099</v>
      </c>
      <c r="G65" s="27">
        <f t="shared" si="38"/>
        <v>9.1827364554637261E-2</v>
      </c>
      <c r="H65" s="27">
        <f t="shared" si="38"/>
        <v>7.984988222142371E-2</v>
      </c>
      <c r="I65" s="27">
        <f t="shared" si="38"/>
        <v>6.9434680192542356E-2</v>
      </c>
      <c r="J65" s="27">
        <f t="shared" si="38"/>
        <v>6.0377982776123787E-2</v>
      </c>
    </row>
    <row r="66" spans="2:10" hidden="1" outlineLevel="1" x14ac:dyDescent="0.25">
      <c r="B66" t="s">
        <v>4</v>
      </c>
      <c r="D66" s="27">
        <f t="shared" si="37"/>
        <v>0.5</v>
      </c>
      <c r="E66" s="27">
        <f t="shared" si="38"/>
        <v>0.5</v>
      </c>
      <c r="F66" s="27">
        <f t="shared" si="38"/>
        <v>0.49898989898989898</v>
      </c>
      <c r="G66" s="27">
        <f t="shared" si="38"/>
        <v>0.50817263544536273</v>
      </c>
      <c r="H66" s="27">
        <f t="shared" si="38"/>
        <v>0.52015011777857623</v>
      </c>
      <c r="I66" s="27">
        <f t="shared" si="38"/>
        <v>0.53056531980745769</v>
      </c>
      <c r="J66" s="27">
        <f t="shared" si="38"/>
        <v>0.53962201722387615</v>
      </c>
    </row>
    <row r="67" spans="2:10" hidden="1" outlineLevel="1" x14ac:dyDescent="0.25">
      <c r="B67" t="s">
        <v>5</v>
      </c>
      <c r="D67" s="27">
        <f t="shared" si="37"/>
        <v>0.04</v>
      </c>
      <c r="E67" s="27">
        <f t="shared" si="38"/>
        <v>0.04</v>
      </c>
      <c r="F67" s="27">
        <f t="shared" si="38"/>
        <v>0.05</v>
      </c>
      <c r="G67" s="27">
        <f t="shared" si="38"/>
        <v>0.05</v>
      </c>
      <c r="H67" s="27">
        <f t="shared" si="38"/>
        <v>0.05</v>
      </c>
      <c r="I67" s="27">
        <f t="shared" si="38"/>
        <v>0.05</v>
      </c>
      <c r="J67" s="27">
        <f t="shared" si="38"/>
        <v>0.05</v>
      </c>
    </row>
    <row r="68" spans="2:10" hidden="1" outlineLevel="1" x14ac:dyDescent="0.25">
      <c r="B68" t="s">
        <v>6</v>
      </c>
      <c r="D68" s="27">
        <f t="shared" si="37"/>
        <v>0.01</v>
      </c>
      <c r="E68" s="27">
        <f t="shared" si="38"/>
        <v>0.01</v>
      </c>
      <c r="F68" s="27">
        <f t="shared" si="38"/>
        <v>1.01010101010101E-2</v>
      </c>
      <c r="G68" s="27">
        <f t="shared" si="38"/>
        <v>9.1827364554637261E-3</v>
      </c>
      <c r="H68" s="27">
        <f t="shared" si="38"/>
        <v>7.9849882221423706E-3</v>
      </c>
      <c r="I68" s="27">
        <f t="shared" si="38"/>
        <v>6.9434680192542357E-3</v>
      </c>
      <c r="J68" s="27">
        <f t="shared" si="38"/>
        <v>6.0377982776123789E-3</v>
      </c>
    </row>
    <row r="69" spans="2:10" hidden="1" outlineLevel="1" x14ac:dyDescent="0.25">
      <c r="B69" t="s">
        <v>7</v>
      </c>
      <c r="D69" s="27">
        <f t="shared" si="37"/>
        <v>0.45</v>
      </c>
      <c r="E69" s="27">
        <f t="shared" si="38"/>
        <v>0.45</v>
      </c>
      <c r="F69" s="27">
        <f t="shared" si="38"/>
        <v>0.43888888888888888</v>
      </c>
      <c r="G69" s="27">
        <f t="shared" si="38"/>
        <v>0.44898989898989899</v>
      </c>
      <c r="H69" s="27">
        <f t="shared" si="38"/>
        <v>0.46216512955643391</v>
      </c>
      <c r="I69" s="27">
        <f t="shared" si="38"/>
        <v>0.47362185178820349</v>
      </c>
      <c r="J69" s="27">
        <f t="shared" si="38"/>
        <v>0.4835842189462638</v>
      </c>
    </row>
    <row r="70" spans="2:10" hidden="1" outlineLevel="1" x14ac:dyDescent="0.25">
      <c r="B70" t="s">
        <v>8</v>
      </c>
      <c r="D70" s="27">
        <f t="shared" si="37"/>
        <v>0.13500000000000001</v>
      </c>
      <c r="E70" s="27">
        <f t="shared" si="38"/>
        <v>0.13502222222222221</v>
      </c>
      <c r="F70" s="27">
        <f t="shared" si="38"/>
        <v>0.13166666666666665</v>
      </c>
      <c r="G70" s="27">
        <f t="shared" si="38"/>
        <v>0.1346969696969697</v>
      </c>
      <c r="H70" s="27">
        <f t="shared" si="38"/>
        <v>0.13864953886693018</v>
      </c>
      <c r="I70" s="27">
        <f t="shared" si="38"/>
        <v>0.14208655553646105</v>
      </c>
      <c r="J70" s="27">
        <f t="shared" si="38"/>
        <v>0.14507526568387913</v>
      </c>
    </row>
    <row r="71" spans="2:10" hidden="1" outlineLevel="1" x14ac:dyDescent="0.25">
      <c r="B71" t="s">
        <v>9</v>
      </c>
      <c r="D71" s="27">
        <f t="shared" si="37"/>
        <v>0.315</v>
      </c>
      <c r="E71" s="27">
        <f t="shared" si="38"/>
        <v>0.3149777777777778</v>
      </c>
      <c r="F71" s="27">
        <f t="shared" si="38"/>
        <v>0.30722222222222223</v>
      </c>
      <c r="G71" s="27">
        <f t="shared" si="38"/>
        <v>0.31429292929292935</v>
      </c>
      <c r="H71" s="27">
        <f t="shared" si="38"/>
        <v>0.3235155906895037</v>
      </c>
      <c r="I71" s="27">
        <f t="shared" si="38"/>
        <v>0.33153529625174238</v>
      </c>
      <c r="J71" s="27">
        <f t="shared" si="38"/>
        <v>0.33850895326238467</v>
      </c>
    </row>
    <row r="72" spans="2:10" collapsed="1" x14ac:dyDescent="0.25"/>
    <row r="73" spans="2:10" x14ac:dyDescent="0.25">
      <c r="B73" s="20" t="str">
        <f xml:space="preserve"> "Change Analysis Statement"&amp;" / "&amp;B5</f>
        <v>Change Analysis Statement / Tata Steels</v>
      </c>
      <c r="C73" s="21"/>
      <c r="D73" s="21"/>
      <c r="E73" s="21"/>
      <c r="F73" s="21"/>
      <c r="G73" s="21"/>
      <c r="H73" s="21"/>
      <c r="I73" s="21"/>
      <c r="J73" s="21"/>
    </row>
    <row r="74" spans="2:10" hidden="1" outlineLevel="1" x14ac:dyDescent="0.25">
      <c r="C74" s="28">
        <v>0.1</v>
      </c>
    </row>
    <row r="75" spans="2:10" hidden="1" outlineLevel="1" x14ac:dyDescent="0.25">
      <c r="B75" s="4" t="s">
        <v>1</v>
      </c>
      <c r="C75" s="4"/>
      <c r="D75" s="23">
        <f t="shared" ref="D75:J84" si="39">D9*(1+$C$74)</f>
        <v>22000</v>
      </c>
      <c r="E75" s="23">
        <f t="shared" si="39"/>
        <v>24750.000000000004</v>
      </c>
      <c r="F75" s="23">
        <f t="shared" si="39"/>
        <v>27225.000000000007</v>
      </c>
      <c r="G75" s="23">
        <f t="shared" si="39"/>
        <v>29947.500000000011</v>
      </c>
      <c r="H75" s="23">
        <f t="shared" si="39"/>
        <v>34439.625000000007</v>
      </c>
      <c r="I75" s="23">
        <f t="shared" si="39"/>
        <v>39605.568750000013</v>
      </c>
      <c r="J75" s="23">
        <f t="shared" si="39"/>
        <v>45546.404062500013</v>
      </c>
    </row>
    <row r="76" spans="2:10" hidden="1" outlineLevel="1" x14ac:dyDescent="0.25">
      <c r="B76" s="29" t="s">
        <v>2</v>
      </c>
      <c r="C76" s="29"/>
      <c r="D76" s="30">
        <f t="shared" si="39"/>
        <v>8800</v>
      </c>
      <c r="E76" s="30">
        <f t="shared" si="39"/>
        <v>9900</v>
      </c>
      <c r="F76" s="30">
        <f t="shared" si="39"/>
        <v>10890.000000000004</v>
      </c>
      <c r="G76" s="30">
        <f t="shared" si="39"/>
        <v>11979.000000000005</v>
      </c>
      <c r="H76" s="30">
        <f t="shared" si="39"/>
        <v>13775.850000000006</v>
      </c>
      <c r="I76" s="30">
        <f t="shared" si="39"/>
        <v>15842.227500000005</v>
      </c>
      <c r="J76" s="30">
        <f t="shared" si="39"/>
        <v>18218.561625000006</v>
      </c>
    </row>
    <row r="77" spans="2:10" hidden="1" outlineLevel="1" x14ac:dyDescent="0.25">
      <c r="B77" s="24" t="s">
        <v>3</v>
      </c>
      <c r="C77" s="24"/>
      <c r="D77" s="31">
        <f t="shared" si="39"/>
        <v>13200.000000000002</v>
      </c>
      <c r="E77" s="31">
        <f t="shared" si="39"/>
        <v>14850.000000000002</v>
      </c>
      <c r="F77" s="31">
        <f t="shared" si="39"/>
        <v>16335.000000000004</v>
      </c>
      <c r="G77" s="31">
        <f t="shared" si="39"/>
        <v>17968.500000000004</v>
      </c>
      <c r="H77" s="31">
        <f t="shared" si="39"/>
        <v>20663.775000000005</v>
      </c>
      <c r="I77" s="31">
        <f t="shared" si="39"/>
        <v>23763.341250000009</v>
      </c>
      <c r="J77" s="31">
        <f t="shared" si="39"/>
        <v>27327.842437500007</v>
      </c>
    </row>
    <row r="78" spans="2:10" hidden="1" outlineLevel="1" x14ac:dyDescent="0.25">
      <c r="B78" t="s">
        <v>15</v>
      </c>
      <c r="D78" s="19">
        <f t="shared" si="39"/>
        <v>2200</v>
      </c>
      <c r="E78" s="19">
        <f t="shared" si="39"/>
        <v>2475</v>
      </c>
      <c r="F78" s="9">
        <f t="shared" si="39"/>
        <v>2750</v>
      </c>
      <c r="G78" s="9">
        <f t="shared" si="39"/>
        <v>2750</v>
      </c>
      <c r="H78" s="9">
        <f t="shared" si="39"/>
        <v>2750</v>
      </c>
      <c r="I78" s="9">
        <f t="shared" si="39"/>
        <v>2750</v>
      </c>
      <c r="J78" s="9">
        <f t="shared" si="39"/>
        <v>2750</v>
      </c>
    </row>
    <row r="79" spans="2:10" hidden="1" outlineLevel="1" x14ac:dyDescent="0.25">
      <c r="B79" s="24" t="s">
        <v>4</v>
      </c>
      <c r="C79" s="24"/>
      <c r="D79" s="31">
        <f t="shared" si="39"/>
        <v>11000</v>
      </c>
      <c r="E79" s="31">
        <f t="shared" si="39"/>
        <v>12375.000000000002</v>
      </c>
      <c r="F79" s="31">
        <f t="shared" si="39"/>
        <v>13585.000000000004</v>
      </c>
      <c r="G79" s="31">
        <f t="shared" si="39"/>
        <v>15218.500000000005</v>
      </c>
      <c r="H79" s="31">
        <f t="shared" si="39"/>
        <v>17913.775000000005</v>
      </c>
      <c r="I79" s="31">
        <f t="shared" si="39"/>
        <v>21013.341250000009</v>
      </c>
      <c r="J79" s="31">
        <f t="shared" si="39"/>
        <v>24577.842437500007</v>
      </c>
    </row>
    <row r="80" spans="2:10" hidden="1" outlineLevel="1" x14ac:dyDescent="0.25">
      <c r="B80" t="s">
        <v>5</v>
      </c>
      <c r="D80" s="19">
        <f t="shared" si="39"/>
        <v>880.00000000000011</v>
      </c>
      <c r="E80" s="19">
        <f t="shared" si="39"/>
        <v>990.00000000000011</v>
      </c>
      <c r="F80" s="9">
        <f t="shared" si="39"/>
        <v>1361.2500000000005</v>
      </c>
      <c r="G80" s="9">
        <f t="shared" si="39"/>
        <v>1497.3750000000007</v>
      </c>
      <c r="H80" s="9">
        <f t="shared" si="39"/>
        <v>1721.9812500000007</v>
      </c>
      <c r="I80" s="9">
        <f t="shared" si="39"/>
        <v>1980.2784375000006</v>
      </c>
      <c r="J80" s="9">
        <f t="shared" si="39"/>
        <v>2277.3202031250007</v>
      </c>
    </row>
    <row r="81" spans="2:10" hidden="1" outlineLevel="1" x14ac:dyDescent="0.25">
      <c r="B81" t="s">
        <v>6</v>
      </c>
      <c r="D81" s="19">
        <f t="shared" si="39"/>
        <v>220.00000000000003</v>
      </c>
      <c r="E81" s="19">
        <f t="shared" si="39"/>
        <v>247.50000000000003</v>
      </c>
      <c r="F81" s="9">
        <f t="shared" si="39"/>
        <v>275</v>
      </c>
      <c r="G81" s="9">
        <f t="shared" si="39"/>
        <v>275</v>
      </c>
      <c r="H81" s="9">
        <f t="shared" si="39"/>
        <v>275</v>
      </c>
      <c r="I81" s="9">
        <f t="shared" si="39"/>
        <v>275</v>
      </c>
      <c r="J81" s="9">
        <f t="shared" si="39"/>
        <v>275</v>
      </c>
    </row>
    <row r="82" spans="2:10" hidden="1" outlineLevel="1" x14ac:dyDescent="0.25">
      <c r="B82" s="24" t="s">
        <v>7</v>
      </c>
      <c r="C82" s="24"/>
      <c r="D82" s="31">
        <f t="shared" si="39"/>
        <v>9900</v>
      </c>
      <c r="E82" s="31">
        <f t="shared" si="39"/>
        <v>11137.5</v>
      </c>
      <c r="F82" s="31">
        <f t="shared" si="39"/>
        <v>11948.750000000004</v>
      </c>
      <c r="G82" s="31">
        <f t="shared" si="39"/>
        <v>13446.125000000005</v>
      </c>
      <c r="H82" s="31">
        <f t="shared" si="39"/>
        <v>15916.793750000006</v>
      </c>
      <c r="I82" s="31">
        <f t="shared" si="39"/>
        <v>18758.062812500008</v>
      </c>
      <c r="J82" s="31">
        <f t="shared" si="39"/>
        <v>22025.522234375003</v>
      </c>
    </row>
    <row r="83" spans="2:10" hidden="1" outlineLevel="1" x14ac:dyDescent="0.25">
      <c r="B83" t="s">
        <v>8</v>
      </c>
      <c r="D83" s="19">
        <f t="shared" si="39"/>
        <v>2970.0000000000005</v>
      </c>
      <c r="E83" s="19">
        <f t="shared" si="39"/>
        <v>3341.8</v>
      </c>
      <c r="F83" s="9">
        <f t="shared" si="39"/>
        <v>3584.6250000000009</v>
      </c>
      <c r="G83" s="9">
        <f t="shared" si="39"/>
        <v>4033.8375000000015</v>
      </c>
      <c r="H83" s="9">
        <f t="shared" si="39"/>
        <v>4775.0381250000019</v>
      </c>
      <c r="I83" s="9">
        <f t="shared" si="39"/>
        <v>5627.4188437500025</v>
      </c>
      <c r="J83" s="9">
        <f t="shared" si="39"/>
        <v>6607.6566703125018</v>
      </c>
    </row>
    <row r="84" spans="2:10" ht="15.75" hidden="1" outlineLevel="1" thickBot="1" x14ac:dyDescent="0.3">
      <c r="B84" s="25" t="s">
        <v>9</v>
      </c>
      <c r="C84" s="25"/>
      <c r="D84" s="26">
        <f t="shared" si="39"/>
        <v>6930.0000000000009</v>
      </c>
      <c r="E84" s="26">
        <f t="shared" si="39"/>
        <v>7795.7000000000007</v>
      </c>
      <c r="F84" s="26">
        <f t="shared" si="39"/>
        <v>8364.1250000000018</v>
      </c>
      <c r="G84" s="26">
        <f t="shared" si="39"/>
        <v>9412.287500000004</v>
      </c>
      <c r="H84" s="26">
        <f t="shared" si="39"/>
        <v>11141.755625000002</v>
      </c>
      <c r="I84" s="26">
        <f t="shared" si="39"/>
        <v>13130.643968750004</v>
      </c>
      <c r="J84" s="26">
        <f t="shared" si="39"/>
        <v>15417.865564062504</v>
      </c>
    </row>
    <row r="85" spans="2:10" collapsed="1" x14ac:dyDescent="0.25"/>
  </sheetData>
  <phoneticPr fontId="9" type="noConversion"/>
  <conditionalFormatting sqref="D62:J71">
    <cfRule type="cellIs" dxfId="1" priority="2" operator="lessThan">
      <formula>0.1</formula>
    </cfRule>
  </conditionalFormatting>
  <conditionalFormatting sqref="D79:J79">
    <cfRule type="cellIs" dxfId="0" priority="1" operator="greaterThan">
      <formula>15000</formula>
    </cfRule>
  </conditionalFormatting>
  <pageMargins left="0.7" right="0.7" top="0.75" bottom="0.75" header="0.3" footer="0.3"/>
  <pageSetup orientation="portrait" r:id="rId1"/>
  <ignoredErrors>
    <ignoredError sqref="F12:J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38C-04DA-4D67-BF12-1E9FF2BCAC8F}">
  <dimension ref="B7:M37"/>
  <sheetViews>
    <sheetView showGridLines="0" topLeftCell="E23" workbookViewId="0">
      <selection activeCell="F27" sqref="F27:M37"/>
    </sheetView>
  </sheetViews>
  <sheetFormatPr defaultRowHeight="15" x14ac:dyDescent="0.25"/>
  <cols>
    <col min="1" max="1" width="1.7109375" customWidth="1"/>
    <col min="2" max="2" width="20.7109375" customWidth="1"/>
    <col min="3" max="3" width="10.5703125" bestFit="1" customWidth="1"/>
    <col min="5" max="5" width="9.140625" style="75"/>
    <col min="6" max="6" width="16.7109375" customWidth="1"/>
    <col min="7" max="7" width="12.7109375" customWidth="1"/>
  </cols>
  <sheetData>
    <row r="7" spans="2:7" x14ac:dyDescent="0.25">
      <c r="B7" t="s">
        <v>36</v>
      </c>
      <c r="C7" s="49">
        <v>0.04</v>
      </c>
      <c r="F7" t="s">
        <v>47</v>
      </c>
      <c r="G7" s="55">
        <v>14500</v>
      </c>
    </row>
    <row r="8" spans="2:7" x14ac:dyDescent="0.25">
      <c r="B8" t="s">
        <v>37</v>
      </c>
      <c r="C8" s="49">
        <v>0.1</v>
      </c>
      <c r="F8" t="s">
        <v>49</v>
      </c>
      <c r="G8" s="54">
        <v>0.1</v>
      </c>
    </row>
    <row r="9" spans="2:7" x14ac:dyDescent="0.25">
      <c r="B9" t="s">
        <v>42</v>
      </c>
      <c r="C9" s="52">
        <f>MarketReturns-RiskFreeRate</f>
        <v>6.0000000000000005E-2</v>
      </c>
      <c r="F9" t="s">
        <v>48</v>
      </c>
      <c r="G9" s="54">
        <v>0.6</v>
      </c>
    </row>
    <row r="10" spans="2:7" x14ac:dyDescent="0.25">
      <c r="B10" t="s">
        <v>34</v>
      </c>
      <c r="C10" s="42">
        <v>1.25</v>
      </c>
    </row>
    <row r="11" spans="2:7" x14ac:dyDescent="0.25">
      <c r="B11" t="s">
        <v>46</v>
      </c>
      <c r="C11" s="53">
        <f>(RiskFreeRate+(MarketReturns-RiskFreeRate)*Beta)</f>
        <v>0.11500000000000002</v>
      </c>
      <c r="F11" t="s">
        <v>50</v>
      </c>
      <c r="G11" s="56">
        <f>(Current_Sales*(1+Sales_Growth))</f>
        <v>15950.000000000002</v>
      </c>
    </row>
    <row r="12" spans="2:7" x14ac:dyDescent="0.25">
      <c r="C12" s="53"/>
      <c r="F12" t="s">
        <v>51</v>
      </c>
      <c r="G12" s="56">
        <f>(Next_Year_Sales*(1-Gross_Margin))</f>
        <v>6380.0000000000009</v>
      </c>
    </row>
    <row r="13" spans="2:7" x14ac:dyDescent="0.25">
      <c r="B13" t="s">
        <v>38</v>
      </c>
      <c r="C13" s="49">
        <v>0.14000000000000001</v>
      </c>
      <c r="F13" t="s">
        <v>3</v>
      </c>
      <c r="G13" s="65">
        <f>Next_Year_Sales-Cost_of_Sales</f>
        <v>9570</v>
      </c>
    </row>
    <row r="14" spans="2:7" x14ac:dyDescent="0.25">
      <c r="B14" t="s">
        <v>39</v>
      </c>
      <c r="C14" s="49">
        <v>0.3</v>
      </c>
    </row>
    <row r="15" spans="2:7" x14ac:dyDescent="0.25">
      <c r="B15" t="s">
        <v>43</v>
      </c>
      <c r="C15" s="53">
        <f>CostofDebt*(1-TaxRate)</f>
        <v>9.8000000000000004E-2</v>
      </c>
      <c r="F15" s="4" t="s">
        <v>49</v>
      </c>
      <c r="G15" s="4" t="s">
        <v>3</v>
      </c>
    </row>
    <row r="16" spans="2:7" x14ac:dyDescent="0.25">
      <c r="C16" s="49"/>
      <c r="G16" s="72">
        <f>Next_Year_Sales*Gross_Margin</f>
        <v>9570</v>
      </c>
    </row>
    <row r="17" spans="2:13" x14ac:dyDescent="0.25">
      <c r="B17" t="s">
        <v>40</v>
      </c>
      <c r="C17" s="50">
        <v>125000</v>
      </c>
      <c r="F17" s="69">
        <v>0.08</v>
      </c>
      <c r="G17" s="66">
        <f t="dataTable" ref="G17:G25" dt2D="0" dtr="0" r1="G8"/>
        <v>9396</v>
      </c>
    </row>
    <row r="18" spans="2:13" x14ac:dyDescent="0.25">
      <c r="B18" t="s">
        <v>41</v>
      </c>
      <c r="C18" s="50">
        <v>125000</v>
      </c>
      <c r="F18" s="69">
        <v>0.1</v>
      </c>
      <c r="G18" s="56">
        <v>9570</v>
      </c>
    </row>
    <row r="19" spans="2:13" x14ac:dyDescent="0.25">
      <c r="B19" t="s">
        <v>44</v>
      </c>
      <c r="C19" s="52">
        <f>(EquityValue/(EquityValue+DebtValue))</f>
        <v>0.5</v>
      </c>
      <c r="F19" s="69">
        <v>0.12</v>
      </c>
      <c r="G19" s="56">
        <v>9744</v>
      </c>
    </row>
    <row r="20" spans="2:13" x14ac:dyDescent="0.25">
      <c r="B20" t="s">
        <v>45</v>
      </c>
      <c r="C20" s="52">
        <f>(DebtValue/(EquityValue+DebtValue))</f>
        <v>0.5</v>
      </c>
      <c r="F20" s="69">
        <v>0.14000000000000001</v>
      </c>
      <c r="G20" s="56">
        <v>9918</v>
      </c>
    </row>
    <row r="21" spans="2:13" x14ac:dyDescent="0.25">
      <c r="F21" s="69">
        <v>0.16</v>
      </c>
      <c r="G21" s="56">
        <v>10092</v>
      </c>
    </row>
    <row r="22" spans="2:13" x14ac:dyDescent="0.25">
      <c r="B22" t="s">
        <v>35</v>
      </c>
      <c r="C22" s="27">
        <f>((4%+(10%-4%)*1.25)*125000/250000)+((14%*(1-30%)*125000/250000))</f>
        <v>0.10650000000000001</v>
      </c>
      <c r="F22" s="69">
        <v>0.18</v>
      </c>
      <c r="G22" s="56">
        <v>10266</v>
      </c>
    </row>
    <row r="23" spans="2:13" x14ac:dyDescent="0.25">
      <c r="F23" s="69">
        <v>0.2</v>
      </c>
      <c r="G23" s="56">
        <v>10440</v>
      </c>
    </row>
    <row r="24" spans="2:13" x14ac:dyDescent="0.25">
      <c r="B24" t="s">
        <v>35</v>
      </c>
      <c r="C24" s="27">
        <f>((C7+(C8-C7)*C10)*C17/(C17+C18)) + (C13*(1-C14)*C18/(C17+C18))</f>
        <v>0.10650000000000001</v>
      </c>
      <c r="F24" s="69">
        <v>0.22</v>
      </c>
      <c r="G24" s="56">
        <v>10614</v>
      </c>
    </row>
    <row r="25" spans="2:13" x14ac:dyDescent="0.25">
      <c r="F25" s="69">
        <v>0.24</v>
      </c>
      <c r="G25" s="56">
        <v>10788</v>
      </c>
    </row>
    <row r="26" spans="2:13" x14ac:dyDescent="0.25">
      <c r="B26" t="s">
        <v>35</v>
      </c>
      <c r="C26" s="51">
        <f>((RiskFreeRate+(MarketReturns-RiskFreeRate)*Beta)*(EquityValue/(EquityValue+DebtValue)))+((CostofDebt*(1-TaxRate)*DebtValue/(EquityValue+DebtValue)))</f>
        <v>0.10650000000000001</v>
      </c>
    </row>
    <row r="27" spans="2:13" x14ac:dyDescent="0.25">
      <c r="G27" s="1" t="s">
        <v>59</v>
      </c>
      <c r="H27" s="68"/>
      <c r="I27" s="68"/>
      <c r="J27" s="68"/>
      <c r="K27" s="68"/>
      <c r="L27" s="67"/>
      <c r="M27" s="67"/>
    </row>
    <row r="28" spans="2:13" x14ac:dyDescent="0.25">
      <c r="B28" t="s">
        <v>35</v>
      </c>
      <c r="C28" s="27">
        <f>(Cost_of_Equity*Equity_Funding)+(Post_Tax_Cost_of_Debt*Debt_Funding)</f>
        <v>0.10650000000000001</v>
      </c>
      <c r="G28" s="73">
        <f>Gross_Profit</f>
        <v>9570</v>
      </c>
      <c r="H28" s="71">
        <v>0.4</v>
      </c>
      <c r="I28" s="71">
        <v>0.5</v>
      </c>
      <c r="J28" s="71">
        <v>0.6</v>
      </c>
      <c r="K28" s="71">
        <v>0.7</v>
      </c>
      <c r="L28" s="71">
        <v>0.8</v>
      </c>
      <c r="M28" s="71">
        <v>0.9</v>
      </c>
    </row>
    <row r="29" spans="2:13" x14ac:dyDescent="0.25">
      <c r="G29" s="70">
        <v>0.08</v>
      </c>
      <c r="H29" s="66">
        <f t="dataTable" ref="H29:M37" dt2D="1" dtr="1" r1="G9" r2="G8" ca="1"/>
        <v>6264.0000000000018</v>
      </c>
      <c r="I29" s="74">
        <v>7830.0000000000009</v>
      </c>
      <c r="J29" s="74">
        <v>9396</v>
      </c>
      <c r="K29" s="74">
        <v>10962</v>
      </c>
      <c r="L29" s="74">
        <v>12528.000000000002</v>
      </c>
      <c r="M29" s="74">
        <v>14094.000000000002</v>
      </c>
    </row>
    <row r="30" spans="2:13" x14ac:dyDescent="0.25">
      <c r="G30" s="70">
        <v>0.1</v>
      </c>
      <c r="H30" s="56">
        <v>6380.0000000000018</v>
      </c>
      <c r="I30" s="56">
        <v>7975.0000000000009</v>
      </c>
      <c r="J30" s="76">
        <v>9570</v>
      </c>
      <c r="K30" s="56">
        <v>11165</v>
      </c>
      <c r="L30" s="56">
        <v>12760.000000000002</v>
      </c>
      <c r="M30" s="56">
        <v>14355.000000000002</v>
      </c>
    </row>
    <row r="31" spans="2:13" x14ac:dyDescent="0.25">
      <c r="G31" s="70">
        <v>0.12</v>
      </c>
      <c r="H31" s="56">
        <v>6496.0000000000018</v>
      </c>
      <c r="I31" s="56">
        <v>8120.0000000000009</v>
      </c>
      <c r="J31" s="56">
        <v>9744</v>
      </c>
      <c r="K31" s="56">
        <v>11368</v>
      </c>
      <c r="L31" s="56">
        <v>12992.000000000002</v>
      </c>
      <c r="M31" s="56">
        <v>14616.000000000002</v>
      </c>
    </row>
    <row r="32" spans="2:13" x14ac:dyDescent="0.25">
      <c r="F32" s="1" t="s">
        <v>49</v>
      </c>
      <c r="G32" s="70">
        <v>0.14000000000000001</v>
      </c>
      <c r="H32" s="56">
        <v>6612</v>
      </c>
      <c r="I32" s="56">
        <v>8265</v>
      </c>
      <c r="J32" s="56">
        <v>9918</v>
      </c>
      <c r="K32" s="56">
        <v>11571</v>
      </c>
      <c r="L32" s="56">
        <v>13224</v>
      </c>
      <c r="M32" s="56">
        <v>14877</v>
      </c>
    </row>
    <row r="33" spans="7:13" x14ac:dyDescent="0.25">
      <c r="G33" s="70">
        <v>0.16</v>
      </c>
      <c r="H33" s="56">
        <v>6728</v>
      </c>
      <c r="I33" s="56">
        <v>8410</v>
      </c>
      <c r="J33" s="56">
        <v>10092</v>
      </c>
      <c r="K33" s="56">
        <v>11774</v>
      </c>
      <c r="L33" s="56">
        <v>13456</v>
      </c>
      <c r="M33" s="56">
        <v>15138</v>
      </c>
    </row>
    <row r="34" spans="7:13" x14ac:dyDescent="0.25">
      <c r="G34" s="70">
        <v>0.18</v>
      </c>
      <c r="H34" s="56">
        <v>6844</v>
      </c>
      <c r="I34" s="56">
        <v>8555</v>
      </c>
      <c r="J34" s="56">
        <v>10266</v>
      </c>
      <c r="K34" s="56">
        <v>11977</v>
      </c>
      <c r="L34" s="56">
        <v>13688</v>
      </c>
      <c r="M34" s="56">
        <v>15399</v>
      </c>
    </row>
    <row r="35" spans="7:13" x14ac:dyDescent="0.25">
      <c r="G35" s="70">
        <v>0.2</v>
      </c>
      <c r="H35" s="56">
        <v>6960</v>
      </c>
      <c r="I35" s="56">
        <v>8700</v>
      </c>
      <c r="J35" s="56">
        <v>10440</v>
      </c>
      <c r="K35" s="56">
        <v>12180</v>
      </c>
      <c r="L35" s="56">
        <v>13920</v>
      </c>
      <c r="M35" s="56">
        <v>15660</v>
      </c>
    </row>
    <row r="36" spans="7:13" x14ac:dyDescent="0.25">
      <c r="G36" s="70">
        <v>0.22</v>
      </c>
      <c r="H36" s="56">
        <v>7076</v>
      </c>
      <c r="I36" s="56">
        <v>8845</v>
      </c>
      <c r="J36" s="56">
        <v>10614</v>
      </c>
      <c r="K36" s="56">
        <v>12383</v>
      </c>
      <c r="L36" s="56">
        <v>14152</v>
      </c>
      <c r="M36" s="56">
        <v>15921</v>
      </c>
    </row>
    <row r="37" spans="7:13" x14ac:dyDescent="0.25">
      <c r="G37" s="70">
        <v>0.24</v>
      </c>
      <c r="H37" s="56">
        <v>7192</v>
      </c>
      <c r="I37" s="56">
        <v>8990</v>
      </c>
      <c r="J37" s="56">
        <v>10788</v>
      </c>
      <c r="K37" s="56">
        <v>12586</v>
      </c>
      <c r="L37" s="56">
        <v>14384</v>
      </c>
      <c r="M37" s="56">
        <v>16182</v>
      </c>
    </row>
  </sheetData>
  <scenarios current="0" show="0" sqref="G11:G13">
    <scenario name="Base Case" locked="1" count="3" user="Deborah Nyangige" comment="Created by Deborah Nyangige on 2/21/2025_x000a_Modified by Deborah Nyangige on 2/21/2025">
      <inputCells r="G7" val="14500" numFmtId="4"/>
      <inputCells r="G8" val="0.1" numFmtId="9"/>
      <inputCells r="G9" val="0.6" numFmtId="9"/>
    </scenario>
    <scenario name="Worst Case" locked="1" count="3" user="Deborah Nyangige" comment="Created by Deborah Nyangige on 2/21/2025">
      <inputCells r="G7" val="13500" numFmtId="4"/>
      <inputCells r="G8" val="0.07" numFmtId="9"/>
      <inputCells r="G9" val="0.5" numFmtId="9"/>
    </scenario>
    <scenario name="Best Case" locked="1" count="3" user="Deborah Nyangige" comment="Created by Deborah Nyangige on 2/21/2025">
      <inputCells r="G7" val="15500" numFmtId="4"/>
      <inputCells r="G8" val="0.15" numFmtId="9"/>
      <inputCells r="G9" val="0.7" numFmtId="9"/>
    </scenario>
  </scenarios>
  <dataValidations count="1">
    <dataValidation type="decimal" errorStyle="warning" allowBlank="1" showInputMessage="1" showErrorMessage="1" error="Wrong Input" prompt="Gross margin should not be more than 100% because it is gross profit less cost of sales" sqref="G9" xr:uid="{8B86E2C7-36F9-4E0F-B503-2E91788CC75B}">
      <formula1>0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2F3F-C5C0-4BD3-A311-B7150D4E0ADC}">
  <sheetPr>
    <outlinePr summaryBelow="0"/>
  </sheetPr>
  <dimension ref="B1:G15"/>
  <sheetViews>
    <sheetView showGridLines="0" tabSelected="1" topLeftCell="B1" workbookViewId="0">
      <selection activeCell="F17" sqref="F17"/>
    </sheetView>
  </sheetViews>
  <sheetFormatPr defaultRowHeight="15" outlineLevelRow="1" outlineLevelCol="1" x14ac:dyDescent="0.25"/>
  <cols>
    <col min="3" max="3" width="16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81" t="s">
        <v>68</v>
      </c>
      <c r="C2" s="81"/>
      <c r="D2" s="86"/>
      <c r="E2" s="86"/>
      <c r="F2" s="86"/>
      <c r="G2" s="86"/>
    </row>
    <row r="3" spans="2:7" ht="15.75" collapsed="1" x14ac:dyDescent="0.25">
      <c r="B3" s="80"/>
      <c r="C3" s="80"/>
      <c r="D3" s="87" t="s">
        <v>70</v>
      </c>
      <c r="E3" s="87" t="s">
        <v>60</v>
      </c>
      <c r="F3" s="87" t="s">
        <v>62</v>
      </c>
      <c r="G3" s="87" t="s">
        <v>61</v>
      </c>
    </row>
    <row r="4" spans="2:7" ht="90" hidden="1" outlineLevel="1" x14ac:dyDescent="0.25">
      <c r="B4" s="83"/>
      <c r="C4" s="83"/>
      <c r="D4" s="77"/>
      <c r="E4" s="90" t="s">
        <v>66</v>
      </c>
      <c r="F4" s="90" t="s">
        <v>67</v>
      </c>
      <c r="G4" s="90" t="s">
        <v>67</v>
      </c>
    </row>
    <row r="5" spans="2:7" x14ac:dyDescent="0.25">
      <c r="B5" s="84" t="s">
        <v>69</v>
      </c>
      <c r="C5" s="84"/>
      <c r="D5" s="82"/>
      <c r="E5" s="82"/>
      <c r="F5" s="82"/>
      <c r="G5" s="82"/>
    </row>
    <row r="6" spans="2:7" outlineLevel="1" x14ac:dyDescent="0.25">
      <c r="B6" s="83"/>
      <c r="C6" s="83" t="s">
        <v>63</v>
      </c>
      <c r="D6" s="78">
        <v>14500</v>
      </c>
      <c r="E6" s="88">
        <v>14500</v>
      </c>
      <c r="F6" s="88">
        <v>13500</v>
      </c>
      <c r="G6" s="88">
        <v>15500</v>
      </c>
    </row>
    <row r="7" spans="2:7" outlineLevel="1" x14ac:dyDescent="0.25">
      <c r="B7" s="83"/>
      <c r="C7" s="83" t="s">
        <v>64</v>
      </c>
      <c r="D7" s="79">
        <v>0.1</v>
      </c>
      <c r="E7" s="89">
        <v>0.1</v>
      </c>
      <c r="F7" s="89">
        <v>7.0000000000000007E-2</v>
      </c>
      <c r="G7" s="89">
        <v>0.15</v>
      </c>
    </row>
    <row r="8" spans="2:7" outlineLevel="1" x14ac:dyDescent="0.25">
      <c r="B8" s="83"/>
      <c r="C8" s="83" t="s">
        <v>65</v>
      </c>
      <c r="D8" s="79">
        <v>0.6</v>
      </c>
      <c r="E8" s="89">
        <v>0.6</v>
      </c>
      <c r="F8" s="89">
        <v>0.5</v>
      </c>
      <c r="G8" s="89">
        <v>0.7</v>
      </c>
    </row>
    <row r="9" spans="2:7" x14ac:dyDescent="0.25">
      <c r="B9" s="84" t="s">
        <v>71</v>
      </c>
      <c r="C9" s="84"/>
      <c r="D9" s="82"/>
      <c r="E9" s="82"/>
      <c r="F9" s="82"/>
      <c r="G9" s="82"/>
    </row>
    <row r="10" spans="2:7" outlineLevel="1" x14ac:dyDescent="0.25">
      <c r="B10" s="83"/>
      <c r="C10" s="83" t="s">
        <v>75</v>
      </c>
      <c r="D10" s="78">
        <v>15950</v>
      </c>
      <c r="E10" s="78">
        <v>15950</v>
      </c>
      <c r="F10" s="78">
        <v>14445</v>
      </c>
      <c r="G10" s="78">
        <v>17825</v>
      </c>
    </row>
    <row r="11" spans="2:7" outlineLevel="1" x14ac:dyDescent="0.25">
      <c r="B11" s="83"/>
      <c r="C11" s="83" t="s">
        <v>76</v>
      </c>
      <c r="D11" s="78">
        <v>6380</v>
      </c>
      <c r="E11" s="78">
        <v>6380</v>
      </c>
      <c r="F11" s="78">
        <v>7222.5</v>
      </c>
      <c r="G11" s="78">
        <v>5347.5</v>
      </c>
    </row>
    <row r="12" spans="2:7" ht="15.75" outlineLevel="1" thickBot="1" x14ac:dyDescent="0.3">
      <c r="B12" s="85"/>
      <c r="C12" s="85" t="s">
        <v>77</v>
      </c>
      <c r="D12" s="91">
        <v>9570</v>
      </c>
      <c r="E12" s="91">
        <v>9570</v>
      </c>
      <c r="F12" s="91">
        <v>7222.5</v>
      </c>
      <c r="G12" s="91">
        <v>12477.5</v>
      </c>
    </row>
    <row r="13" spans="2:7" x14ac:dyDescent="0.25">
      <c r="B13" t="s">
        <v>72</v>
      </c>
    </row>
    <row r="14" spans="2:7" x14ac:dyDescent="0.25">
      <c r="B14" t="s">
        <v>73</v>
      </c>
    </row>
    <row r="15" spans="2:7" x14ac:dyDescent="0.25">
      <c r="B1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C7B4-50BB-4F16-80B2-72C0DFD4E064}">
  <dimension ref="B6:D23"/>
  <sheetViews>
    <sheetView showGridLines="0" workbookViewId="0">
      <selection activeCell="J13" sqref="J13"/>
    </sheetView>
  </sheetViews>
  <sheetFormatPr defaultRowHeight="15" x14ac:dyDescent="0.25"/>
  <cols>
    <col min="1" max="1" width="1.7109375" customWidth="1"/>
    <col min="2" max="2" width="10.7109375" customWidth="1"/>
    <col min="3" max="4" width="10.7109375" style="58" customWidth="1"/>
  </cols>
  <sheetData>
    <row r="6" spans="2:4" x14ac:dyDescent="0.25">
      <c r="B6" t="s">
        <v>52</v>
      </c>
      <c r="C6" s="57">
        <v>0.25</v>
      </c>
    </row>
    <row r="7" spans="2:4" x14ac:dyDescent="0.25">
      <c r="B7" t="s">
        <v>53</v>
      </c>
      <c r="C7" s="64">
        <f>IF(C6&lt;B11,D10,IF(C6&lt;B12,D11,IF(C6&lt;B13,D12,D13)))</f>
        <v>9.5000000000000001E-2</v>
      </c>
    </row>
    <row r="9" spans="2:4" x14ac:dyDescent="0.25">
      <c r="B9" t="s">
        <v>52</v>
      </c>
      <c r="C9" s="58" t="s">
        <v>54</v>
      </c>
      <c r="D9" s="58" t="s">
        <v>53</v>
      </c>
    </row>
    <row r="10" spans="2:4" x14ac:dyDescent="0.25">
      <c r="B10" s="61">
        <v>0</v>
      </c>
      <c r="C10" s="62" t="s">
        <v>55</v>
      </c>
      <c r="D10" s="63">
        <v>9.5000000000000001E-2</v>
      </c>
    </row>
    <row r="11" spans="2:4" x14ac:dyDescent="0.25">
      <c r="B11" s="54">
        <v>0.3</v>
      </c>
      <c r="C11" s="59" t="s">
        <v>56</v>
      </c>
      <c r="D11" s="60">
        <v>9.7500000000000003E-2</v>
      </c>
    </row>
    <row r="12" spans="2:4" x14ac:dyDescent="0.25">
      <c r="B12" s="54">
        <v>0.5</v>
      </c>
      <c r="C12" s="59" t="s">
        <v>57</v>
      </c>
      <c r="D12" s="60">
        <v>0.1225</v>
      </c>
    </row>
    <row r="13" spans="2:4" x14ac:dyDescent="0.25">
      <c r="B13" s="54">
        <v>0.6</v>
      </c>
      <c r="C13" s="59" t="s">
        <v>58</v>
      </c>
      <c r="D13" s="60">
        <v>0.13750000000000001</v>
      </c>
    </row>
    <row r="14" spans="2:4" x14ac:dyDescent="0.25">
      <c r="B14" s="54"/>
      <c r="C14" s="59"/>
      <c r="D14" s="60"/>
    </row>
    <row r="16" spans="2:4" x14ac:dyDescent="0.25">
      <c r="B16" t="s">
        <v>52</v>
      </c>
      <c r="C16" s="57">
        <v>0.22</v>
      </c>
    </row>
    <row r="17" spans="2:4" x14ac:dyDescent="0.25">
      <c r="B17" t="s">
        <v>53</v>
      </c>
      <c r="C17" s="64">
        <f>VLOOKUP(C16,B20:D23,3,1)</f>
        <v>9.5000000000000001E-2</v>
      </c>
    </row>
    <row r="19" spans="2:4" x14ac:dyDescent="0.25">
      <c r="B19" t="s">
        <v>52</v>
      </c>
      <c r="C19" s="58" t="s">
        <v>54</v>
      </c>
      <c r="D19" s="58" t="s">
        <v>53</v>
      </c>
    </row>
    <row r="20" spans="2:4" x14ac:dyDescent="0.25">
      <c r="B20" s="61">
        <v>0</v>
      </c>
      <c r="C20" s="62" t="s">
        <v>55</v>
      </c>
      <c r="D20" s="63">
        <v>9.5000000000000001E-2</v>
      </c>
    </row>
    <row r="21" spans="2:4" x14ac:dyDescent="0.25">
      <c r="B21" s="54">
        <v>0.3</v>
      </c>
      <c r="C21" s="59" t="s">
        <v>56</v>
      </c>
      <c r="D21" s="60">
        <v>9.7500000000000003E-2</v>
      </c>
    </row>
    <row r="22" spans="2:4" x14ac:dyDescent="0.25">
      <c r="B22" s="54">
        <v>0.5</v>
      </c>
      <c r="C22" s="59" t="s">
        <v>57</v>
      </c>
      <c r="D22" s="60">
        <v>0.1225</v>
      </c>
    </row>
    <row r="23" spans="2:4" x14ac:dyDescent="0.25">
      <c r="B23" s="54">
        <v>0.6</v>
      </c>
      <c r="C23" s="59" t="s">
        <v>58</v>
      </c>
      <c r="D23" s="60">
        <v>0.13750000000000001</v>
      </c>
    </row>
  </sheetData>
  <pageMargins left="0.7" right="0.7" top="0.75" bottom="0.75" header="0.3" footer="0.3"/>
  <ignoredErrors>
    <ignoredError sqref="C7 C1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Model Inc</vt:lpstr>
      <vt:lpstr>Time Periods</vt:lpstr>
      <vt:lpstr>Calculations of Costs</vt:lpstr>
      <vt:lpstr>Scenario Summary</vt:lpstr>
      <vt:lpstr>D_E Ratio</vt:lpstr>
      <vt:lpstr>Beta</vt:lpstr>
      <vt:lpstr>Cost_of_Equity</vt:lpstr>
      <vt:lpstr>Cost_of_Sales</vt:lpstr>
      <vt:lpstr>CostofDebt</vt:lpstr>
      <vt:lpstr>Current_Sales</vt:lpstr>
      <vt:lpstr>Debt_Funding</vt:lpstr>
      <vt:lpstr>DebtValue</vt:lpstr>
      <vt:lpstr>Equity_Funding</vt:lpstr>
      <vt:lpstr>EquityValue</vt:lpstr>
      <vt:lpstr>Gross_Margin</vt:lpstr>
      <vt:lpstr>Gross_Profit</vt:lpstr>
      <vt:lpstr>MarketReturns</vt:lpstr>
      <vt:lpstr>Next_Year_Sales</vt:lpstr>
      <vt:lpstr>Post_Tax_Cost_of_Debt</vt:lpstr>
      <vt:lpstr>RiskFreeRate</vt:lpstr>
      <vt:lpstr>Sales_Growth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Nyangige</dc:creator>
  <cp:lastModifiedBy>Deborah Nyangige</cp:lastModifiedBy>
  <dcterms:created xsi:type="dcterms:W3CDTF">2025-02-19T10:59:01Z</dcterms:created>
  <dcterms:modified xsi:type="dcterms:W3CDTF">2025-02-27T10:54:24Z</dcterms:modified>
</cp:coreProperties>
</file>