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GtIJkIPI0b7tkHTjTnVwCHuD3/BxvNNnPuQUccA76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ID#AAAA4oMDBa4
Hint    (2023-09-04 12:29:19)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ID#AAAA4oMDBaw
G Hanek    (2023-09-04 12:29:19)
Leave blank if Official is not certified.</t>
      </text>
    </comment>
    <comment authorId="0" ref="D36">
      <text>
        <t xml:space="preserve">======
ID#AAAA4oMDBao
Anon    (2023-09-04 12:29:19)
Total penalties must include any Non-Skater Expulsions, too.</t>
      </text>
    </comment>
    <comment authorId="0" ref="L41">
      <text>
        <t xml:space="preserve">======
ID#AAAA4oMDBaM
G Hanek    (2023-09-04 12:29:19)
Mark YES if there was an Expulsion and a suspension was recommended.
Mark YES if there was any suspension recommended.
Mark NO if there was an Expulsion and no one recommended a suspension.</t>
      </text>
    </comment>
    <comment authorId="0" ref="L7">
      <text>
        <t xml:space="preserve">======
ID#AAAA4oMDBZ0
For use in Sanctioned games only    (2023-09-04 12:29:19)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ID#AAAA4oMDBZg
Hint    (2023-09-04 12:29:19)
Enter date here in yyyy-mm-dd format, and it will be displayed on all pages.</t>
      </text>
    </comment>
    <comment authorId="0" ref="D39">
      <text>
        <t xml:space="preserve">======
ID#AAAA4oMDBZU
G Hanek    (2023-09-04 12:29:19)
Enter "yes" if an adjustment was made to the Official Score of this game.</t>
      </text>
    </comment>
    <comment authorId="0" ref="K36">
      <text>
        <t xml:space="preserve">======
ID#AAAA4oMDBZE
Anon    (2023-09-04 12:29:19)
Total penalties must include any Non-Skater Expulsions, too.</t>
      </text>
    </comment>
    <comment authorId="0" ref="L3">
      <text>
        <t xml:space="preserve">======
ID#AAAA4oMDBYw
Hint    (2023-09-04 12:29:19)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urfryRPXP4kDKmTOLBFQGw/m44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ID#AAAA4oMDBZ8
Hint    (2023-09-04 12:29:19)
Skater roster NUMBER, not name.</t>
      </text>
    </comment>
    <comment authorId="0" ref="G4">
      <text>
        <t xml:space="preserve">======
ID#AAAA4oMDBZY
Hint    (2023-09-04 12:29:19)
Mark with an "X" if jammer never completed initial pass.</t>
      </text>
    </comment>
    <comment authorId="0" ref="D4">
      <text>
        <t xml:space="preserve">======
ID#AAAA4oMDBZQ
Hint    (2023-09-04 12:29:19)
Use "X" rather than 1. If the jammer isn't Lead, leave blank..</t>
      </text>
    </comment>
    <comment authorId="0" ref="E4">
      <text>
        <t xml:space="preserve">======
ID#AAAA4oMDBZA
Hint    (2023-09-04 12:29:19)
Mark with "X" if when the listed jammer successfully calls off the jam before jam time runs out, legal call off or not.</t>
      </text>
    </comment>
    <comment authorId="0" ref="F4">
      <text>
        <t xml:space="preserve">======
ID#AAAA4oMDBYs
Hint    (2023-09-04 12:29:19)
Mark with an "X" if jam ended for injury to anyone.</t>
      </text>
    </comment>
    <comment authorId="0" ref="C4">
      <text>
        <t xml:space="preserve">======
ID#AAAA4oMDBX8
Hint    (2023-09-04 12:29:19)
Mark with an "X" if jammer lost eligibility for lead jammer, first pass or afterward.</t>
      </text>
    </comment>
    <comment authorId="0" ref="A4">
      <text>
        <t xml:space="preserve">======
ID#AAAA4oMDBX0
Hint    (2023-09-04 12:29:19)
Write in jam number as you go, and make sure to add SP or SP* for star pass lines.</t>
      </text>
    </comment>
  </commentList>
  <extLst>
    <ext uri="GoogleSheetsCustomDataVersion2">
      <go:sheetsCustomData xmlns:go="http://customooxmlschemas.google.com/" r:id="rId1" roundtripDataSignature="AMtx7mj1msnHXc4Lc5veDdPj0yip9rRP+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ID#AAAA4oMDBa0
Katie    (2023-09-04 12:29:19)
This column exists to allow blocker/pivot +/- data to be calculated</t>
      </text>
    </comment>
    <comment authorId="0" ref="B4">
      <text>
        <t xml:space="preserve">======
ID#AAAA4oMDBaU
Katie    (2023-09-04 12:29:19)
Put an "X" in this box if the team did not field a pivot for this jam.</t>
      </text>
    </comment>
    <comment authorId="0" ref="C4">
      <text>
        <t xml:space="preserve">======
ID#AAAA4oMDBZs
Katie    (2023-09-04 12:29:19)
Jammer numbers arrive here from the Score sheet. Make any corrections on the Score sheet, not here. 
Always double check your jams played on the "Game Summary" page when done.</t>
      </text>
    </comment>
    <comment authorId="0" ref="A4">
      <text>
        <t xml:space="preserve">======
ID#AAAA4oMDBYQ
Tip    (2023-09-04 12:29:19)
Write in jam number as you go. For Star Passes,  write SP on next line and rewrite the lineup with Jammer and Pivot swapped.</t>
      </text>
    </comment>
    <comment authorId="0" ref="AW4">
      <text>
        <t xml:space="preserve">======
ID#AAAA4oMDBXk
Katie    (2023-09-04 12:29:19)
This column exists to allow blocker/pivot +/- data to be calculated</t>
      </text>
    </comment>
  </commentList>
  <extLst>
    <ext uri="GoogleSheetsCustomDataVersion2">
      <go:sheetsCustomData xmlns:go="http://customooxmlschemas.google.com/" r:id="rId1" roundtripDataSignature="AMtx7mj0spvnZ2y71KXzPeOyWfrPaeVXK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ID#AAAA4oMDBbc
Katie    (2023-09-04 12:29:19)
Put an "X" in this box if the team did not field a pivot for this jam.</t>
      </text>
    </comment>
    <comment authorId="0" ref="AJ48">
      <text>
        <t xml:space="preserve">======
ID#AAAA4oMDBbQ
Tip    (2023-09-04 12:29:19)
Write in jam number as you go. For Star Passes,  write SP on next line and rewrite the lineup with Jammer and Pivot swapped.</t>
      </text>
    </comment>
    <comment authorId="0" ref="A48">
      <text>
        <t xml:space="preserve">======
ID#AAAA4oMDBbE
Tip    (2023-09-04 12:29:19)
Write in jam number as you go. For Star Passes,  write SP on next line and rewrite the lineup with Jammer and Pivot swapped.</t>
      </text>
    </comment>
    <comment authorId="0" ref="A4">
      <text>
        <t xml:space="preserve">======
ID#AAAA4oMDBa8
Tip    (2023-09-04 12:29:19)
Write in jam number as you go. For Star Passes,  write SP on next line and rewrite the lineup with Jammer and Pivot swapped.</t>
      </text>
    </comment>
    <comment authorId="0" ref="AK4">
      <text>
        <t xml:space="preserve">======
ID#AAAA4oMDBaQ
Katie    (2023-09-04 12:29:19)
Put an "X" in this box if the team did not field a pivot for this jam.</t>
      </text>
    </comment>
    <comment authorId="0" ref="AK48">
      <text>
        <t xml:space="preserve">======
ID#AAAA4oMDBaA
Katie    (2023-09-04 12:29:19)
Put an "X" in this box if the team did not field a pivot for this jam.</t>
      </text>
    </comment>
    <comment authorId="0" ref="AL4">
      <text>
        <t xml:space="preserve">======
ID#AAAA4oMDBZw
Katie    (2023-09-04 12:29:19)
Jammer numbers arrive here from the Score sheet. Make any corrections on the Score sheet, not here. 
Always double check your jams played on the "Game Summary" page when done.</t>
      </text>
    </comment>
    <comment authorId="0" ref="AL48">
      <text>
        <t xml:space="preserve">======
ID#AAAA4oMDBZo
Katie    (2023-09-04 12:29:19)
Jammer numbers arrive here from the Score sheet. Make any corrections on the Score sheet, not here. 
Always double check your jams played on the "Game Summary" page when done.</t>
      </text>
    </comment>
    <comment authorId="0" ref="C48">
      <text>
        <t xml:space="preserve">======
ID#AAAA4oMDBY8
Katie    (2023-09-04 12:29:19)
Jammer numbers arrive here from the Score sheet. Make any corrections on the Score sheet, not here. 
Always double check your jams played on the "Game Summary" page when done.</t>
      </text>
    </comment>
    <comment authorId="0" ref="AJ4">
      <text>
        <t xml:space="preserve">======
ID#AAAA4oMDBYg
Tip    (2023-09-04 12:29:19)
Write in jam number as you go. For Star Passes,  write SP on next line and rewrite the lineup with Jammer and Pivot swapped.</t>
      </text>
    </comment>
    <comment authorId="0" ref="C4">
      <text>
        <t xml:space="preserve">======
ID#AAAA4oMDBYU
Katie    (2023-09-04 12:29:19)
Jammer numbers arrive here from the Score sheet. Make any corrections on the Score sheet, not here. 
Always double check your jams played on the "Game Summary" page when done.</t>
      </text>
    </comment>
    <comment authorId="0" ref="B4">
      <text>
        <t xml:space="preserve">======
ID#AAAA4oMDBX4
Katie    (2023-09-04 12:29:19)
Put an "X" in this box if the team did not field a pivot for this jam.</t>
      </text>
    </comment>
  </commentList>
  <extLst>
    <ext uri="GoogleSheetsCustomDataVersion2">
      <go:sheetsCustomData xmlns:go="http://customooxmlschemas.google.com/" r:id="rId1" roundtripDataSignature="AMtx7mie1o9AIo6vpLj4wwE34w8U3QHWT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ID#AAAA4oMDBbU
Hint    (2023-09-04 12:29:19)
Performance in comparison to own team's other blockers and pivots.</t>
      </text>
    </comment>
    <comment authorId="0" ref="AK5">
      <text>
        <t xml:space="preserve">======
ID#AAAA4oMDBbM
G Hanek    (2023-09-04 12:29:19)
Average number of VTAR points scored for (+ number) or against (- number) the team when this skater was playing.</t>
      </text>
    </comment>
    <comment authorId="0" ref="AE5">
      <text>
        <t xml:space="preserve">======
ID#AAAA4oMDBbI
G Hanek    (2023-09-04 12:29:19)
How the team did defensively (lower being better) while this skater was playing.</t>
      </text>
    </comment>
    <comment authorId="0" ref="AD27">
      <text>
        <t xml:space="preserve">======
ID#AAAA4oMDBas
G Hanek    (2023-09-04 12:29:19)
How the team did offensively (higher being better)while this skater was playing.</t>
      </text>
    </comment>
    <comment authorId="0" ref="AJ27">
      <text>
        <t xml:space="preserve">======
ID#AAAA4oMDBag
Hint    (2023-09-04 12:29:19)
Performance in comparison to own team's other blockers and pivots.</t>
      </text>
    </comment>
    <comment authorId="0" ref="AG5">
      <text>
        <t xml:space="preserve">======
ID#AAAA4oMDBac
Hint    (2023-09-04 12:29:19)
Performance in comparison to own team's other jammers</t>
      </text>
    </comment>
    <comment authorId="0" ref="AI5">
      <text>
        <t xml:space="preserve">======
ID#AAAA4oMDBaY
Hint    (2023-09-04 12:29:19)
Performance in comparison to own team's other blockers.</t>
      </text>
    </comment>
    <comment authorId="0" ref="AE27">
      <text>
        <t xml:space="preserve">======
ID#AAAA4oMDBZc
G Hanek    (2023-09-04 12:29:19)
How the team did defensively (lower being better) while this skater was playing.</t>
      </text>
    </comment>
    <comment authorId="0" ref="AG27">
      <text>
        <t xml:space="preserve">======
ID#AAAA4oMDBZk
Hint    (2023-09-04 12:29:19)
Performance in comparison to own team's other jammers</t>
      </text>
    </comment>
    <comment authorId="0" ref="AF27">
      <text>
        <t xml:space="preserve">======
ID#AAAA4oMDBZM
G Hanek    (2023-09-04 12:29:19)
Total number of VTAR points scored for (+ number) or against (- number) the team when this skater was playing.</t>
      </text>
    </comment>
    <comment authorId="0" ref="AH5">
      <text>
        <t xml:space="preserve">======
ID#AAAA4oMDBZI
Hint    (2023-09-04 12:29:19)
Performance in comparison to own team's other pivots.</t>
      </text>
    </comment>
    <comment authorId="0" ref="AH27">
      <text>
        <t xml:space="preserve">======
ID#AAAA4oMDBY0
Hint    (2023-09-04 12:29:19)
Performance in comparison to own team's other pivots.</t>
      </text>
    </comment>
    <comment authorId="0" ref="AK27">
      <text>
        <t xml:space="preserve">======
ID#AAAA4oMDBYo
G Hanek    (2023-09-04 12:29:19)
Average number of VTAR points scored for (+ number) or against (- number) the team when this skater was playing.</t>
      </text>
    </comment>
    <comment authorId="0" ref="AF5">
      <text>
        <t xml:space="preserve">======
ID#AAAA4oMDBYk
G Hanek    (2023-09-04 12:29:19)
Total number of VTAR points scored for (+ number) or against (- number) the team when this skater was playing.
May vary wildly due to power jams.</t>
      </text>
    </comment>
    <comment authorId="0" ref="AI27">
      <text>
        <t xml:space="preserve">======
ID#AAAA4oMDBYI
Hint    (2023-09-04 12:29:19)
Performance in comparison to own team's other blockers.</t>
      </text>
    </comment>
    <comment authorId="0" ref="AD4">
      <text>
        <t xml:space="preserve">======
ID#AAAA4oMDBYA
    (2023-09-04 12:29:19)
VTAR: "Versus Team Average Rating"
Skater's stats as compared to their team's average in that category.
Team's average is the average of each skater's average.</t>
      </text>
    </comment>
    <comment authorId="0" ref="AD5">
      <text>
        <t xml:space="preserve">======
ID#AAAA4oMDBXs
G Hanek    (2023-09-04 12:29:19)
How the team did offensively (higher being better)while this skater was playing.</t>
      </text>
    </comment>
  </commentList>
  <extLst>
    <ext uri="GoogleSheetsCustomDataVersion2">
      <go:sheetsCustomData xmlns:go="http://customooxmlschemas.google.com/" r:id="rId1" roundtripDataSignature="AMtx7mjXwo2DWMea5VyWIH1SKT0kGeeyS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ID#AAAA4oMDBbY
Anon    (2023-09-04 12:29:19)
This total includes bench staff expulsions.</t>
      </text>
    </comment>
    <comment authorId="0" ref="X32">
      <text>
        <t xml:space="preserve">======
ID#AAAA4oMDBaI
Hint    (2023-09-04 12:29:19)
Smaller is better</t>
      </text>
    </comment>
    <comment authorId="0" ref="V25">
      <text>
        <t xml:space="preserve">======
ID#AAAA4oMDBaE
Anon    (2023-09-04 12:29:19)
This total includes bench staff expulsions.</t>
      </text>
    </comment>
    <comment authorId="0" ref="X3">
      <text>
        <t xml:space="preserve">======
ID#AAAA4oMDBYM
Hint    (2023-09-04 12:29:19)
Smaller is better</t>
      </text>
    </comment>
    <comment authorId="0" ref="V27">
      <text>
        <t xml:space="preserve">======
ID#AAAA4oMDBYE
Anon    (2023-09-04 12:29:19)
This total includes bench staff expulsions.</t>
      </text>
    </comment>
  </commentList>
  <extLst>
    <ext uri="GoogleSheetsCustomDataVersion2">
      <go:sheetsCustomData xmlns:go="http://customooxmlschemas.google.com/" r:id="rId1" roundtripDataSignature="AMtx7miiXeqQJg9iO14RKKQaCspvgWBhU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ID#AAAA4oMDBbA
G Hanek    (2023-09-04 12:29:19)
Enter a description of the reason for the offset change to the Official Score.</t>
      </text>
    </comment>
    <comment authorId="0" ref="I3">
      <text>
        <t xml:space="preserve">======
ID#AAAA4oMDBak
G Hanek    (2023-09-04 12:29:19)
Enter an increment to the Official Score as a positive whole number (e.g., "2").
Subtractions should be entered as negative numbers (e.g., "-2"). Negative values will be displayed in parenthesis in red.</t>
      </text>
    </comment>
    <comment authorId="0" ref="B3">
      <text>
        <t xml:space="preserve">======
ID#AAAA4oMDBZ4
G Hanek    (2023-09-04 12:29:19)
Enter an increment to the Official Score as a positive whole number (e.g., "2").
Subtractions should be entered as negative numbers (e.g., "-2"). Negative values will be displayed in parenthesis in red.</t>
      </text>
    </comment>
    <comment authorId="0" ref="J45">
      <text>
        <t xml:space="preserve">======
ID#AAAA4oMDBY4
G Hanek    (2023-09-04 12:29:19)
Enter a description of the reason for the offset change to the Official Score.</t>
      </text>
    </comment>
    <comment authorId="0" ref="J3">
      <text>
        <t xml:space="preserve">======
ID#AAAA4oMDBYc
G Hanek    (2023-09-04 12:29:19)
Enter a description of the reason for the offset change to the Official Score.</t>
      </text>
    </comment>
    <comment authorId="0" ref="C45">
      <text>
        <t xml:space="preserve">======
ID#AAAA4oMDBYY
G Hanek    (2023-09-04 12:29:19)
Enter a description of the reason for the offset change to the Official Score.</t>
      </text>
    </comment>
    <comment authorId="0" ref="I45">
      <text>
        <t xml:space="preserve">======
ID#AAAA4oMDBXw
G Hanek    (2023-09-04 12:29:19)
Enter an increment to the Official Score as a positive whole number (e.g., "2").
Subtractions should be entered as negative numbers (e.g., "-2"). Negative values will be displayed in parenthesis in red.</t>
      </text>
    </comment>
    <comment authorId="0" ref="B45">
      <text>
        <t xml:space="preserve">======
ID#AAAA4oMDBXo
G Hanek    (2023-09-04 12:29:19)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5oPqEwgw/3ju5jnOlcDZUo52K3w=="/>
    </ext>
  </extLst>
</comments>
</file>

<file path=xl/sharedStrings.xml><?xml version="1.0" encoding="utf-8"?>
<sst xmlns="http://schemas.openxmlformats.org/spreadsheetml/2006/main" count="2528" uniqueCount="641">
  <si>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</si>
  <si>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</si>
  <si>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</si>
  <si>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</si>
  <si>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</si>
  <si>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</si>
  <si>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</si>
  <si>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</si>
  <si>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</si>
  <si>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</si>
  <si>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</si>
  <si>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</si>
  <si>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</si>
  <si>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</si>
  <si>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</si>
  <si>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</si>
  <si>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</si>
  <si>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</si>
  <si>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</si>
  <si>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</si>
  <si>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</si>
  <si>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</si>
  <si>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</si>
  <si>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</si>
  <si>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</si>
  <si>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Depot</t>
  </si>
  <si>
    <t>Salt Lake City</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</si>
  <si>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</si>
  <si>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</si>
  <si>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</si>
  <si>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</si>
  <si>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</si>
  <si>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</si>
  <si>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</si>
  <si>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</si>
  <si>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</si>
  <si>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</si>
  <si>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</si>
  <si>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</si>
  <si>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</si>
  <si>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</si>
  <si>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</si>
  <si>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</si>
  <si>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</si>
  <si>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</si>
  <si>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</si>
  <si>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Rose City Rollers</t>
  </si>
  <si>
    <t>TEAM</t>
  </si>
  <si>
    <t>Mile High Club</t>
  </si>
  <si>
    <t>Rose City Rollers: Axles of Annihilation</t>
  </si>
  <si>
    <t>COLOR</t>
  </si>
  <si>
    <t>Blue</t>
  </si>
  <si>
    <t>White</t>
  </si>
  <si>
    <t># of players</t>
  </si>
  <si>
    <t xml:space="preserve"> Skater #</t>
  </si>
  <si>
    <t xml:space="preserve"> Skater Name</t>
  </si>
  <si>
    <t>10</t>
  </si>
  <si>
    <t>Unprotected Lex</t>
  </si>
  <si>
    <t>11</t>
  </si>
  <si>
    <t>Bertha Beatdown</t>
  </si>
  <si>
    <t>1706</t>
  </si>
  <si>
    <t>Maven</t>
  </si>
  <si>
    <t>128</t>
  </si>
  <si>
    <t>Carl</t>
  </si>
  <si>
    <t>2</t>
  </si>
  <si>
    <t>Taryn</t>
  </si>
  <si>
    <t>139</t>
  </si>
  <si>
    <t>Katie Postma</t>
  </si>
  <si>
    <t>22</t>
  </si>
  <si>
    <t>Scara to Death</t>
  </si>
  <si>
    <t>Habanero Romero</t>
  </si>
  <si>
    <t>27</t>
  </si>
  <si>
    <t>Gobrecht</t>
  </si>
  <si>
    <t>241</t>
  </si>
  <si>
    <t>Lilly Pate</t>
  </si>
  <si>
    <t>33</t>
  </si>
  <si>
    <t>Klein</t>
  </si>
  <si>
    <t>316</t>
  </si>
  <si>
    <t>Eve Anne Hellical</t>
  </si>
  <si>
    <t>357</t>
  </si>
  <si>
    <t>Bia Fraid</t>
  </si>
  <si>
    <t>343</t>
  </si>
  <si>
    <t>Trinity</t>
  </si>
  <si>
    <t>40</t>
  </si>
  <si>
    <t>speedlejuice</t>
  </si>
  <si>
    <t>360</t>
  </si>
  <si>
    <t>Big Bang Fury</t>
  </si>
  <si>
    <t>50</t>
  </si>
  <si>
    <t>Scald Eagle</t>
  </si>
  <si>
    <t>37</t>
  </si>
  <si>
    <t>Swagetha</t>
  </si>
  <si>
    <t>505</t>
  </si>
  <si>
    <t>Elyse LeKraken</t>
  </si>
  <si>
    <t>39</t>
  </si>
  <si>
    <t>Gaffney</t>
  </si>
  <si>
    <t>8000</t>
  </si>
  <si>
    <t>Killifornia</t>
  </si>
  <si>
    <t>48</t>
  </si>
  <si>
    <t>Brute</t>
  </si>
  <si>
    <t>90</t>
  </si>
  <si>
    <t>Wee Bonnie Bruiser</t>
  </si>
  <si>
    <t>700</t>
  </si>
  <si>
    <t>Springroll</t>
  </si>
  <si>
    <t>919</t>
  </si>
  <si>
    <t>Grizz</t>
  </si>
  <si>
    <t>71</t>
  </si>
  <si>
    <t>Danger Potato</t>
  </si>
  <si>
    <t>949</t>
  </si>
  <si>
    <t>Coyote</t>
  </si>
  <si>
    <t>79</t>
  </si>
  <si>
    <t>Lil RegulateHer</t>
  </si>
  <si>
    <t>99</t>
  </si>
  <si>
    <t>Chinaski</t>
  </si>
  <si>
    <t>89</t>
  </si>
  <si>
    <t>High Roller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</si>
  <si>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</si>
  <si>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</si>
  <si>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</si>
  <si>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</si>
  <si>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</si>
  <si>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</si>
  <si>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</si>
  <si>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</si>
  <si>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</si>
  <si>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</si>
  <si>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</si>
  <si>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</si>
  <si>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</si>
  <si>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</si>
  <si>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</si>
  <si>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</si>
  <si>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</si>
  <si>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</si>
  <si>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</si>
  <si>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</si>
  <si>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</si>
  <si>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</si>
  <si>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</si>
  <si>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</si>
  <si>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</si>
  <si>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</si>
  <si>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</si>
  <si>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</si>
  <si>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</si>
  <si>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</si>
  <si>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Dee Wrex</t>
  </si>
  <si>
    <t>Penalty Tracker</t>
  </si>
  <si>
    <t>Penalty Wrangler</t>
  </si>
  <si>
    <t>Inside Whiteboard Operator</t>
  </si>
  <si>
    <t>Jam Timer</t>
  </si>
  <si>
    <t>Glen Coco</t>
  </si>
  <si>
    <t>Scorekeeper</t>
  </si>
  <si>
    <t>Mr. Yve</t>
  </si>
  <si>
    <t>Sting Rei</t>
  </si>
  <si>
    <t>ScoreBoard Operator</t>
  </si>
  <si>
    <t>Poison Envy</t>
  </si>
  <si>
    <t>Penalty Box Manager</t>
  </si>
  <si>
    <t>Not Your Mom</t>
  </si>
  <si>
    <t>Penalty Box Timer</t>
  </si>
  <si>
    <t>Gypsy</t>
  </si>
  <si>
    <t>Slam-I-Am</t>
  </si>
  <si>
    <t>Lineup Tracker</t>
  </si>
  <si>
    <t>Whamdalf</t>
  </si>
  <si>
    <t>Non-Skating Official Alternate</t>
  </si>
  <si>
    <t>Goldy Knocks</t>
  </si>
  <si>
    <t>Period Timer</t>
  </si>
  <si>
    <t>Kira Duncan</t>
  </si>
  <si>
    <t>Inside Pack Referee</t>
  </si>
  <si>
    <t>Allyn UR Grill</t>
  </si>
  <si>
    <t>Jammer Referee</t>
  </si>
  <si>
    <t>Margie Ram</t>
  </si>
  <si>
    <t>G'Innes</t>
  </si>
  <si>
    <t>Outside Pack Referee</t>
  </si>
  <si>
    <t>Darth Bling</t>
  </si>
  <si>
    <t>Daemon Mistress</t>
  </si>
  <si>
    <t>Adam Splitter</t>
  </si>
  <si>
    <t>Referee Alternate</t>
  </si>
  <si>
    <t>Toe Cutter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</si>
  <si>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</si>
  <si>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</si>
  <si>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</si>
  <si>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</si>
  <si>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</si>
  <si>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</si>
  <si>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</si>
  <si>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</si>
  <si>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</si>
  <si>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</si>
  <si>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</si>
  <si>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</si>
  <si>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</si>
  <si>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</si>
  <si>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</si>
  <si>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</si>
  <si>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</si>
  <si>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</si>
  <si>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</si>
  <si>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</si>
  <si>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</si>
  <si>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</si>
  <si>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</si>
  <si>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</si>
  <si>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</si>
  <si>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</si>
  <si>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</si>
  <si>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</si>
  <si>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</si>
  <si>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</si>
  <si>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</si>
  <si>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</si>
  <si>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</si>
  <si>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</si>
  <si>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P</t>
  </si>
  <si>
    <t>(Gross)</t>
  </si>
  <si>
    <t>F</t>
  </si>
  <si>
    <t>D</t>
  </si>
  <si>
    <t>Misconduct</t>
  </si>
  <si>
    <t>X</t>
  </si>
  <si>
    <t>Insubordination</t>
  </si>
  <si>
    <t>A</t>
  </si>
  <si>
    <t>High Block</t>
  </si>
  <si>
    <t>B</t>
  </si>
  <si>
    <t>H</t>
  </si>
  <si>
    <t>Back Block</t>
  </si>
  <si>
    <t>..</t>
  </si>
  <si>
    <t>L</t>
  </si>
  <si>
    <t>M</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</si>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</sst>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68</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114</v>
      </c>
      <c r="D36" s="123" t="s">
        <v>120</v>
      </c>
      <c r="E36" s="124"/>
      <c r="F36" s="125">
        <f>IF(COUNT(Score!A4:A41)=0,"",Penalties!L44)</f>
        <v>12</v>
      </c>
      <c r="G36" s="87"/>
      <c r="H36" s="120" t="s">
        <v>118</v>
      </c>
      <c r="I36" s="121" t="s">
        <v>119</v>
      </c>
      <c r="J36" s="122">
        <f>IF(COUNT(Score!T4:T41)=0,"",Score!AK42)</f>
        <v>28</v>
      </c>
      <c r="K36" s="123" t="s">
        <v>120</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114</v>
      </c>
      <c r="D37" s="123" t="s">
        <v>120</v>
      </c>
      <c r="E37" s="124"/>
      <c r="F37" s="125">
        <f>IF(COUNT(Score!A46:A83)=0,"",Penalties!AN44)</f>
        <v>8</v>
      </c>
      <c r="G37" s="87"/>
      <c r="H37" s="120" t="s">
        <v>121</v>
      </c>
      <c r="I37" s="121" t="s">
        <v>119</v>
      </c>
      <c r="J37" s="122">
        <f>IF(COUNT(Score!T46:T83)=0,"",Score!AK84-J36)</f>
        <v>29</v>
      </c>
      <c r="K37" s="123" t="s">
        <v>120</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228</v>
      </c>
      <c r="D38" s="128" t="s">
        <v>123</v>
      </c>
      <c r="E38" s="129"/>
      <c r="F38" s="130">
        <f>IF(COUNT(Score!A4:A41)=0,"",SUM(F36:F37))</f>
        <v>20</v>
      </c>
      <c r="G38" s="64"/>
      <c r="H38" s="131" t="s">
        <v>122</v>
      </c>
      <c r="I38" s="61"/>
      <c r="J38" s="127">
        <f>IF(COUNT(Score!T4:T41)=0,"",SUM(J36:J37))</f>
        <v>57</v>
      </c>
      <c r="K38" s="128" t="s">
        <v>123</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tr">
        <f>IF(ISBLANK(C80), "", C80)</f>
        <v>Kira Duncan</v>
      </c>
      <c r="C53" s="86"/>
      <c r="D53" s="86"/>
      <c r="E53" s="86"/>
      <c r="F53" s="87"/>
      <c r="G53" s="162" t="s">
        <v>132</v>
      </c>
      <c r="H53" s="55"/>
      <c r="I53" s="85" t="str">
        <f>IF(ISBLANK(C60), "", C60)</f>
        <v>Dee Wrex</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144</v>
      </c>
      <c r="B60" s="112"/>
      <c r="C60" s="177" t="s">
        <v>145</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146</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147</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148</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149</v>
      </c>
      <c r="B64" s="185"/>
      <c r="C64" s="186" t="s">
        <v>150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151</v>
      </c>
      <c r="B65" s="180"/>
      <c r="C65" s="181" t="s">
        <v>152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151</v>
      </c>
      <c r="B66" s="112"/>
      <c r="C66" s="186" t="s">
        <v>153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154</v>
      </c>
      <c r="B67" s="180"/>
      <c r="C67" s="181" t="s">
        <v>155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156</v>
      </c>
      <c r="B68" s="112"/>
      <c r="C68" s="186" t="s">
        <v>157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158</v>
      </c>
      <c r="B69" s="180"/>
      <c r="C69" s="181" t="s">
        <v>159</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158</v>
      </c>
      <c r="B70" s="112"/>
      <c r="C70" s="186" t="s">
        <v>160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161</v>
      </c>
      <c r="B71" s="180"/>
      <c r="C71" s="181" t="s">
        <v>162</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161</v>
      </c>
      <c r="B72" s="112"/>
      <c r="C72" s="186" t="s">
        <v>145</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163</v>
      </c>
      <c r="B73" s="180"/>
      <c r="C73" s="181" t="s">
        <v>164</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166</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167</v>
      </c>
      <c r="B81" s="180"/>
      <c r="C81" s="181" t="s">
        <v>168</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169</v>
      </c>
      <c r="B82" s="112"/>
      <c r="C82" s="177" t="s">
        <v>170</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169</v>
      </c>
      <c r="B83" s="180"/>
      <c r="C83" s="181" t="s">
        <v>171</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172</v>
      </c>
      <c r="B84" s="112"/>
      <c r="C84" s="177" t="s">
        <v>173</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172</v>
      </c>
      <c r="B85" s="180"/>
      <c r="C85" s="181" t="s">
        <v>174</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172</v>
      </c>
      <c r="B86" s="112"/>
      <c r="C86" s="177" t="s">
        <v>175</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176</v>
      </c>
      <c r="B87" s="194"/>
      <c r="C87" s="181" t="s">
        <v>177</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Mile High Club</v>
      </c>
      <c r="B1" s="205"/>
      <c r="C1" s="205"/>
      <c r="D1" s="205"/>
      <c r="E1" s="205"/>
      <c r="F1" s="205"/>
      <c r="G1" s="205"/>
      <c r="H1" s="206"/>
      <c r="I1" s="207" t="str">
        <f>IF(ISBLANK(IGRF!$B$12), "", IGRF!$B$12)</f>
        <v>Blue</v>
      </c>
      <c r="J1" s="151"/>
      <c r="K1" s="208">
        <f>IF(ISBLANK(IGRF!$B$7), "", IGRF!$B$7)</f>
        <v>45108</v>
      </c>
      <c r="L1" s="209" t="s">
        <v>153</v>
      </c>
      <c r="M1" s="151"/>
      <c r="N1" s="151"/>
      <c r="O1" s="210" t="s">
        <v>170</v>
      </c>
      <c r="P1" s="168"/>
      <c r="Q1" s="211"/>
      <c r="R1" s="212">
        <v>1.0</v>
      </c>
      <c r="S1" s="213"/>
      <c r="T1" s="204" t="str">
        <f>IF(IGRF!$I$11="","Away Team",IF(IGRF!$B$10=IGRF!$I$10,IGRF!$I$11,IF(IGRF!$I$10=IGRF!$I$11,IGRF!$I$11,IF(OR(IGRF!$L$3="A",IGRF!$L$3="B"),IGRF!$I$10&amp;" "&amp;IGRF!$L$3,IGRF!$I$10&amp;" / "&amp;IGRF!$I$11))))</f>
        <v>Rose City Rollers / Rose City Rollers: Axles of Annihilation</v>
      </c>
      <c r="U1" s="205"/>
      <c r="V1" s="205"/>
      <c r="W1" s="205"/>
      <c r="X1" s="205"/>
      <c r="Y1" s="205"/>
      <c r="Z1" s="205"/>
      <c r="AA1" s="206"/>
      <c r="AB1" s="207" t="str">
        <f>IF(ISBLANK(IGRF!$I$12), "", IGRF!$I$12)</f>
        <v>White</v>
      </c>
      <c r="AC1" s="151"/>
      <c r="AD1" s="208">
        <f>IF(ISBLANK(IGRF!$B$7), "", IGRF!$B$7)</f>
        <v>45108</v>
      </c>
      <c r="AE1" s="209" t="s">
        <v>152</v>
      </c>
      <c r="AF1" s="151"/>
      <c r="AG1" s="151"/>
      <c r="AH1" s="210" t="s">
        <v>171</v>
      </c>
      <c r="AI1" s="168"/>
      <c r="AJ1" s="211"/>
      <c r="AK1" s="212">
        <v>1.0</v>
      </c>
      <c r="AL1" s="213"/>
    </row>
    <row r="2" ht="15.0" customHeight="1">
      <c r="A2" s="214"/>
      <c r="B2" s="20"/>
      <c r="C2" s="20"/>
      <c r="D2" s="20"/>
      <c r="E2" s="20"/>
      <c r="F2" s="20"/>
      <c r="G2" s="20"/>
      <c r="H2" s="156"/>
      <c r="I2" s="215" t="s">
        <v>179</v>
      </c>
      <c r="J2" s="71"/>
      <c r="K2" s="216" t="s">
        <v>180</v>
      </c>
      <c r="L2" s="215" t="s">
        <v>151</v>
      </c>
      <c r="M2" s="71"/>
      <c r="N2" s="71"/>
      <c r="O2" s="217" t="s">
        <v>181</v>
      </c>
      <c r="P2" s="71"/>
      <c r="Q2" s="72"/>
      <c r="R2" s="218" t="str">
        <f>IF(ISBLANK(IGRF!$L$3), "", "GAME " &amp; IGRF!$L$3)</f>
        <v>GAME 1</v>
      </c>
      <c r="S2" s="213"/>
      <c r="T2" s="214"/>
      <c r="U2" s="20"/>
      <c r="V2" s="20"/>
      <c r="W2" s="20"/>
      <c r="X2" s="20"/>
      <c r="Y2" s="20"/>
      <c r="Z2" s="20"/>
      <c r="AA2" s="156"/>
      <c r="AB2" s="215" t="s">
        <v>179</v>
      </c>
      <c r="AC2" s="71"/>
      <c r="AD2" s="216" t="s">
        <v>180</v>
      </c>
      <c r="AE2" s="215" t="s">
        <v>151</v>
      </c>
      <c r="AF2" s="71"/>
      <c r="AG2" s="71"/>
      <c r="AH2" s="217" t="s">
        <v>181</v>
      </c>
      <c r="AI2" s="71"/>
      <c r="AJ2" s="72"/>
      <c r="AK2" s="218" t="str">
        <f>IF(ISBLANK(IGRF!$L$3), "", "GAME " &amp; IGRF!$L$3)</f>
        <v>GAME 1</v>
      </c>
      <c r="AL2" s="213"/>
    </row>
    <row r="3" ht="35.25" customHeight="1">
      <c r="A3" s="219" t="s">
        <v>182</v>
      </c>
      <c r="B3" s="220" t="s">
        <v>183</v>
      </c>
      <c r="C3" s="221" t="s">
        <v>184</v>
      </c>
      <c r="D3" s="222" t="s">
        <v>185</v>
      </c>
      <c r="E3" s="222" t="s">
        <v>186</v>
      </c>
      <c r="F3" s="222" t="s">
        <v>187</v>
      </c>
      <c r="G3" s="223" t="s">
        <v>188</v>
      </c>
      <c r="H3" s="219" t="s">
        <v>189</v>
      </c>
      <c r="I3" s="224" t="s">
        <v>190</v>
      </c>
      <c r="J3" s="224" t="s">
        <v>191</v>
      </c>
      <c r="K3" s="224" t="s">
        <v>192</v>
      </c>
      <c r="L3" s="224" t="s">
        <v>193</v>
      </c>
      <c r="M3" s="224" t="s">
        <v>194</v>
      </c>
      <c r="N3" s="224" t="s">
        <v>195</v>
      </c>
      <c r="O3" s="224" t="s">
        <v>196</v>
      </c>
      <c r="P3" s="224" t="s">
        <v>197</v>
      </c>
      <c r="Q3" s="225" t="s">
        <v>198</v>
      </c>
      <c r="R3" s="226" t="s">
        <v>199</v>
      </c>
      <c r="S3" s="227" t="s">
        <v>200</v>
      </c>
      <c r="T3" s="219" t="s">
        <v>182</v>
      </c>
      <c r="U3" s="220" t="s">
        <v>183</v>
      </c>
      <c r="V3" s="221" t="s">
        <v>184</v>
      </c>
      <c r="W3" s="222" t="s">
        <v>185</v>
      </c>
      <c r="X3" s="222" t="s">
        <v>186</v>
      </c>
      <c r="Y3" s="222" t="s">
        <v>187</v>
      </c>
      <c r="Z3" s="223" t="s">
        <v>188</v>
      </c>
      <c r="AA3" s="219" t="s">
        <v>189</v>
      </c>
      <c r="AB3" s="224" t="s">
        <v>190</v>
      </c>
      <c r="AC3" s="224" t="s">
        <v>191</v>
      </c>
      <c r="AD3" s="224" t="s">
        <v>192</v>
      </c>
      <c r="AE3" s="224" t="s">
        <v>193</v>
      </c>
      <c r="AF3" s="224" t="s">
        <v>194</v>
      </c>
      <c r="AG3" s="224" t="s">
        <v>195</v>
      </c>
      <c r="AH3" s="224" t="s">
        <v>196</v>
      </c>
      <c r="AI3" s="224" t="s">
        <v>197</v>
      </c>
      <c r="AJ3" s="225" t="s">
        <v>198</v>
      </c>
      <c r="AK3" s="226" t="s">
        <v>199</v>
      </c>
      <c r="AL3" s="227" t="s">
        <v>200</v>
      </c>
    </row>
    <row r="4" ht="33.75" customHeight="1">
      <c r="A4" s="228">
        <v>1.0</v>
      </c>
      <c r="B4" s="229" t="s">
        <v>60</v>
      </c>
      <c r="C4" s="230"/>
      <c r="D4" s="231" t="s">
        <v>201</v>
      </c>
      <c r="E4" s="231" t="s">
        <v>201</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77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75</v>
      </c>
      <c r="C5" s="240"/>
      <c r="D5" s="242" t="s">
        <v>201</v>
      </c>
      <c r="E5" s="242" t="s">
        <v>201</v>
      </c>
      <c r="F5" s="242"/>
      <c r="G5" s="243"/>
      <c r="H5" s="228">
        <v>2.0</v>
      </c>
      <c r="I5" s="244"/>
      <c r="J5" s="244"/>
      <c r="K5" s="244"/>
      <c r="L5" s="244"/>
      <c r="M5" s="244"/>
      <c r="N5" s="244"/>
      <c r="O5" s="244"/>
      <c r="P5" s="245"/>
      <c r="Q5" s="246">
        <f t="shared" si="1"/>
        <v>2</v>
      </c>
      <c r="R5" s="247">
        <f>IF(Q5="","",Q5+R4+'OS Offset'!B5)</f>
        <v>6</v>
      </c>
      <c r="S5" s="248">
        <f t="shared" si="2"/>
        <v>1</v>
      </c>
      <c r="T5" s="240">
        <v>2.0</v>
      </c>
      <c r="U5" s="249" t="s">
        <v>109</v>
      </c>
      <c r="V5" s="240"/>
      <c r="W5" s="242"/>
      <c r="X5" s="242"/>
      <c r="Y5" s="242"/>
      <c r="Z5" s="243" t="s">
        <v>201</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87</v>
      </c>
      <c r="C6" s="228"/>
      <c r="D6" s="244" t="s">
        <v>201</v>
      </c>
      <c r="E6" s="244" t="s">
        <v>201</v>
      </c>
      <c r="F6" s="244"/>
      <c r="G6" s="251"/>
      <c r="H6" s="252">
        <v>1.0</v>
      </c>
      <c r="I6" s="253"/>
      <c r="J6" s="253"/>
      <c r="K6" s="253"/>
      <c r="L6" s="253"/>
      <c r="M6" s="253"/>
      <c r="N6" s="253"/>
      <c r="O6" s="253"/>
      <c r="P6" s="254"/>
      <c r="Q6" s="255">
        <f t="shared" si="1"/>
        <v>1</v>
      </c>
      <c r="R6" s="247">
        <f>IF(Q6="","",Q6+R5+'OS Offset'!B6)</f>
        <v>7</v>
      </c>
      <c r="S6" s="248">
        <f t="shared" si="2"/>
        <v>1</v>
      </c>
      <c r="T6" s="228">
        <v>3.0</v>
      </c>
      <c r="U6" s="256" t="s">
        <v>101</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60</v>
      </c>
      <c r="C7" s="240"/>
      <c r="D7" s="242"/>
      <c r="E7" s="242"/>
      <c r="F7" s="242"/>
      <c r="G7" s="243"/>
      <c r="H7" s="228">
        <v>0.0</v>
      </c>
      <c r="I7" s="244"/>
      <c r="J7" s="244"/>
      <c r="K7" s="244"/>
      <c r="L7" s="244"/>
      <c r="M7" s="244"/>
      <c r="N7" s="244"/>
      <c r="O7" s="244"/>
      <c r="P7" s="245"/>
      <c r="Q7" s="246">
        <f t="shared" si="1"/>
        <v>0</v>
      </c>
      <c r="R7" s="247">
        <f>IF(Q7="","",Q7+R6+'OS Offset'!B7)</f>
        <v>7</v>
      </c>
      <c r="S7" s="248">
        <f t="shared" si="2"/>
        <v>1</v>
      </c>
      <c r="T7" s="264">
        <v>4.0</v>
      </c>
      <c r="U7" s="265" t="s">
        <v>81</v>
      </c>
      <c r="V7" s="264"/>
      <c r="W7" s="266" t="s">
        <v>201</v>
      </c>
      <c r="X7" s="266" t="s">
        <v>201</v>
      </c>
      <c r="Y7" s="266"/>
      <c r="Z7" s="267"/>
      <c r="AA7" s="257">
        <v>4.0</v>
      </c>
      <c r="AB7" s="258">
        <v>0.0</v>
      </c>
      <c r="AC7" s="258"/>
      <c r="AD7" s="258"/>
      <c r="AE7" s="258"/>
      <c r="AF7" s="258"/>
      <c r="AG7" s="258"/>
      <c r="AH7" s="258"/>
      <c r="AI7" s="268"/>
      <c r="AJ7" s="269">
        <f t="shared" si="3"/>
        <v>4</v>
      </c>
      <c r="AK7" s="247">
        <f>IF(AJ7="","",AJ7+AK6+'OS Offset'!I7)</f>
        <v>4</v>
      </c>
      <c r="AL7" s="248">
        <f t="shared" si="4"/>
        <v>2</v>
      </c>
    </row>
    <row r="8" ht="33.75" customHeight="1">
      <c r="A8" s="228">
        <v>5.0</v>
      </c>
      <c r="B8" s="250" t="s">
        <v>75</v>
      </c>
      <c r="C8" s="228"/>
      <c r="D8" s="244"/>
      <c r="E8" s="244"/>
      <c r="F8" s="244"/>
      <c r="G8" s="251"/>
      <c r="H8" s="252">
        <v>0.0</v>
      </c>
      <c r="I8" s="253"/>
      <c r="J8" s="253"/>
      <c r="K8" s="253"/>
      <c r="L8" s="253"/>
      <c r="M8" s="253"/>
      <c r="N8" s="253"/>
      <c r="O8" s="253"/>
      <c r="P8" s="254"/>
      <c r="Q8" s="255">
        <f t="shared" si="1"/>
        <v>0</v>
      </c>
      <c r="R8" s="247">
        <f>IF(Q8="","",Q8+R7+'OS Offset'!B8)</f>
        <v>7</v>
      </c>
      <c r="S8" s="248">
        <f t="shared" si="2"/>
        <v>1</v>
      </c>
      <c r="T8" s="228">
        <v>5.0</v>
      </c>
      <c r="U8" s="256" t="s">
        <v>77</v>
      </c>
      <c r="V8" s="257"/>
      <c r="W8" s="258" t="s">
        <v>201</v>
      </c>
      <c r="X8" s="258" t="s">
        <v>201</v>
      </c>
      <c r="Y8" s="258"/>
      <c r="Z8" s="259"/>
      <c r="AA8" s="260">
        <v>4.0</v>
      </c>
      <c r="AB8" s="261"/>
      <c r="AC8" s="261"/>
      <c r="AD8" s="261"/>
      <c r="AE8" s="261"/>
      <c r="AF8" s="261"/>
      <c r="AG8" s="261"/>
      <c r="AH8" s="261"/>
      <c r="AI8" s="262"/>
      <c r="AJ8" s="263">
        <f t="shared" si="3"/>
        <v>4</v>
      </c>
      <c r="AK8" s="247">
        <f>IF(AJ8="","",AJ8+AK7+'OS Offset'!I8)</f>
        <v>8</v>
      </c>
      <c r="AL8" s="248">
        <f t="shared" si="4"/>
        <v>1</v>
      </c>
    </row>
    <row r="9" ht="33.75" customHeight="1">
      <c r="A9" s="240">
        <v>6.0</v>
      </c>
      <c r="B9" s="241" t="s">
        <v>87</v>
      </c>
      <c r="C9" s="240"/>
      <c r="D9" s="242"/>
      <c r="E9" s="242"/>
      <c r="F9" s="242"/>
      <c r="G9" s="243"/>
      <c r="H9" s="228">
        <v>0.0</v>
      </c>
      <c r="I9" s="244"/>
      <c r="J9" s="244"/>
      <c r="K9" s="244"/>
      <c r="L9" s="244"/>
      <c r="M9" s="244"/>
      <c r="N9" s="244"/>
      <c r="O9" s="244"/>
      <c r="P9" s="245"/>
      <c r="Q9" s="246">
        <f t="shared" si="1"/>
        <v>0</v>
      </c>
      <c r="R9" s="247">
        <f>IF(Q9="","",Q9+R8+'OS Offset'!B9)</f>
        <v>7</v>
      </c>
      <c r="S9" s="248">
        <f t="shared" si="2"/>
        <v>1</v>
      </c>
      <c r="T9" s="264">
        <v>6.0</v>
      </c>
      <c r="U9" s="265" t="s">
        <v>109</v>
      </c>
      <c r="V9" s="264"/>
      <c r="W9" s="266" t="s">
        <v>201</v>
      </c>
      <c r="X9" s="266" t="s">
        <v>201</v>
      </c>
      <c r="Y9" s="266"/>
      <c r="Z9" s="267"/>
      <c r="AA9" s="257">
        <v>3.0</v>
      </c>
      <c r="AB9" s="258"/>
      <c r="AC9" s="258"/>
      <c r="AD9" s="258"/>
      <c r="AE9" s="258"/>
      <c r="AF9" s="258"/>
      <c r="AG9" s="258"/>
      <c r="AH9" s="258"/>
      <c r="AI9" s="268"/>
      <c r="AJ9" s="269">
        <f t="shared" si="3"/>
        <v>3</v>
      </c>
      <c r="AK9" s="247">
        <f>IF(AJ9="","",AJ9+AK8+'OS Offset'!I9)</f>
        <v>11</v>
      </c>
      <c r="AL9" s="248">
        <f t="shared" si="4"/>
        <v>1</v>
      </c>
    </row>
    <row r="10" ht="33.75" customHeight="1">
      <c r="A10" s="228">
        <v>7.0</v>
      </c>
      <c r="B10" s="250" t="s">
        <v>87</v>
      </c>
      <c r="C10" s="228"/>
      <c r="D10" s="244"/>
      <c r="E10" s="244"/>
      <c r="F10" s="244"/>
      <c r="G10" s="251"/>
      <c r="H10" s="252">
        <v>0.0</v>
      </c>
      <c r="I10" s="253"/>
      <c r="J10" s="253"/>
      <c r="K10" s="253"/>
      <c r="L10" s="253"/>
      <c r="M10" s="253"/>
      <c r="N10" s="253"/>
      <c r="O10" s="253"/>
      <c r="P10" s="254"/>
      <c r="Q10" s="255">
        <f t="shared" si="1"/>
        <v>0</v>
      </c>
      <c r="R10" s="247">
        <f>IF(Q10="","",Q10+R9+'OS Offset'!B10)</f>
        <v>7</v>
      </c>
      <c r="S10" s="248">
        <f t="shared" si="2"/>
        <v>1</v>
      </c>
      <c r="T10" s="228">
        <v>7.0</v>
      </c>
      <c r="U10" s="256" t="s">
        <v>101</v>
      </c>
      <c r="V10" s="257"/>
      <c r="W10" s="258" t="s">
        <v>201</v>
      </c>
      <c r="X10" s="258" t="s">
        <v>201</v>
      </c>
      <c r="Y10" s="258"/>
      <c r="Z10" s="259"/>
      <c r="AA10" s="260">
        <v>2.0</v>
      </c>
      <c r="AB10" s="261"/>
      <c r="AC10" s="261"/>
      <c r="AD10" s="261"/>
      <c r="AE10" s="261"/>
      <c r="AF10" s="261"/>
      <c r="AG10" s="261"/>
      <c r="AH10" s="261"/>
      <c r="AI10" s="262"/>
      <c r="AJ10" s="263">
        <f t="shared" si="3"/>
        <v>2</v>
      </c>
      <c r="AK10" s="247">
        <f>IF(AJ10="","",AJ10+AK9+'OS Offset'!I10)</f>
        <v>13</v>
      </c>
      <c r="AL10" s="248">
        <f t="shared" si="4"/>
        <v>1</v>
      </c>
    </row>
    <row r="11" ht="33.75" customHeight="1">
      <c r="A11" s="240">
        <v>8.0</v>
      </c>
      <c r="B11" s="241" t="s">
        <v>60</v>
      </c>
      <c r="C11" s="240"/>
      <c r="D11" s="242" t="s">
        <v>201</v>
      </c>
      <c r="E11" s="242" t="s">
        <v>201</v>
      </c>
      <c r="F11" s="242"/>
      <c r="G11" s="243"/>
      <c r="H11" s="228">
        <v>4.0</v>
      </c>
      <c r="I11" s="244">
        <v>4.0</v>
      </c>
      <c r="J11" s="244">
        <v>2.0</v>
      </c>
      <c r="K11" s="244"/>
      <c r="L11" s="244"/>
      <c r="M11" s="244"/>
      <c r="N11" s="244"/>
      <c r="O11" s="244"/>
      <c r="P11" s="245"/>
      <c r="Q11" s="246">
        <f t="shared" si="1"/>
        <v>10</v>
      </c>
      <c r="R11" s="247">
        <f>IF(Q11="","",Q11+R10+'OS Offset'!B11)</f>
        <v>17</v>
      </c>
      <c r="S11" s="248">
        <f t="shared" si="2"/>
        <v>3</v>
      </c>
      <c r="T11" s="264">
        <v>8.0</v>
      </c>
      <c r="U11" s="265" t="s">
        <v>81</v>
      </c>
      <c r="V11" s="264"/>
      <c r="W11" s="266"/>
      <c r="X11" s="266"/>
      <c r="Y11" s="266"/>
      <c r="Z11" s="267"/>
      <c r="AA11" s="257">
        <v>0.0</v>
      </c>
      <c r="AB11" s="258"/>
      <c r="AC11" s="258"/>
      <c r="AD11" s="258"/>
      <c r="AE11" s="258"/>
      <c r="AF11" s="258"/>
      <c r="AG11" s="258"/>
      <c r="AH11" s="258"/>
      <c r="AI11" s="268"/>
      <c r="AJ11" s="269">
        <f t="shared" si="3"/>
        <v>0</v>
      </c>
      <c r="AK11" s="247">
        <f>IF(AJ11="","",AJ11+AK10+'OS Offset'!I11)</f>
        <v>13</v>
      </c>
      <c r="AL11" s="248">
        <f t="shared" si="4"/>
        <v>1</v>
      </c>
    </row>
    <row r="12" ht="33.75" customHeight="1">
      <c r="A12" s="228">
        <v>9.0</v>
      </c>
      <c r="B12" s="250" t="s">
        <v>75</v>
      </c>
      <c r="C12" s="228"/>
      <c r="D12" s="244" t="s">
        <v>201</v>
      </c>
      <c r="E12" s="244" t="s">
        <v>201</v>
      </c>
      <c r="F12" s="244"/>
      <c r="G12" s="251"/>
      <c r="H12" s="252">
        <v>4.0</v>
      </c>
      <c r="I12" s="253"/>
      <c r="J12" s="253"/>
      <c r="K12" s="253"/>
      <c r="L12" s="253"/>
      <c r="M12" s="253"/>
      <c r="N12" s="253"/>
      <c r="O12" s="253"/>
      <c r="P12" s="254"/>
      <c r="Q12" s="255">
        <f t="shared" si="1"/>
        <v>4</v>
      </c>
      <c r="R12" s="247">
        <f>IF(Q12="","",Q12+R11+'OS Offset'!B12)</f>
        <v>21</v>
      </c>
      <c r="S12" s="248">
        <f t="shared" si="2"/>
        <v>1</v>
      </c>
      <c r="T12" s="228">
        <v>9.0</v>
      </c>
      <c r="U12" s="256" t="s">
        <v>77</v>
      </c>
      <c r="V12" s="257"/>
      <c r="W12" s="258"/>
      <c r="X12" s="258"/>
      <c r="Y12" s="258"/>
      <c r="Z12" s="259"/>
      <c r="AA12" s="260">
        <v>0.0</v>
      </c>
      <c r="AB12" s="261"/>
      <c r="AC12" s="261"/>
      <c r="AD12" s="261"/>
      <c r="AE12" s="261"/>
      <c r="AF12" s="261"/>
      <c r="AG12" s="261"/>
      <c r="AH12" s="261"/>
      <c r="AI12" s="262"/>
      <c r="AJ12" s="263">
        <f t="shared" si="3"/>
        <v>0</v>
      </c>
      <c r="AK12" s="247">
        <f>IF(AJ12="","",AJ12+AK11+'OS Offset'!I12)</f>
        <v>13</v>
      </c>
      <c r="AL12" s="248">
        <f t="shared" si="4"/>
        <v>1</v>
      </c>
    </row>
    <row r="13" ht="33.75" customHeight="1">
      <c r="A13" s="240">
        <v>10.0</v>
      </c>
      <c r="B13" s="241" t="s">
        <v>87</v>
      </c>
      <c r="C13" s="240"/>
      <c r="D13" s="242" t="s">
        <v>201</v>
      </c>
      <c r="E13" s="242" t="s">
        <v>201</v>
      </c>
      <c r="F13" s="242"/>
      <c r="G13" s="243"/>
      <c r="H13" s="228">
        <v>4.0</v>
      </c>
      <c r="I13" s="244">
        <v>4.0</v>
      </c>
      <c r="J13" s="244"/>
      <c r="K13" s="244"/>
      <c r="L13" s="244"/>
      <c r="M13" s="244"/>
      <c r="N13" s="244"/>
      <c r="O13" s="244"/>
      <c r="P13" s="245"/>
      <c r="Q13" s="246">
        <f t="shared" si="1"/>
        <v>8</v>
      </c>
      <c r="R13" s="247">
        <f>IF(Q13="","",Q13+R12+'OS Offset'!B13)</f>
        <v>29</v>
      </c>
      <c r="S13" s="248">
        <f t="shared" si="2"/>
        <v>2</v>
      </c>
      <c r="T13" s="264">
        <v>10.0</v>
      </c>
      <c r="U13" s="265" t="s">
        <v>109</v>
      </c>
      <c r="V13" s="264"/>
      <c r="W13" s="266"/>
      <c r="X13" s="266"/>
      <c r="Y13" s="266"/>
      <c r="Z13" s="267"/>
      <c r="AA13" s="257">
        <v>0.0</v>
      </c>
      <c r="AB13" s="258"/>
      <c r="AC13" s="258"/>
      <c r="AD13" s="258"/>
      <c r="AE13" s="258"/>
      <c r="AF13" s="258"/>
      <c r="AG13" s="258"/>
      <c r="AH13" s="258"/>
      <c r="AI13" s="268"/>
      <c r="AJ13" s="269">
        <f t="shared" si="3"/>
        <v>0</v>
      </c>
      <c r="AK13" s="247">
        <f>IF(AJ13="","",AJ13+AK12+'OS Offset'!I13)</f>
        <v>13</v>
      </c>
      <c r="AL13" s="248">
        <f t="shared" si="4"/>
        <v>1</v>
      </c>
    </row>
    <row r="14" ht="33.75" customHeight="1">
      <c r="A14" s="228">
        <v>11.0</v>
      </c>
      <c r="B14" s="250" t="s">
        <v>60</v>
      </c>
      <c r="C14" s="228"/>
      <c r="D14" s="244" t="s">
        <v>201</v>
      </c>
      <c r="E14" s="244"/>
      <c r="F14" s="244"/>
      <c r="G14" s="251"/>
      <c r="H14" s="252">
        <v>4.0</v>
      </c>
      <c r="I14" s="253">
        <v>4.0</v>
      </c>
      <c r="J14" s="253"/>
      <c r="K14" s="253"/>
      <c r="L14" s="253"/>
      <c r="M14" s="253"/>
      <c r="N14" s="253"/>
      <c r="O14" s="253"/>
      <c r="P14" s="254"/>
      <c r="Q14" s="255">
        <f t="shared" si="1"/>
        <v>8</v>
      </c>
      <c r="R14" s="247">
        <f>IF(Q14="","",Q14+R13+'OS Offset'!B14)</f>
        <v>37</v>
      </c>
      <c r="S14" s="248">
        <f t="shared" si="2"/>
        <v>2</v>
      </c>
      <c r="T14" s="228">
        <v>11.0</v>
      </c>
      <c r="U14" s="256" t="s">
        <v>101</v>
      </c>
      <c r="V14" s="257"/>
      <c r="W14" s="258"/>
      <c r="X14" s="258"/>
      <c r="Y14" s="258"/>
      <c r="Z14" s="259"/>
      <c r="AA14" s="260">
        <v>0.0</v>
      </c>
      <c r="AB14" s="261"/>
      <c r="AC14" s="261"/>
      <c r="AD14" s="261"/>
      <c r="AE14" s="261"/>
      <c r="AF14" s="261"/>
      <c r="AG14" s="261"/>
      <c r="AH14" s="261"/>
      <c r="AI14" s="262"/>
      <c r="AJ14" s="263">
        <f t="shared" si="3"/>
        <v>0</v>
      </c>
      <c r="AK14" s="247">
        <f>IF(AJ14="","",AJ14+AK13+'OS Offset'!I14)</f>
        <v>13</v>
      </c>
      <c r="AL14" s="248">
        <f t="shared" si="4"/>
        <v>1</v>
      </c>
    </row>
    <row r="15" ht="33.75" customHeight="1">
      <c r="A15" s="240">
        <v>12.0</v>
      </c>
      <c r="B15" s="241" t="s">
        <v>75</v>
      </c>
      <c r="C15" s="240"/>
      <c r="D15" s="242"/>
      <c r="E15" s="242"/>
      <c r="F15" s="242"/>
      <c r="G15" s="243"/>
      <c r="H15" s="228">
        <v>0.0</v>
      </c>
      <c r="I15" s="244"/>
      <c r="J15" s="244"/>
      <c r="K15" s="244"/>
      <c r="L15" s="244"/>
      <c r="M15" s="244"/>
      <c r="N15" s="244"/>
      <c r="O15" s="244"/>
      <c r="P15" s="245"/>
      <c r="Q15" s="246">
        <f t="shared" si="1"/>
        <v>0</v>
      </c>
      <c r="R15" s="247">
        <f>IF(Q15="","",Q15+R14+'OS Offset'!B15)</f>
        <v>37</v>
      </c>
      <c r="S15" s="248">
        <f t="shared" si="2"/>
        <v>1</v>
      </c>
      <c r="T15" s="264">
        <v>12.0</v>
      </c>
      <c r="U15" s="265" t="s">
        <v>81</v>
      </c>
      <c r="V15" s="264"/>
      <c r="W15" s="266" t="s">
        <v>201</v>
      </c>
      <c r="X15" s="266" t="s">
        <v>201</v>
      </c>
      <c r="Y15" s="266"/>
      <c r="Z15" s="267"/>
      <c r="AA15" s="257">
        <v>4.0</v>
      </c>
      <c r="AB15" s="258"/>
      <c r="AC15" s="258"/>
      <c r="AD15" s="258"/>
      <c r="AE15" s="258"/>
      <c r="AF15" s="258"/>
      <c r="AG15" s="258"/>
      <c r="AH15" s="258"/>
      <c r="AI15" s="268"/>
      <c r="AJ15" s="269">
        <f t="shared" si="3"/>
        <v>4</v>
      </c>
      <c r="AK15" s="247">
        <f>IF(AJ15="","",AJ15+AK14+'OS Offset'!I15)</f>
        <v>17</v>
      </c>
      <c r="AL15" s="248">
        <f t="shared" si="4"/>
        <v>1</v>
      </c>
    </row>
    <row r="16" ht="33.75" customHeight="1">
      <c r="A16" s="228">
        <v>13.0</v>
      </c>
      <c r="B16" s="250" t="s">
        <v>87</v>
      </c>
      <c r="C16" s="228"/>
      <c r="D16" s="244" t="s">
        <v>201</v>
      </c>
      <c r="E16" s="244" t="s">
        <v>201</v>
      </c>
      <c r="F16" s="244"/>
      <c r="G16" s="251"/>
      <c r="H16" s="252">
        <v>4.0</v>
      </c>
      <c r="I16" s="253"/>
      <c r="J16" s="253"/>
      <c r="K16" s="253"/>
      <c r="L16" s="253"/>
      <c r="M16" s="253"/>
      <c r="N16" s="253"/>
      <c r="O16" s="253"/>
      <c r="P16" s="254"/>
      <c r="Q16" s="255">
        <f t="shared" si="1"/>
        <v>4</v>
      </c>
      <c r="R16" s="247">
        <f>IF(Q16="","",Q16+R15+'OS Offset'!B16)</f>
        <v>41</v>
      </c>
      <c r="S16" s="248">
        <f t="shared" si="2"/>
        <v>1</v>
      </c>
      <c r="T16" s="228">
        <v>13.0</v>
      </c>
      <c r="U16" s="256" t="s">
        <v>77</v>
      </c>
      <c r="V16" s="257"/>
      <c r="W16" s="258"/>
      <c r="X16" s="258"/>
      <c r="Y16" s="258"/>
      <c r="Z16" s="259"/>
      <c r="AA16" s="260">
        <v>0.0</v>
      </c>
      <c r="AB16" s="261"/>
      <c r="AC16" s="261"/>
      <c r="AD16" s="261"/>
      <c r="AE16" s="261"/>
      <c r="AF16" s="261"/>
      <c r="AG16" s="261"/>
      <c r="AH16" s="261"/>
      <c r="AI16" s="262"/>
      <c r="AJ16" s="263">
        <f t="shared" si="3"/>
        <v>0</v>
      </c>
      <c r="AK16" s="247">
        <f>IF(AJ16="","",AJ16+AK15+'OS Offset'!I16)</f>
        <v>17</v>
      </c>
      <c r="AL16" s="248">
        <f t="shared" si="4"/>
        <v>1</v>
      </c>
    </row>
    <row r="17" ht="33.75" customHeight="1">
      <c r="A17" s="240">
        <v>14.0</v>
      </c>
      <c r="B17" s="241" t="s">
        <v>60</v>
      </c>
      <c r="C17" s="240"/>
      <c r="D17" s="242"/>
      <c r="E17" s="242"/>
      <c r="F17" s="242"/>
      <c r="G17" s="243"/>
      <c r="H17" s="228">
        <v>0.0</v>
      </c>
      <c r="I17" s="244"/>
      <c r="J17" s="244"/>
      <c r="K17" s="244"/>
      <c r="L17" s="244"/>
      <c r="M17" s="244"/>
      <c r="N17" s="244"/>
      <c r="O17" s="244"/>
      <c r="P17" s="245"/>
      <c r="Q17" s="246">
        <f t="shared" si="1"/>
        <v>0</v>
      </c>
      <c r="R17" s="247">
        <f>IF(Q17="","",Q17+R16+'OS Offset'!B17)</f>
        <v>41</v>
      </c>
      <c r="S17" s="248">
        <f t="shared" si="2"/>
        <v>1</v>
      </c>
      <c r="T17" s="264">
        <v>14.0</v>
      </c>
      <c r="U17" s="265" t="s">
        <v>109</v>
      </c>
      <c r="V17" s="264"/>
      <c r="W17" s="266" t="s">
        <v>201</v>
      </c>
      <c r="X17" s="266" t="s">
        <v>201</v>
      </c>
      <c r="Y17" s="266"/>
      <c r="Z17" s="267"/>
      <c r="AA17" s="257">
        <v>0.0</v>
      </c>
      <c r="AB17" s="258"/>
      <c r="AC17" s="258"/>
      <c r="AD17" s="258"/>
      <c r="AE17" s="258"/>
      <c r="AF17" s="258"/>
      <c r="AG17" s="258"/>
      <c r="AH17" s="258"/>
      <c r="AI17" s="268"/>
      <c r="AJ17" s="269">
        <f t="shared" si="3"/>
        <v>0</v>
      </c>
      <c r="AK17" s="247">
        <f>IF(AJ17="","",AJ17+AK16+'OS Offset'!I17)</f>
        <v>17</v>
      </c>
      <c r="AL17" s="248">
        <f t="shared" si="4"/>
        <v>1</v>
      </c>
    </row>
    <row r="18" ht="33.75" customHeight="1">
      <c r="A18" s="228">
        <v>15.0</v>
      </c>
      <c r="B18" s="250" t="s">
        <v>75</v>
      </c>
      <c r="C18" s="228"/>
      <c r="D18" s="244" t="s">
        <v>201</v>
      </c>
      <c r="E18" s="244" t="s">
        <v>201</v>
      </c>
      <c r="F18" s="244"/>
      <c r="G18" s="251"/>
      <c r="H18" s="252">
        <v>2.0</v>
      </c>
      <c r="I18" s="253"/>
      <c r="J18" s="253"/>
      <c r="K18" s="253"/>
      <c r="L18" s="253"/>
      <c r="M18" s="253"/>
      <c r="N18" s="253"/>
      <c r="O18" s="253"/>
      <c r="P18" s="254"/>
      <c r="Q18" s="255">
        <f t="shared" si="1"/>
        <v>2</v>
      </c>
      <c r="R18" s="247">
        <f>IF(Q18="","",Q18+R17+'OS Offset'!B18)</f>
        <v>43</v>
      </c>
      <c r="S18" s="248">
        <f t="shared" si="2"/>
        <v>1</v>
      </c>
      <c r="T18" s="228">
        <v>15.0</v>
      </c>
      <c r="U18" s="256" t="s">
        <v>101</v>
      </c>
      <c r="V18" s="257"/>
      <c r="W18" s="258"/>
      <c r="X18" s="258"/>
      <c r="Y18" s="258"/>
      <c r="Z18" s="259"/>
      <c r="AA18" s="260">
        <v>0.0</v>
      </c>
      <c r="AB18" s="261"/>
      <c r="AC18" s="261"/>
      <c r="AD18" s="261"/>
      <c r="AE18" s="261"/>
      <c r="AF18" s="261"/>
      <c r="AG18" s="261"/>
      <c r="AH18" s="261"/>
      <c r="AI18" s="262"/>
      <c r="AJ18" s="263">
        <f t="shared" si="3"/>
        <v>0</v>
      </c>
      <c r="AK18" s="247">
        <f>IF(AJ18="","",AJ18+AK17+'OS Offset'!I18)</f>
        <v>17</v>
      </c>
      <c r="AL18" s="248">
        <f t="shared" si="4"/>
        <v>1</v>
      </c>
    </row>
    <row r="19" ht="33.75" customHeight="1">
      <c r="A19" s="240">
        <v>16.0</v>
      </c>
      <c r="B19" s="241" t="s">
        <v>87</v>
      </c>
      <c r="C19" s="240"/>
      <c r="D19" s="242" t="s">
        <v>201</v>
      </c>
      <c r="E19" s="242"/>
      <c r="F19" s="242"/>
      <c r="G19" s="243"/>
      <c r="H19" s="228">
        <v>4.0</v>
      </c>
      <c r="I19" s="244">
        <v>2.0</v>
      </c>
      <c r="J19" s="244"/>
      <c r="K19" s="244"/>
      <c r="L19" s="244"/>
      <c r="M19" s="244"/>
      <c r="N19" s="244"/>
      <c r="O19" s="244"/>
      <c r="P19" s="245"/>
      <c r="Q19" s="246">
        <f t="shared" si="1"/>
        <v>6</v>
      </c>
      <c r="R19" s="247">
        <f>IF(Q19="","",Q19+R18+'OS Offset'!B19)</f>
        <v>49</v>
      </c>
      <c r="S19" s="248">
        <f t="shared" si="2"/>
        <v>2</v>
      </c>
      <c r="T19" s="264">
        <v>16.0</v>
      </c>
      <c r="U19" s="265" t="s">
        <v>81</v>
      </c>
      <c r="V19" s="264"/>
      <c r="W19" s="266"/>
      <c r="X19" s="266"/>
      <c r="Y19" s="266"/>
      <c r="Z19" s="267" t="s">
        <v>201</v>
      </c>
      <c r="AA19" s="257"/>
      <c r="AB19" s="258"/>
      <c r="AC19" s="258"/>
      <c r="AD19" s="258"/>
      <c r="AE19" s="258"/>
      <c r="AF19" s="258"/>
      <c r="AG19" s="258"/>
      <c r="AH19" s="258"/>
      <c r="AI19" s="268"/>
      <c r="AJ19" s="269">
        <f t="shared" si="3"/>
        <v>0</v>
      </c>
      <c r="AK19" s="247">
        <f>IF(AJ19="","",AJ19+AK18+'OS Offset'!I19)</f>
        <v>17</v>
      </c>
      <c r="AL19" s="248">
        <f t="shared" si="4"/>
        <v>0</v>
      </c>
    </row>
    <row r="20" ht="33.75" customHeight="1">
      <c r="A20" s="228" t="s">
        <v>202</v>
      </c>
      <c r="B20" s="250" t="s">
        <v>87</v>
      </c>
      <c r="C20" s="228"/>
      <c r="D20" s="244"/>
      <c r="E20" s="244"/>
      <c r="F20" s="244"/>
      <c r="G20" s="251"/>
      <c r="H20" s="252"/>
      <c r="I20" s="253"/>
      <c r="J20" s="253"/>
      <c r="K20" s="253"/>
      <c r="L20" s="253"/>
      <c r="M20" s="253"/>
      <c r="N20" s="253"/>
      <c r="O20" s="253"/>
      <c r="P20" s="254"/>
      <c r="Q20" s="255">
        <f t="shared" si="1"/>
        <v>0</v>
      </c>
      <c r="R20" s="247">
        <f>IF(Q20="","",Q20+R19+'OS Offset'!B20)</f>
        <v>49</v>
      </c>
      <c r="S20" s="248">
        <f t="shared" si="2"/>
        <v>0</v>
      </c>
      <c r="T20" s="228" t="s">
        <v>203</v>
      </c>
      <c r="U20" s="256" t="s">
        <v>97</v>
      </c>
      <c r="V20" s="257"/>
      <c r="W20" s="258"/>
      <c r="X20" s="258"/>
      <c r="Y20" s="258"/>
      <c r="Z20" s="259" t="s">
        <v>201</v>
      </c>
      <c r="AA20" s="260"/>
      <c r="AB20" s="261"/>
      <c r="AC20" s="261"/>
      <c r="AD20" s="261"/>
      <c r="AE20" s="261"/>
      <c r="AF20" s="261"/>
      <c r="AG20" s="261"/>
      <c r="AH20" s="261"/>
      <c r="AI20" s="262"/>
      <c r="AJ20" s="263">
        <f t="shared" si="3"/>
        <v>0</v>
      </c>
      <c r="AK20" s="247">
        <f>IF(AJ20="","",AJ20+AK19+'OS Offset'!I20)</f>
        <v>17</v>
      </c>
      <c r="AL20" s="248">
        <f t="shared" si="4"/>
        <v>0</v>
      </c>
    </row>
    <row r="21" ht="33.75" customHeight="1">
      <c r="A21" s="240">
        <v>17.0</v>
      </c>
      <c r="B21" s="241" t="s">
        <v>60</v>
      </c>
      <c r="C21" s="240"/>
      <c r="D21" s="242" t="s">
        <v>201</v>
      </c>
      <c r="E21" s="242" t="s">
        <v>201</v>
      </c>
      <c r="F21" s="242"/>
      <c r="G21" s="243"/>
      <c r="H21" s="228">
        <v>4.0</v>
      </c>
      <c r="I21" s="244">
        <v>4.0</v>
      </c>
      <c r="J21" s="244">
        <v>4.0</v>
      </c>
      <c r="K21" s="244"/>
      <c r="L21" s="244"/>
      <c r="M21" s="244"/>
      <c r="N21" s="244"/>
      <c r="O21" s="244"/>
      <c r="P21" s="245"/>
      <c r="Q21" s="246">
        <f t="shared" si="1"/>
        <v>12</v>
      </c>
      <c r="R21" s="247">
        <f>IF(Q21="","",Q21+R20+'OS Offset'!B21)</f>
        <v>61</v>
      </c>
      <c r="S21" s="248">
        <f t="shared" si="2"/>
        <v>3</v>
      </c>
      <c r="T21" s="264">
        <v>17.0</v>
      </c>
      <c r="U21" s="265" t="s">
        <v>97</v>
      </c>
      <c r="V21" s="264"/>
      <c r="W21" s="266"/>
      <c r="X21" s="266"/>
      <c r="Y21" s="266"/>
      <c r="Z21" s="267"/>
      <c r="AA21" s="257">
        <v>0.0</v>
      </c>
      <c r="AB21" s="258"/>
      <c r="AC21" s="258"/>
      <c r="AD21" s="258"/>
      <c r="AE21" s="258"/>
      <c r="AF21" s="258"/>
      <c r="AG21" s="258"/>
      <c r="AH21" s="258"/>
      <c r="AI21" s="268"/>
      <c r="AJ21" s="269">
        <f t="shared" si="3"/>
        <v>0</v>
      </c>
      <c r="AK21" s="247">
        <f>IF(AJ21="","",AJ21+AK20+'OS Offset'!I21)</f>
        <v>17</v>
      </c>
      <c r="AL21" s="248">
        <f t="shared" si="4"/>
        <v>1</v>
      </c>
    </row>
    <row r="22" ht="33.75" customHeight="1">
      <c r="A22" s="228">
        <v>18.0</v>
      </c>
      <c r="B22" s="250" t="s">
        <v>75</v>
      </c>
      <c r="C22" s="228"/>
      <c r="D22" s="244" t="s">
        <v>201</v>
      </c>
      <c r="E22" s="244" t="s">
        <v>201</v>
      </c>
      <c r="F22" s="244"/>
      <c r="G22" s="251"/>
      <c r="H22" s="252">
        <v>4.0</v>
      </c>
      <c r="I22" s="253"/>
      <c r="J22" s="253"/>
      <c r="K22" s="253"/>
      <c r="L22" s="253"/>
      <c r="M22" s="253"/>
      <c r="N22" s="253"/>
      <c r="O22" s="253"/>
      <c r="P22" s="254"/>
      <c r="Q22" s="255">
        <f t="shared" si="1"/>
        <v>4</v>
      </c>
      <c r="R22" s="247">
        <f>IF(Q22="","",Q22+R21+'OS Offset'!B22)</f>
        <v>65</v>
      </c>
      <c r="S22" s="248">
        <f t="shared" si="2"/>
        <v>1</v>
      </c>
      <c r="T22" s="228">
        <v>18.0</v>
      </c>
      <c r="U22" s="256" t="s">
        <v>77</v>
      </c>
      <c r="V22" s="257"/>
      <c r="W22" s="258"/>
      <c r="X22" s="258"/>
      <c r="Y22" s="258"/>
      <c r="Z22" s="259"/>
      <c r="AA22" s="260">
        <v>0.0</v>
      </c>
      <c r="AB22" s="261"/>
      <c r="AC22" s="261"/>
      <c r="AD22" s="261"/>
      <c r="AE22" s="261"/>
      <c r="AF22" s="261"/>
      <c r="AG22" s="261"/>
      <c r="AH22" s="261"/>
      <c r="AI22" s="262"/>
      <c r="AJ22" s="263">
        <f t="shared" si="3"/>
        <v>0</v>
      </c>
      <c r="AK22" s="247">
        <f>IF(AJ22="","",AJ22+AK21+'OS Offset'!I22)</f>
        <v>17</v>
      </c>
      <c r="AL22" s="248">
        <f t="shared" si="4"/>
        <v>1</v>
      </c>
    </row>
    <row r="23" ht="33.75" customHeight="1">
      <c r="A23" s="240">
        <v>19.0</v>
      </c>
      <c r="B23" s="241" t="s">
        <v>87</v>
      </c>
      <c r="C23" s="240"/>
      <c r="D23" s="242" t="s">
        <v>201</v>
      </c>
      <c r="E23" s="242" t="s">
        <v>201</v>
      </c>
      <c r="F23" s="242"/>
      <c r="G23" s="243"/>
      <c r="H23" s="228">
        <v>4.0</v>
      </c>
      <c r="I23" s="244">
        <v>4.0</v>
      </c>
      <c r="J23" s="244">
        <v>4.0</v>
      </c>
      <c r="K23" s="244">
        <v>4.0</v>
      </c>
      <c r="L23" s="244">
        <v>4.0</v>
      </c>
      <c r="M23" s="244"/>
      <c r="N23" s="244"/>
      <c r="O23" s="244"/>
      <c r="P23" s="245"/>
      <c r="Q23" s="246">
        <f t="shared" si="1"/>
        <v>20</v>
      </c>
      <c r="R23" s="247">
        <f>IF(Q23="","",Q23+R22+'OS Offset'!B23)</f>
        <v>85</v>
      </c>
      <c r="S23" s="248">
        <f t="shared" si="2"/>
        <v>5</v>
      </c>
      <c r="T23" s="264">
        <v>19.0</v>
      </c>
      <c r="U23" s="265" t="s">
        <v>105</v>
      </c>
      <c r="V23" s="264"/>
      <c r="W23" s="266"/>
      <c r="X23" s="266"/>
      <c r="Y23" s="266"/>
      <c r="Z23" s="267" t="s">
        <v>201</v>
      </c>
      <c r="AA23" s="257"/>
      <c r="AB23" s="258"/>
      <c r="AC23" s="258"/>
      <c r="AD23" s="258"/>
      <c r="AE23" s="258"/>
      <c r="AF23" s="258"/>
      <c r="AG23" s="258"/>
      <c r="AH23" s="258"/>
      <c r="AI23" s="268"/>
      <c r="AJ23" s="269">
        <f t="shared" si="3"/>
        <v>0</v>
      </c>
      <c r="AK23" s="247">
        <f>IF(AJ23="","",AJ23+AK22+'OS Offset'!I23)</f>
        <v>17</v>
      </c>
      <c r="AL23" s="248">
        <f t="shared" si="4"/>
        <v>0</v>
      </c>
    </row>
    <row r="24" ht="33.75" customHeight="1">
      <c r="A24" s="228">
        <v>20.0</v>
      </c>
      <c r="B24" s="250" t="s">
        <v>60</v>
      </c>
      <c r="C24" s="228" t="s">
        <v>201</v>
      </c>
      <c r="D24" s="244"/>
      <c r="E24" s="244"/>
      <c r="F24" s="244"/>
      <c r="G24" s="251"/>
      <c r="H24" s="252">
        <v>4.0</v>
      </c>
      <c r="I24" s="253">
        <v>4.0</v>
      </c>
      <c r="J24" s="253">
        <v>3.0</v>
      </c>
      <c r="K24" s="253"/>
      <c r="L24" s="253"/>
      <c r="M24" s="253"/>
      <c r="N24" s="253"/>
      <c r="O24" s="253"/>
      <c r="P24" s="254"/>
      <c r="Q24" s="255">
        <f t="shared" si="1"/>
        <v>11</v>
      </c>
      <c r="R24" s="247">
        <f>IF(Q24="","",Q24+R23+'OS Offset'!B24)</f>
        <v>96</v>
      </c>
      <c r="S24" s="248">
        <f t="shared" si="2"/>
        <v>3</v>
      </c>
      <c r="T24" s="228">
        <v>20.0</v>
      </c>
      <c r="U24" s="256" t="s">
        <v>105</v>
      </c>
      <c r="V24" s="257"/>
      <c r="W24" s="258"/>
      <c r="X24" s="258"/>
      <c r="Y24" s="258"/>
      <c r="Z24" s="259" t="s">
        <v>201</v>
      </c>
      <c r="AA24" s="260"/>
      <c r="AB24" s="261"/>
      <c r="AC24" s="261"/>
      <c r="AD24" s="261"/>
      <c r="AE24" s="261"/>
      <c r="AF24" s="261"/>
      <c r="AG24" s="261"/>
      <c r="AH24" s="261"/>
      <c r="AI24" s="262"/>
      <c r="AJ24" s="263">
        <f t="shared" si="3"/>
        <v>0</v>
      </c>
      <c r="AK24" s="247">
        <f>IF(AJ24="","",AJ24+AK23+'OS Offset'!I24)</f>
        <v>17</v>
      </c>
      <c r="AL24" s="248">
        <f t="shared" si="4"/>
        <v>0</v>
      </c>
    </row>
    <row r="25" ht="33.75" customHeight="1">
      <c r="A25" s="240">
        <v>21.0</v>
      </c>
      <c r="B25" s="241" t="s">
        <v>87</v>
      </c>
      <c r="C25" s="240"/>
      <c r="D25" s="242" t="s">
        <v>201</v>
      </c>
      <c r="E25" s="242" t="s">
        <v>201</v>
      </c>
      <c r="F25" s="242"/>
      <c r="G25" s="243"/>
      <c r="H25" s="228">
        <v>2.0</v>
      </c>
      <c r="I25" s="244"/>
      <c r="J25" s="244"/>
      <c r="K25" s="244"/>
      <c r="L25" s="244"/>
      <c r="M25" s="244"/>
      <c r="N25" s="244"/>
      <c r="O25" s="244"/>
      <c r="P25" s="245"/>
      <c r="Q25" s="246">
        <f t="shared" si="1"/>
        <v>2</v>
      </c>
      <c r="R25" s="247">
        <f>IF(Q25="","",Q25+R24+'OS Offset'!B25)</f>
        <v>98</v>
      </c>
      <c r="S25" s="248">
        <f t="shared" si="2"/>
        <v>1</v>
      </c>
      <c r="T25" s="264">
        <v>21.0</v>
      </c>
      <c r="U25" s="265" t="s">
        <v>101</v>
      </c>
      <c r="V25" s="264"/>
      <c r="W25" s="266"/>
      <c r="X25" s="266"/>
      <c r="Y25" s="266"/>
      <c r="Z25" s="267"/>
      <c r="AA25" s="257">
        <v>0.0</v>
      </c>
      <c r="AB25" s="258"/>
      <c r="AC25" s="258"/>
      <c r="AD25" s="258"/>
      <c r="AE25" s="258"/>
      <c r="AF25" s="258"/>
      <c r="AG25" s="258"/>
      <c r="AH25" s="258"/>
      <c r="AI25" s="268"/>
      <c r="AJ25" s="269">
        <f t="shared" si="3"/>
        <v>0</v>
      </c>
      <c r="AK25" s="247">
        <f>IF(AJ25="","",AJ25+AK24+'OS Offset'!I25)</f>
        <v>17</v>
      </c>
      <c r="AL25" s="248">
        <f t="shared" si="4"/>
        <v>1</v>
      </c>
    </row>
    <row r="26" ht="33.75" customHeight="1">
      <c r="A26" s="228">
        <v>22.0</v>
      </c>
      <c r="B26" s="250" t="s">
        <v>75</v>
      </c>
      <c r="C26" s="228"/>
      <c r="D26" s="244" t="s">
        <v>201</v>
      </c>
      <c r="E26" s="244" t="s">
        <v>201</v>
      </c>
      <c r="F26" s="244"/>
      <c r="G26" s="251"/>
      <c r="H26" s="252">
        <v>4.0</v>
      </c>
      <c r="I26" s="253"/>
      <c r="J26" s="253"/>
      <c r="K26" s="253"/>
      <c r="L26" s="253"/>
      <c r="M26" s="253"/>
      <c r="N26" s="253"/>
      <c r="O26" s="253"/>
      <c r="P26" s="254"/>
      <c r="Q26" s="255">
        <f t="shared" si="1"/>
        <v>4</v>
      </c>
      <c r="R26" s="247">
        <f>IF(Q26="","",Q26+R25+'OS Offset'!B26)</f>
        <v>102</v>
      </c>
      <c r="S26" s="248">
        <f t="shared" si="2"/>
        <v>1</v>
      </c>
      <c r="T26" s="228">
        <v>22.0</v>
      </c>
      <c r="U26" s="256" t="s">
        <v>81</v>
      </c>
      <c r="V26" s="257"/>
      <c r="W26" s="258"/>
      <c r="X26" s="258"/>
      <c r="Y26" s="258"/>
      <c r="Z26" s="259" t="s">
        <v>201</v>
      </c>
      <c r="AA26" s="260"/>
      <c r="AB26" s="261"/>
      <c r="AC26" s="261"/>
      <c r="AD26" s="261"/>
      <c r="AE26" s="261"/>
      <c r="AF26" s="261"/>
      <c r="AG26" s="261"/>
      <c r="AH26" s="261"/>
      <c r="AI26" s="262"/>
      <c r="AJ26" s="263">
        <f t="shared" si="3"/>
        <v>0</v>
      </c>
      <c r="AK26" s="247">
        <f>IF(AJ26="","",AJ26+AK25+'OS Offset'!I26)</f>
        <v>17</v>
      </c>
      <c r="AL26" s="248">
        <f t="shared" si="4"/>
        <v>0</v>
      </c>
    </row>
    <row r="27" ht="33.75" customHeight="1">
      <c r="A27" s="240">
        <v>23.0</v>
      </c>
      <c r="B27" s="241" t="s">
        <v>83</v>
      </c>
      <c r="C27" s="240"/>
      <c r="D27" s="242" t="s">
        <v>201</v>
      </c>
      <c r="E27" s="242" t="s">
        <v>201</v>
      </c>
      <c r="F27" s="242"/>
      <c r="G27" s="243"/>
      <c r="H27" s="228">
        <v>4.0</v>
      </c>
      <c r="I27" s="244"/>
      <c r="J27" s="244"/>
      <c r="K27" s="244"/>
      <c r="L27" s="244"/>
      <c r="M27" s="244"/>
      <c r="N27" s="244"/>
      <c r="O27" s="244"/>
      <c r="P27" s="245"/>
      <c r="Q27" s="246">
        <f t="shared" si="1"/>
        <v>4</v>
      </c>
      <c r="R27" s="247">
        <f>IF(Q27="","",Q27+R26+'OS Offset'!B27)</f>
        <v>106</v>
      </c>
      <c r="S27" s="248">
        <f t="shared" si="2"/>
        <v>1</v>
      </c>
      <c r="T27" s="264">
        <v>23.0</v>
      </c>
      <c r="U27" s="265" t="s">
        <v>77</v>
      </c>
      <c r="V27" s="264"/>
      <c r="W27" s="266"/>
      <c r="X27" s="266"/>
      <c r="Y27" s="266"/>
      <c r="Z27" s="267"/>
      <c r="AA27" s="257">
        <v>0.0</v>
      </c>
      <c r="AB27" s="258"/>
      <c r="AC27" s="258"/>
      <c r="AD27" s="258"/>
      <c r="AE27" s="258"/>
      <c r="AF27" s="258"/>
      <c r="AG27" s="258"/>
      <c r="AH27" s="258"/>
      <c r="AI27" s="268"/>
      <c r="AJ27" s="269">
        <f t="shared" si="3"/>
        <v>0</v>
      </c>
      <c r="AK27" s="247">
        <f>IF(AJ27="","",AJ27+AK26+'OS Offset'!I27)</f>
        <v>17</v>
      </c>
      <c r="AL27" s="248">
        <f t="shared" si="4"/>
        <v>1</v>
      </c>
    </row>
    <row r="28" ht="33.75" customHeight="1">
      <c r="A28" s="228">
        <v>24.0</v>
      </c>
      <c r="B28" s="250" t="s">
        <v>60</v>
      </c>
      <c r="C28" s="228"/>
      <c r="D28" s="244"/>
      <c r="E28" s="244"/>
      <c r="F28" s="244"/>
      <c r="G28" s="251"/>
      <c r="H28" s="252">
        <v>4.0</v>
      </c>
      <c r="I28" s="253">
        <v>4.0</v>
      </c>
      <c r="J28" s="253"/>
      <c r="K28" s="253"/>
      <c r="L28" s="253"/>
      <c r="M28" s="253"/>
      <c r="N28" s="253"/>
      <c r="O28" s="253"/>
      <c r="P28" s="254"/>
      <c r="Q28" s="255">
        <f t="shared" si="1"/>
        <v>8</v>
      </c>
      <c r="R28" s="247">
        <f>IF(Q28="","",Q28+R27+'OS Offset'!B28)</f>
        <v>114</v>
      </c>
      <c r="S28" s="248">
        <f t="shared" si="2"/>
        <v>2</v>
      </c>
      <c r="T28" s="228">
        <v>24.0</v>
      </c>
      <c r="U28" s="256" t="s">
        <v>109</v>
      </c>
      <c r="V28" s="257" t="s">
        <v>201</v>
      </c>
      <c r="W28" s="258" t="s">
        <v>201</v>
      </c>
      <c r="X28" s="258"/>
      <c r="Y28" s="258"/>
      <c r="Z28" s="259"/>
      <c r="AA28" s="260">
        <v>4.0</v>
      </c>
      <c r="AB28" s="261">
        <v>3.0</v>
      </c>
      <c r="AC28" s="261">
        <v>4.0</v>
      </c>
      <c r="AD28" s="261"/>
      <c r="AE28" s="261"/>
      <c r="AF28" s="261"/>
      <c r="AG28" s="261"/>
      <c r="AH28" s="261"/>
      <c r="AI28" s="262"/>
      <c r="AJ28" s="263">
        <f t="shared" si="3"/>
        <v>11</v>
      </c>
      <c r="AK28" s="247">
        <f>IF(AJ28="","",AJ28+AK27+'OS Offset'!I28)</f>
        <v>28</v>
      </c>
      <c r="AL28" s="248">
        <f t="shared" si="4"/>
        <v>3</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204</v>
      </c>
      <c r="C42" s="276">
        <f t="shared" ref="C42:G42" si="5">IF($A$42="","",COUNTIF(C$4:C$41, "X"))</f>
        <v>1</v>
      </c>
      <c r="D42" s="277">
        <f t="shared" si="5"/>
        <v>16</v>
      </c>
      <c r="E42" s="277">
        <f t="shared" si="5"/>
        <v>14</v>
      </c>
      <c r="F42" s="277">
        <f t="shared" si="5"/>
        <v>0</v>
      </c>
      <c r="G42" s="277">
        <f t="shared" si="5"/>
        <v>0</v>
      </c>
      <c r="H42" s="278">
        <f t="shared" ref="H42:Q42" si="6">IF(COUNT(H4:H41),SUM(H4:H41),"")</f>
        <v>63</v>
      </c>
      <c r="I42" s="279">
        <f t="shared" si="6"/>
        <v>30</v>
      </c>
      <c r="J42" s="279">
        <f t="shared" si="6"/>
        <v>13</v>
      </c>
      <c r="K42" s="279">
        <f t="shared" si="6"/>
        <v>4</v>
      </c>
      <c r="L42" s="279">
        <f t="shared" si="6"/>
        <v>4</v>
      </c>
      <c r="M42" s="279" t="str">
        <f t="shared" si="6"/>
        <v/>
      </c>
      <c r="N42" s="279" t="str">
        <f t="shared" si="6"/>
        <v/>
      </c>
      <c r="O42" s="279" t="str">
        <f t="shared" si="6"/>
        <v/>
      </c>
      <c r="P42" s="280" t="str">
        <f t="shared" si="6"/>
        <v/>
      </c>
      <c r="Q42" s="281">
        <f t="shared" si="6"/>
        <v>114</v>
      </c>
      <c r="R42" s="282">
        <f>IF(A42="","",MAX(R4:R41))</f>
        <v>114</v>
      </c>
      <c r="S42" s="283"/>
      <c r="T42" s="284">
        <f>IF(COUNT(T4:T41),COUNT(T4:T41),"")</f>
        <v>24</v>
      </c>
      <c r="U42" s="275" t="s">
        <v>204</v>
      </c>
      <c r="V42" s="285">
        <f t="shared" ref="V42:Z42" si="7">IF($T$42="","",COUNTIF(V$4:V$41, "X"))</f>
        <v>1</v>
      </c>
      <c r="W42" s="277">
        <f t="shared" si="7"/>
        <v>7</v>
      </c>
      <c r="X42" s="277">
        <f t="shared" si="7"/>
        <v>6</v>
      </c>
      <c r="Y42" s="277">
        <f t="shared" si="7"/>
        <v>0</v>
      </c>
      <c r="Z42" s="277">
        <f t="shared" si="7"/>
        <v>6</v>
      </c>
      <c r="AA42" s="278">
        <f t="shared" ref="AA42:AJ42" si="8">IF(COUNT(AA4:AA41),SUM(AA4:AA41),"")</f>
        <v>21</v>
      </c>
      <c r="AB42" s="279">
        <f t="shared" si="8"/>
        <v>3</v>
      </c>
      <c r="AC42" s="279">
        <f t="shared" si="8"/>
        <v>4</v>
      </c>
      <c r="AD42" s="279" t="str">
        <f t="shared" si="8"/>
        <v/>
      </c>
      <c r="AE42" s="279" t="str">
        <f t="shared" si="8"/>
        <v/>
      </c>
      <c r="AF42" s="279" t="str">
        <f t="shared" si="8"/>
        <v/>
      </c>
      <c r="AG42" s="279" t="str">
        <f t="shared" si="8"/>
        <v/>
      </c>
      <c r="AH42" s="279" t="str">
        <f t="shared" si="8"/>
        <v/>
      </c>
      <c r="AI42" s="286" t="str">
        <f t="shared" si="8"/>
        <v/>
      </c>
      <c r="AJ42" s="287">
        <f t="shared" si="8"/>
        <v>28</v>
      </c>
      <c r="AK42" s="282">
        <f>IF(T42="","",MAX(AK4:AK41))</f>
        <v>28</v>
      </c>
      <c r="AL42" s="288"/>
    </row>
    <row r="43" ht="30.0" customHeight="1">
      <c r="A43" s="204" t="str">
        <f>A1</f>
        <v>Denver roller Derby / Mile High Club</v>
      </c>
      <c r="B43" s="205"/>
      <c r="C43" s="205"/>
      <c r="D43" s="205"/>
      <c r="E43" s="205"/>
      <c r="F43" s="205"/>
      <c r="G43" s="205"/>
      <c r="H43" s="206"/>
      <c r="I43" s="207" t="str">
        <f>IF(ISBLANK(I1), "", I1)</f>
        <v>Blue</v>
      </c>
      <c r="J43" s="151"/>
      <c r="K43" s="208">
        <f>IF(ISBLANK(IGRF!$B$7), "", IGRF!$B$7)</f>
        <v>45108</v>
      </c>
      <c r="L43" s="209" t="s">
        <v>152</v>
      </c>
      <c r="M43" s="151"/>
      <c r="N43" s="151"/>
      <c r="O43" s="210" t="s">
        <v>171</v>
      </c>
      <c r="P43" s="168"/>
      <c r="Q43" s="211"/>
      <c r="R43" s="212">
        <v>2.0</v>
      </c>
      <c r="S43" s="213"/>
      <c r="T43" s="204" t="str">
        <f>T1</f>
        <v>Rose City Rollers / Rose City Rollers: Axles of Annihilation</v>
      </c>
      <c r="U43" s="205"/>
      <c r="V43" s="205"/>
      <c r="W43" s="205"/>
      <c r="X43" s="205"/>
      <c r="Y43" s="205"/>
      <c r="Z43" s="205"/>
      <c r="AA43" s="206"/>
      <c r="AB43" s="207" t="str">
        <f>IF(ISBLANK(AB1), "", AB1)</f>
        <v>White</v>
      </c>
      <c r="AC43" s="151"/>
      <c r="AD43" s="208">
        <f>IF(ISBLANK(IGRF!$B$7), "", IGRF!$B$7)</f>
        <v>45108</v>
      </c>
      <c r="AE43" s="209"/>
      <c r="AF43" s="151"/>
      <c r="AG43" s="151"/>
      <c r="AH43" s="210"/>
      <c r="AI43" s="168"/>
      <c r="AJ43" s="211"/>
      <c r="AK43" s="212">
        <v>2.0</v>
      </c>
      <c r="AL43" s="43"/>
    </row>
    <row r="44" ht="15.0" customHeight="1">
      <c r="A44" s="214"/>
      <c r="B44" s="20"/>
      <c r="C44" s="20"/>
      <c r="D44" s="20"/>
      <c r="E44" s="20"/>
      <c r="F44" s="20"/>
      <c r="G44" s="20"/>
      <c r="H44" s="156"/>
      <c r="I44" s="289" t="s">
        <v>179</v>
      </c>
      <c r="J44" s="20"/>
      <c r="K44" s="216" t="s">
        <v>180</v>
      </c>
      <c r="L44" s="215" t="s">
        <v>151</v>
      </c>
      <c r="M44" s="71"/>
      <c r="N44" s="71"/>
      <c r="O44" s="217" t="s">
        <v>181</v>
      </c>
      <c r="P44" s="71"/>
      <c r="Q44" s="72"/>
      <c r="R44" s="218" t="str">
        <f>R2</f>
        <v>GAME 1</v>
      </c>
      <c r="S44" s="213"/>
      <c r="T44" s="214"/>
      <c r="U44" s="20"/>
      <c r="V44" s="20"/>
      <c r="W44" s="20"/>
      <c r="X44" s="20"/>
      <c r="Y44" s="20"/>
      <c r="Z44" s="20"/>
      <c r="AA44" s="156"/>
      <c r="AB44" s="289" t="s">
        <v>179</v>
      </c>
      <c r="AC44" s="20"/>
      <c r="AD44" s="216" t="s">
        <v>180</v>
      </c>
      <c r="AE44" s="215" t="s">
        <v>151</v>
      </c>
      <c r="AF44" s="71"/>
      <c r="AG44" s="71"/>
      <c r="AH44" s="217" t="s">
        <v>181</v>
      </c>
      <c r="AI44" s="71"/>
      <c r="AJ44" s="72"/>
      <c r="AK44" s="218" t="str">
        <f>AK2</f>
        <v>GAME 1</v>
      </c>
      <c r="AL44" s="43"/>
    </row>
    <row r="45" ht="34.5" customHeight="1">
      <c r="A45" s="219" t="s">
        <v>182</v>
      </c>
      <c r="B45" s="220" t="s">
        <v>183</v>
      </c>
      <c r="C45" s="221" t="s">
        <v>184</v>
      </c>
      <c r="D45" s="222" t="s">
        <v>185</v>
      </c>
      <c r="E45" s="222" t="s">
        <v>186</v>
      </c>
      <c r="F45" s="222" t="s">
        <v>187</v>
      </c>
      <c r="G45" s="223" t="s">
        <v>188</v>
      </c>
      <c r="H45" s="219" t="s">
        <v>189</v>
      </c>
      <c r="I45" s="224" t="s">
        <v>190</v>
      </c>
      <c r="J45" s="224" t="s">
        <v>191</v>
      </c>
      <c r="K45" s="224" t="s">
        <v>192</v>
      </c>
      <c r="L45" s="224" t="s">
        <v>193</v>
      </c>
      <c r="M45" s="224" t="s">
        <v>194</v>
      </c>
      <c r="N45" s="224" t="s">
        <v>195</v>
      </c>
      <c r="O45" s="224" t="s">
        <v>196</v>
      </c>
      <c r="P45" s="224" t="s">
        <v>197</v>
      </c>
      <c r="Q45" s="225" t="s">
        <v>198</v>
      </c>
      <c r="R45" s="290">
        <f>R42</f>
        <v>114</v>
      </c>
      <c r="S45" s="227" t="s">
        <v>200</v>
      </c>
      <c r="T45" s="219" t="s">
        <v>182</v>
      </c>
      <c r="U45" s="220" t="s">
        <v>183</v>
      </c>
      <c r="V45" s="221" t="s">
        <v>184</v>
      </c>
      <c r="W45" s="222" t="s">
        <v>185</v>
      </c>
      <c r="X45" s="222" t="s">
        <v>186</v>
      </c>
      <c r="Y45" s="222" t="s">
        <v>187</v>
      </c>
      <c r="Z45" s="223" t="s">
        <v>188</v>
      </c>
      <c r="AA45" s="219" t="s">
        <v>189</v>
      </c>
      <c r="AB45" s="224" t="s">
        <v>190</v>
      </c>
      <c r="AC45" s="224" t="s">
        <v>191</v>
      </c>
      <c r="AD45" s="224" t="s">
        <v>192</v>
      </c>
      <c r="AE45" s="224" t="s">
        <v>193</v>
      </c>
      <c r="AF45" s="224" t="s">
        <v>194</v>
      </c>
      <c r="AG45" s="224" t="s">
        <v>195</v>
      </c>
      <c r="AH45" s="224" t="s">
        <v>196</v>
      </c>
      <c r="AI45" s="224" t="s">
        <v>197</v>
      </c>
      <c r="AJ45" s="225" t="s">
        <v>198</v>
      </c>
      <c r="AK45" s="291">
        <f>AK42</f>
        <v>28</v>
      </c>
      <c r="AL45" s="292" t="s">
        <v>200</v>
      </c>
    </row>
    <row r="46" ht="33.75" customHeight="1">
      <c r="A46" s="228">
        <v>1.0</v>
      </c>
      <c r="B46" s="293" t="s">
        <v>87</v>
      </c>
      <c r="C46" s="294"/>
      <c r="D46" s="295" t="s">
        <v>201</v>
      </c>
      <c r="E46" s="295" t="s">
        <v>201</v>
      </c>
      <c r="F46" s="295"/>
      <c r="G46" s="296"/>
      <c r="H46" s="297">
        <v>4.0</v>
      </c>
      <c r="I46" s="298">
        <v>0.0</v>
      </c>
      <c r="J46" s="298"/>
      <c r="K46" s="298"/>
      <c r="L46" s="298"/>
      <c r="M46" s="298"/>
      <c r="N46" s="298"/>
      <c r="O46" s="298"/>
      <c r="P46" s="299"/>
      <c r="Q46" s="300">
        <f t="shared" ref="Q46:Q83" si="9">IF(ISBLANK(A46),"",IF(ISBLANK(G46),SUM(H46:P46),0))</f>
        <v>4</v>
      </c>
      <c r="R46" s="247">
        <f>IF(Q46="","",Q46+R45+'OS Offset'!B46)</f>
        <v>118</v>
      </c>
      <c r="S46" s="248">
        <f t="shared" ref="S46:S83" si="10">IF(G46="X",0,COUNT(H46:P46))</f>
        <v>2</v>
      </c>
      <c r="T46" s="301">
        <v>1.0</v>
      </c>
      <c r="U46" s="293" t="s">
        <v>109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28</v>
      </c>
      <c r="AL46" s="248">
        <f t="shared" ref="AL46:AL83" si="12">IF(Z46="X",0,COUNT(AA46:AI46))</f>
        <v>1</v>
      </c>
    </row>
    <row r="47" ht="33.75" customHeight="1">
      <c r="A47" s="240">
        <v>2.0</v>
      </c>
      <c r="B47" s="249" t="s">
        <v>60</v>
      </c>
      <c r="C47" s="240"/>
      <c r="D47" s="242"/>
      <c r="E47" s="242"/>
      <c r="F47" s="242"/>
      <c r="G47" s="243"/>
      <c r="H47" s="228">
        <v>4.0</v>
      </c>
      <c r="I47" s="244"/>
      <c r="J47" s="244"/>
      <c r="K47" s="244"/>
      <c r="L47" s="244"/>
      <c r="M47" s="244"/>
      <c r="N47" s="244"/>
      <c r="O47" s="244"/>
      <c r="P47" s="245"/>
      <c r="Q47" s="246">
        <f t="shared" si="9"/>
        <v>4</v>
      </c>
      <c r="R47" s="247">
        <f>IF(Q47="","",Q47+R46+'OS Offset'!B47)</f>
        <v>122</v>
      </c>
      <c r="S47" s="248">
        <f t="shared" si="10"/>
        <v>1</v>
      </c>
      <c r="T47" s="303">
        <v>2.0</v>
      </c>
      <c r="U47" s="249" t="s">
        <v>101</v>
      </c>
      <c r="V47" s="240"/>
      <c r="W47" s="242" t="s">
        <v>201</v>
      </c>
      <c r="X47" s="242"/>
      <c r="Y47" s="242"/>
      <c r="Z47" s="243"/>
      <c r="AA47" s="228">
        <v>4.0</v>
      </c>
      <c r="AB47" s="244">
        <v>4.0</v>
      </c>
      <c r="AC47" s="244">
        <v>3.0</v>
      </c>
      <c r="AD47" s="244"/>
      <c r="AE47" s="244"/>
      <c r="AF47" s="244"/>
      <c r="AG47" s="244"/>
      <c r="AH47" s="244"/>
      <c r="AI47" s="245"/>
      <c r="AJ47" s="246">
        <f t="shared" si="11"/>
        <v>11</v>
      </c>
      <c r="AK47" s="247">
        <f>IF(AJ47="","",AJ47+AK46+'OS Offset'!I47)</f>
        <v>39</v>
      </c>
      <c r="AL47" s="248">
        <f t="shared" si="12"/>
        <v>3</v>
      </c>
    </row>
    <row r="48" ht="33.75" customHeight="1">
      <c r="A48" s="304">
        <v>3.0</v>
      </c>
      <c r="B48" s="305" t="s">
        <v>75</v>
      </c>
      <c r="C48" s="228"/>
      <c r="D48" s="244" t="s">
        <v>201</v>
      </c>
      <c r="E48" s="244" t="s">
        <v>201</v>
      </c>
      <c r="F48" s="244"/>
      <c r="G48" s="251"/>
      <c r="H48" s="252">
        <v>4.0</v>
      </c>
      <c r="I48" s="253">
        <v>4.0</v>
      </c>
      <c r="J48" s="253">
        <v>4.0</v>
      </c>
      <c r="K48" s="253">
        <v>0.0</v>
      </c>
      <c r="L48" s="253"/>
      <c r="M48" s="253"/>
      <c r="N48" s="253"/>
      <c r="O48" s="253"/>
      <c r="P48" s="254"/>
      <c r="Q48" s="263">
        <f t="shared" si="9"/>
        <v>12</v>
      </c>
      <c r="R48" s="247">
        <f>IF(Q48="","",Q48+R47+'OS Offset'!B48)</f>
        <v>134</v>
      </c>
      <c r="S48" s="248">
        <f t="shared" si="10"/>
        <v>4</v>
      </c>
      <c r="T48" s="301">
        <v>3.0</v>
      </c>
      <c r="U48" s="305" t="s">
        <v>81</v>
      </c>
      <c r="V48" s="228"/>
      <c r="W48" s="244"/>
      <c r="X48" s="244"/>
      <c r="Y48" s="244"/>
      <c r="Z48" s="251" t="s">
        <v>201</v>
      </c>
      <c r="AA48" s="252"/>
      <c r="AB48" s="253"/>
      <c r="AC48" s="253"/>
      <c r="AD48" s="253"/>
      <c r="AE48" s="253"/>
      <c r="AF48" s="253"/>
      <c r="AG48" s="253"/>
      <c r="AH48" s="253"/>
      <c r="AI48" s="254"/>
      <c r="AJ48" s="306">
        <f t="shared" si="11"/>
        <v>0</v>
      </c>
      <c r="AK48" s="247">
        <f>IF(AJ48="","",AJ48+AK47+'OS Offset'!I48)</f>
        <v>39</v>
      </c>
      <c r="AL48" s="248">
        <f t="shared" si="12"/>
        <v>0</v>
      </c>
    </row>
    <row r="49" ht="33.75" customHeight="1">
      <c r="A49" s="240">
        <v>4.0</v>
      </c>
      <c r="B49" s="249" t="s">
        <v>87</v>
      </c>
      <c r="C49" s="240"/>
      <c r="D49" s="242" t="s">
        <v>201</v>
      </c>
      <c r="E49" s="242" t="s">
        <v>201</v>
      </c>
      <c r="F49" s="242"/>
      <c r="G49" s="243"/>
      <c r="H49" s="228">
        <v>4.0</v>
      </c>
      <c r="I49" s="244"/>
      <c r="J49" s="244"/>
      <c r="K49" s="244"/>
      <c r="L49" s="244"/>
      <c r="M49" s="244"/>
      <c r="N49" s="244"/>
      <c r="O49" s="244"/>
      <c r="P49" s="245"/>
      <c r="Q49" s="269">
        <f t="shared" si="9"/>
        <v>4</v>
      </c>
      <c r="R49" s="247">
        <f>IF(Q49="","",Q49+R48+'OS Offset'!B49)</f>
        <v>138</v>
      </c>
      <c r="S49" s="248">
        <f t="shared" si="10"/>
        <v>1</v>
      </c>
      <c r="T49" s="303">
        <v>4.0</v>
      </c>
      <c r="U49" s="249" t="s">
        <v>77</v>
      </c>
      <c r="V49" s="240"/>
      <c r="W49" s="242"/>
      <c r="X49" s="242"/>
      <c r="Y49" s="242"/>
      <c r="Z49" s="243"/>
      <c r="AA49" s="228">
        <v>2.0</v>
      </c>
      <c r="AB49" s="244"/>
      <c r="AC49" s="244"/>
      <c r="AD49" s="244"/>
      <c r="AE49" s="244"/>
      <c r="AF49" s="244"/>
      <c r="AG49" s="244"/>
      <c r="AH49" s="244"/>
      <c r="AI49" s="245"/>
      <c r="AJ49" s="246">
        <f t="shared" si="11"/>
        <v>2</v>
      </c>
      <c r="AK49" s="247">
        <f>IF(AJ49="","",AJ49+AK48+'OS Offset'!I49)</f>
        <v>41</v>
      </c>
      <c r="AL49" s="248">
        <f t="shared" si="12"/>
        <v>1</v>
      </c>
    </row>
    <row r="50" ht="33.75" customHeight="1">
      <c r="A50" s="304">
        <v>5.0</v>
      </c>
      <c r="B50" s="305" t="s">
        <v>60</v>
      </c>
      <c r="C50" s="228"/>
      <c r="D50" s="244" t="s">
        <v>201</v>
      </c>
      <c r="E50" s="244" t="s">
        <v>201</v>
      </c>
      <c r="F50" s="244"/>
      <c r="G50" s="251"/>
      <c r="H50" s="252">
        <v>2.0</v>
      </c>
      <c r="I50" s="253"/>
      <c r="J50" s="253"/>
      <c r="K50" s="253"/>
      <c r="L50" s="253"/>
      <c r="M50" s="253"/>
      <c r="N50" s="253"/>
      <c r="O50" s="253"/>
      <c r="P50" s="254"/>
      <c r="Q50" s="263">
        <f t="shared" si="9"/>
        <v>2</v>
      </c>
      <c r="R50" s="247">
        <f>IF(Q50="","",Q50+R49+'OS Offset'!B50)</f>
        <v>140</v>
      </c>
      <c r="S50" s="248">
        <f t="shared" si="10"/>
        <v>1</v>
      </c>
      <c r="T50" s="301">
        <v>5.0</v>
      </c>
      <c r="U50" s="305" t="s">
        <v>109</v>
      </c>
      <c r="V50" s="228"/>
      <c r="W50" s="244"/>
      <c r="X50" s="244"/>
      <c r="Y50" s="244"/>
      <c r="Z50" s="251"/>
      <c r="AA50" s="252">
        <v>2.0</v>
      </c>
      <c r="AB50" s="253"/>
      <c r="AC50" s="253"/>
      <c r="AD50" s="253"/>
      <c r="AE50" s="253"/>
      <c r="AF50" s="253"/>
      <c r="AG50" s="253"/>
      <c r="AH50" s="253"/>
      <c r="AI50" s="254"/>
      <c r="AJ50" s="306">
        <f t="shared" si="11"/>
        <v>2</v>
      </c>
      <c r="AK50" s="247">
        <f>IF(AJ50="","",AJ50+AK49+'OS Offset'!I50)</f>
        <v>43</v>
      </c>
      <c r="AL50" s="248">
        <f t="shared" si="12"/>
        <v>1</v>
      </c>
    </row>
    <row r="51" ht="33.75" customHeight="1">
      <c r="A51" s="240">
        <v>6.0</v>
      </c>
      <c r="B51" s="249" t="s">
        <v>87</v>
      </c>
      <c r="C51" s="240"/>
      <c r="D51" s="242" t="s">
        <v>201</v>
      </c>
      <c r="E51" s="242" t="s">
        <v>201</v>
      </c>
      <c r="F51" s="242"/>
      <c r="G51" s="243"/>
      <c r="H51" s="228">
        <v>4.0</v>
      </c>
      <c r="I51" s="244"/>
      <c r="J51" s="244"/>
      <c r="K51" s="244"/>
      <c r="L51" s="244"/>
      <c r="M51" s="244"/>
      <c r="N51" s="244"/>
      <c r="O51" s="244"/>
      <c r="P51" s="245"/>
      <c r="Q51" s="269">
        <f t="shared" si="9"/>
        <v>4</v>
      </c>
      <c r="R51" s="247">
        <f>IF(Q51="","",Q51+R50+'OS Offset'!B51)</f>
        <v>144</v>
      </c>
      <c r="S51" s="248">
        <f t="shared" si="10"/>
        <v>1</v>
      </c>
      <c r="T51" s="303">
        <v>6.0</v>
      </c>
      <c r="U51" s="249" t="s">
        <v>101</v>
      </c>
      <c r="V51" s="240"/>
      <c r="W51" s="242"/>
      <c r="X51" s="242"/>
      <c r="Y51" s="242"/>
      <c r="Z51" s="243"/>
      <c r="AA51" s="228">
        <v>0.0</v>
      </c>
      <c r="AB51" s="244"/>
      <c r="AC51" s="244"/>
      <c r="AD51" s="244"/>
      <c r="AE51" s="244"/>
      <c r="AF51" s="244"/>
      <c r="AG51" s="244"/>
      <c r="AH51" s="244"/>
      <c r="AI51" s="245"/>
      <c r="AJ51" s="246">
        <f t="shared" si="11"/>
        <v>0</v>
      </c>
      <c r="AK51" s="247">
        <f>IF(AJ51="","",AJ51+AK50+'OS Offset'!I51)</f>
        <v>43</v>
      </c>
      <c r="AL51" s="248">
        <f t="shared" si="12"/>
        <v>1</v>
      </c>
    </row>
    <row r="52" ht="33.75" customHeight="1">
      <c r="A52" s="304">
        <v>7.0</v>
      </c>
      <c r="B52" s="305" t="s">
        <v>83</v>
      </c>
      <c r="C52" s="228"/>
      <c r="D52" s="244" t="s">
        <v>201</v>
      </c>
      <c r="E52" s="244" t="s">
        <v>201</v>
      </c>
      <c r="F52" s="244"/>
      <c r="G52" s="251"/>
      <c r="H52" s="252">
        <v>3.0</v>
      </c>
      <c r="I52" s="253"/>
      <c r="J52" s="253"/>
      <c r="K52" s="253"/>
      <c r="L52" s="253"/>
      <c r="M52" s="253"/>
      <c r="N52" s="253"/>
      <c r="O52" s="253"/>
      <c r="P52" s="254"/>
      <c r="Q52" s="263">
        <f t="shared" si="9"/>
        <v>3</v>
      </c>
      <c r="R52" s="247">
        <f>IF(Q52="","",Q52+R51+'OS Offset'!B52)</f>
        <v>147</v>
      </c>
      <c r="S52" s="248">
        <f t="shared" si="10"/>
        <v>1</v>
      </c>
      <c r="T52" s="301">
        <v>7.0</v>
      </c>
      <c r="U52" s="305" t="s">
        <v>81</v>
      </c>
      <c r="V52" s="228"/>
      <c r="W52" s="244"/>
      <c r="X52" s="244"/>
      <c r="Y52" s="244"/>
      <c r="Z52" s="251"/>
      <c r="AA52" s="252">
        <v>0.0</v>
      </c>
      <c r="AB52" s="253"/>
      <c r="AC52" s="253"/>
      <c r="AD52" s="253"/>
      <c r="AE52" s="253"/>
      <c r="AF52" s="253"/>
      <c r="AG52" s="253"/>
      <c r="AH52" s="253"/>
      <c r="AI52" s="254"/>
      <c r="AJ52" s="306">
        <f t="shared" si="11"/>
        <v>0</v>
      </c>
      <c r="AK52" s="247">
        <f>IF(AJ52="","",AJ52+AK51+'OS Offset'!I52)</f>
        <v>43</v>
      </c>
      <c r="AL52" s="248">
        <f t="shared" si="12"/>
        <v>1</v>
      </c>
    </row>
    <row r="53" ht="33.75" customHeight="1">
      <c r="A53" s="240">
        <v>8.0</v>
      </c>
      <c r="B53" s="249" t="s">
        <v>60</v>
      </c>
      <c r="C53" s="240"/>
      <c r="D53" s="242" t="s">
        <v>201</v>
      </c>
      <c r="E53" s="242" t="s">
        <v>201</v>
      </c>
      <c r="F53" s="242"/>
      <c r="G53" s="243"/>
      <c r="H53" s="228">
        <v>4.0</v>
      </c>
      <c r="I53" s="244">
        <v>4.0</v>
      </c>
      <c r="J53" s="244"/>
      <c r="K53" s="244"/>
      <c r="L53" s="244"/>
      <c r="M53" s="244"/>
      <c r="N53" s="244"/>
      <c r="O53" s="244"/>
      <c r="P53" s="245"/>
      <c r="Q53" s="269">
        <f t="shared" si="9"/>
        <v>8</v>
      </c>
      <c r="R53" s="247">
        <f>IF(Q53="","",Q53+R52+'OS Offset'!B53)</f>
        <v>155</v>
      </c>
      <c r="S53" s="248">
        <f t="shared" si="10"/>
        <v>2</v>
      </c>
      <c r="T53" s="303">
        <v>8.0</v>
      </c>
      <c r="U53" s="249" t="s">
        <v>77</v>
      </c>
      <c r="V53" s="240"/>
      <c r="W53" s="242"/>
      <c r="X53" s="242"/>
      <c r="Y53" s="242"/>
      <c r="Z53" s="243" t="s">
        <v>201</v>
      </c>
      <c r="AA53" s="228"/>
      <c r="AB53" s="244"/>
      <c r="AC53" s="244"/>
      <c r="AD53" s="244"/>
      <c r="AE53" s="244"/>
      <c r="AF53" s="244"/>
      <c r="AG53" s="244"/>
      <c r="AH53" s="244"/>
      <c r="AI53" s="245"/>
      <c r="AJ53" s="246">
        <f t="shared" si="11"/>
        <v>0</v>
      </c>
      <c r="AK53" s="247">
        <f>IF(AJ53="","",AJ53+AK52+'OS Offset'!I53)</f>
        <v>43</v>
      </c>
      <c r="AL53" s="248">
        <f t="shared" si="12"/>
        <v>0</v>
      </c>
    </row>
    <row r="54" ht="33.75" customHeight="1">
      <c r="A54" s="304">
        <v>9.0</v>
      </c>
      <c r="B54" s="305" t="s">
        <v>75</v>
      </c>
      <c r="C54" s="228"/>
      <c r="D54" s="244" t="s">
        <v>201</v>
      </c>
      <c r="E54" s="244" t="s">
        <v>201</v>
      </c>
      <c r="F54" s="244"/>
      <c r="G54" s="251"/>
      <c r="H54" s="252">
        <v>4.0</v>
      </c>
      <c r="I54" s="253"/>
      <c r="J54" s="253"/>
      <c r="K54" s="253"/>
      <c r="L54" s="253"/>
      <c r="M54" s="253"/>
      <c r="N54" s="253"/>
      <c r="O54" s="253"/>
      <c r="P54" s="254"/>
      <c r="Q54" s="263">
        <f t="shared" si="9"/>
        <v>4</v>
      </c>
      <c r="R54" s="247">
        <f>IF(Q54="","",Q54+R53+'OS Offset'!B54)</f>
        <v>159</v>
      </c>
      <c r="S54" s="248">
        <f t="shared" si="10"/>
        <v>1</v>
      </c>
      <c r="T54" s="301">
        <v>9.0</v>
      </c>
      <c r="U54" s="305" t="s">
        <v>109</v>
      </c>
      <c r="V54" s="228"/>
      <c r="W54" s="244"/>
      <c r="X54" s="244"/>
      <c r="Y54" s="244"/>
      <c r="Z54" s="251"/>
      <c r="AA54" s="252">
        <v>0.0</v>
      </c>
      <c r="AB54" s="253"/>
      <c r="AC54" s="253"/>
      <c r="AD54" s="253"/>
      <c r="AE54" s="253"/>
      <c r="AF54" s="253"/>
      <c r="AG54" s="253"/>
      <c r="AH54" s="253"/>
      <c r="AI54" s="254"/>
      <c r="AJ54" s="306">
        <f t="shared" si="11"/>
        <v>0</v>
      </c>
      <c r="AK54" s="247">
        <f>IF(AJ54="","",AJ54+AK53+'OS Offset'!I54)</f>
        <v>43</v>
      </c>
      <c r="AL54" s="248">
        <f t="shared" si="12"/>
        <v>1</v>
      </c>
    </row>
    <row r="55" ht="33.75" customHeight="1">
      <c r="A55" s="240">
        <v>10.0</v>
      </c>
      <c r="B55" s="249" t="s">
        <v>87</v>
      </c>
      <c r="C55" s="240"/>
      <c r="D55" s="242" t="s">
        <v>201</v>
      </c>
      <c r="E55" s="242" t="s">
        <v>201</v>
      </c>
      <c r="F55" s="242"/>
      <c r="G55" s="243"/>
      <c r="H55" s="228">
        <v>4.0</v>
      </c>
      <c r="I55" s="244">
        <v>4.0</v>
      </c>
      <c r="J55" s="244">
        <v>3.0</v>
      </c>
      <c r="K55" s="244"/>
      <c r="L55" s="244"/>
      <c r="M55" s="244"/>
      <c r="N55" s="244"/>
      <c r="O55" s="244"/>
      <c r="P55" s="245"/>
      <c r="Q55" s="269">
        <f t="shared" si="9"/>
        <v>11</v>
      </c>
      <c r="R55" s="247">
        <f>IF(Q55="","",Q55+R54+'OS Offset'!B55)</f>
        <v>170</v>
      </c>
      <c r="S55" s="248">
        <f t="shared" si="10"/>
        <v>3</v>
      </c>
      <c r="T55" s="303">
        <v>10.0</v>
      </c>
      <c r="U55" s="249" t="s">
        <v>101</v>
      </c>
      <c r="V55" s="240"/>
      <c r="W55" s="242"/>
      <c r="X55" s="242"/>
      <c r="Y55" s="242"/>
      <c r="Z55" s="243"/>
      <c r="AA55" s="228">
        <v>0.0</v>
      </c>
      <c r="AB55" s="244"/>
      <c r="AC55" s="244"/>
      <c r="AD55" s="244"/>
      <c r="AE55" s="244"/>
      <c r="AF55" s="244"/>
      <c r="AG55" s="244"/>
      <c r="AH55" s="244"/>
      <c r="AI55" s="245"/>
      <c r="AJ55" s="246">
        <f t="shared" si="11"/>
        <v>0</v>
      </c>
      <c r="AK55" s="247">
        <f>IF(AJ55="","",AJ55+AK54+'OS Offset'!I55)</f>
        <v>43</v>
      </c>
      <c r="AL55" s="248">
        <f t="shared" si="12"/>
        <v>1</v>
      </c>
    </row>
    <row r="56" ht="33.75" customHeight="1">
      <c r="A56" s="304">
        <v>11.0</v>
      </c>
      <c r="B56" s="305" t="s">
        <v>60</v>
      </c>
      <c r="C56" s="228"/>
      <c r="D56" s="244" t="s">
        <v>201</v>
      </c>
      <c r="E56" s="244" t="s">
        <v>201</v>
      </c>
      <c r="F56" s="244"/>
      <c r="G56" s="251"/>
      <c r="H56" s="252">
        <v>4.0</v>
      </c>
      <c r="I56" s="253">
        <v>4.0</v>
      </c>
      <c r="J56" s="253"/>
      <c r="K56" s="253"/>
      <c r="L56" s="253"/>
      <c r="M56" s="253"/>
      <c r="N56" s="253"/>
      <c r="O56" s="253"/>
      <c r="P56" s="254"/>
      <c r="Q56" s="263">
        <f t="shared" si="9"/>
        <v>8</v>
      </c>
      <c r="R56" s="247">
        <f>IF(Q56="","",Q56+R55+'OS Offset'!B56)</f>
        <v>178</v>
      </c>
      <c r="S56" s="248">
        <f t="shared" si="10"/>
        <v>2</v>
      </c>
      <c r="T56" s="301">
        <v>11.0</v>
      </c>
      <c r="U56" s="305" t="s">
        <v>81</v>
      </c>
      <c r="V56" s="228"/>
      <c r="W56" s="244"/>
      <c r="X56" s="244"/>
      <c r="Y56" s="244"/>
      <c r="Z56" s="251" t="s">
        <v>201</v>
      </c>
      <c r="AA56" s="252"/>
      <c r="AB56" s="253"/>
      <c r="AC56" s="253"/>
      <c r="AD56" s="253"/>
      <c r="AE56" s="253"/>
      <c r="AF56" s="253"/>
      <c r="AG56" s="253"/>
      <c r="AH56" s="253"/>
      <c r="AI56" s="254"/>
      <c r="AJ56" s="306">
        <f t="shared" si="11"/>
        <v>0</v>
      </c>
      <c r="AK56" s="247">
        <f>IF(AJ56="","",AJ56+AK55+'OS Offset'!I56)</f>
        <v>43</v>
      </c>
      <c r="AL56" s="248">
        <f t="shared" si="12"/>
        <v>0</v>
      </c>
    </row>
    <row r="57" ht="33.75" customHeight="1">
      <c r="A57" s="240">
        <v>12.0</v>
      </c>
      <c r="B57" s="249" t="s">
        <v>75</v>
      </c>
      <c r="C57" s="240"/>
      <c r="D57" s="242"/>
      <c r="E57" s="242"/>
      <c r="F57" s="242"/>
      <c r="G57" s="243"/>
      <c r="H57" s="228">
        <v>0.0</v>
      </c>
      <c r="I57" s="244"/>
      <c r="J57" s="244"/>
      <c r="K57" s="244"/>
      <c r="L57" s="244"/>
      <c r="M57" s="244"/>
      <c r="N57" s="244"/>
      <c r="O57" s="244"/>
      <c r="P57" s="245"/>
      <c r="Q57" s="269">
        <f t="shared" si="9"/>
        <v>0</v>
      </c>
      <c r="R57" s="247">
        <f>IF(Q57="","",Q57+R56+'OS Offset'!B57)</f>
        <v>178</v>
      </c>
      <c r="S57" s="248">
        <f t="shared" si="10"/>
        <v>1</v>
      </c>
      <c r="T57" s="303">
        <v>12.0</v>
      </c>
      <c r="U57" s="249" t="s">
        <v>77</v>
      </c>
      <c r="V57" s="240"/>
      <c r="W57" s="242" t="s">
        <v>201</v>
      </c>
      <c r="X57" s="242" t="s">
        <v>201</v>
      </c>
      <c r="Y57" s="242"/>
      <c r="Z57" s="243"/>
      <c r="AA57" s="228">
        <v>3.0</v>
      </c>
      <c r="AB57" s="244"/>
      <c r="AC57" s="244"/>
      <c r="AD57" s="244"/>
      <c r="AE57" s="244"/>
      <c r="AF57" s="244"/>
      <c r="AG57" s="244"/>
      <c r="AH57" s="244"/>
      <c r="AI57" s="245"/>
      <c r="AJ57" s="246">
        <f t="shared" si="11"/>
        <v>3</v>
      </c>
      <c r="AK57" s="247">
        <f>IF(AJ57="","",AJ57+AK56+'OS Offset'!I57)</f>
        <v>46</v>
      </c>
      <c r="AL57" s="248">
        <f t="shared" si="12"/>
        <v>1</v>
      </c>
    </row>
    <row r="58" ht="33.75" customHeight="1">
      <c r="A58" s="304">
        <v>13.0</v>
      </c>
      <c r="B58" s="305" t="s">
        <v>87</v>
      </c>
      <c r="C58" s="228"/>
      <c r="D58" s="244" t="s">
        <v>201</v>
      </c>
      <c r="E58" s="244" t="s">
        <v>201</v>
      </c>
      <c r="F58" s="244"/>
      <c r="G58" s="251"/>
      <c r="H58" s="252">
        <v>4.0</v>
      </c>
      <c r="I58" s="253">
        <v>0.0</v>
      </c>
      <c r="J58" s="253"/>
      <c r="K58" s="253"/>
      <c r="L58" s="253"/>
      <c r="M58" s="253"/>
      <c r="N58" s="253"/>
      <c r="O58" s="253"/>
      <c r="P58" s="254"/>
      <c r="Q58" s="263">
        <f t="shared" si="9"/>
        <v>4</v>
      </c>
      <c r="R58" s="247">
        <f>IF(Q58="","",Q58+R57+'OS Offset'!B58)</f>
        <v>182</v>
      </c>
      <c r="S58" s="248">
        <f t="shared" si="10"/>
        <v>2</v>
      </c>
      <c r="T58" s="301">
        <v>1.0</v>
      </c>
      <c r="U58" s="305" t="s">
        <v>109</v>
      </c>
      <c r="V58" s="228"/>
      <c r="W58" s="244"/>
      <c r="X58" s="244"/>
      <c r="Y58" s="244"/>
      <c r="Z58" s="251"/>
      <c r="AA58" s="252">
        <v>0.0</v>
      </c>
      <c r="AB58" s="253"/>
      <c r="AC58" s="253"/>
      <c r="AD58" s="253"/>
      <c r="AE58" s="253"/>
      <c r="AF58" s="253"/>
      <c r="AG58" s="253"/>
      <c r="AH58" s="253"/>
      <c r="AI58" s="254"/>
      <c r="AJ58" s="306">
        <f t="shared" si="11"/>
        <v>0</v>
      </c>
      <c r="AK58" s="247">
        <f>IF(AJ58="","",AJ58+AK57+'OS Offset'!I58)</f>
        <v>46</v>
      </c>
      <c r="AL58" s="248">
        <f t="shared" si="12"/>
        <v>1</v>
      </c>
    </row>
    <row r="59" ht="33.75" customHeight="1">
      <c r="A59" s="240">
        <v>14.0</v>
      </c>
      <c r="B59" s="249" t="s">
        <v>60</v>
      </c>
      <c r="C59" s="240"/>
      <c r="D59" s="242" t="s">
        <v>201</v>
      </c>
      <c r="E59" s="242" t="s">
        <v>201</v>
      </c>
      <c r="F59" s="242"/>
      <c r="G59" s="243"/>
      <c r="H59" s="228">
        <v>0.0</v>
      </c>
      <c r="I59" s="244"/>
      <c r="J59" s="244"/>
      <c r="K59" s="244"/>
      <c r="L59" s="244"/>
      <c r="M59" s="244"/>
      <c r="N59" s="244"/>
      <c r="O59" s="244"/>
      <c r="P59" s="245"/>
      <c r="Q59" s="269">
        <f t="shared" si="9"/>
        <v>0</v>
      </c>
      <c r="R59" s="247">
        <f>IF(Q59="","",Q59+R58+'OS Offset'!B59)</f>
        <v>182</v>
      </c>
      <c r="S59" s="248">
        <f t="shared" si="10"/>
        <v>1</v>
      </c>
      <c r="T59" s="303">
        <v>14.0</v>
      </c>
      <c r="U59" s="249" t="s">
        <v>101</v>
      </c>
      <c r="V59" s="240"/>
      <c r="W59" s="242"/>
      <c r="X59" s="242"/>
      <c r="Y59" s="242"/>
      <c r="Z59" s="243"/>
      <c r="AA59" s="228">
        <v>0.0</v>
      </c>
      <c r="AB59" s="244"/>
      <c r="AC59" s="244"/>
      <c r="AD59" s="244"/>
      <c r="AE59" s="244"/>
      <c r="AF59" s="244"/>
      <c r="AG59" s="244"/>
      <c r="AH59" s="244"/>
      <c r="AI59" s="245"/>
      <c r="AJ59" s="246">
        <f t="shared" si="11"/>
        <v>0</v>
      </c>
      <c r="AK59" s="247">
        <f>IF(AJ59="","",AJ59+AK58+'OS Offset'!I59)</f>
        <v>46</v>
      </c>
      <c r="AL59" s="248">
        <f t="shared" si="12"/>
        <v>1</v>
      </c>
    </row>
    <row r="60" ht="33.75" customHeight="1">
      <c r="A60" s="304">
        <v>15.0</v>
      </c>
      <c r="B60" s="305" t="s">
        <v>75</v>
      </c>
      <c r="C60" s="228"/>
      <c r="D60" s="244" t="s">
        <v>201</v>
      </c>
      <c r="E60" s="244" t="s">
        <v>201</v>
      </c>
      <c r="F60" s="244"/>
      <c r="G60" s="251"/>
      <c r="H60" s="252">
        <v>4.0</v>
      </c>
      <c r="I60" s="253"/>
      <c r="J60" s="253"/>
      <c r="K60" s="253"/>
      <c r="L60" s="253"/>
      <c r="M60" s="253"/>
      <c r="N60" s="253"/>
      <c r="O60" s="253"/>
      <c r="P60" s="254"/>
      <c r="Q60" s="263">
        <f t="shared" si="9"/>
        <v>4</v>
      </c>
      <c r="R60" s="247">
        <f>IF(Q60="","",Q60+R59+'OS Offset'!B60)</f>
        <v>186</v>
      </c>
      <c r="S60" s="248">
        <f t="shared" si="10"/>
        <v>1</v>
      </c>
      <c r="T60" s="301">
        <v>15.0</v>
      </c>
      <c r="U60" s="305" t="s">
        <v>77</v>
      </c>
      <c r="V60" s="228"/>
      <c r="W60" s="244"/>
      <c r="X60" s="244"/>
      <c r="Y60" s="244"/>
      <c r="Z60" s="251"/>
      <c r="AA60" s="252">
        <v>0.0</v>
      </c>
      <c r="AB60" s="253"/>
      <c r="AC60" s="253"/>
      <c r="AD60" s="253"/>
      <c r="AE60" s="253"/>
      <c r="AF60" s="253"/>
      <c r="AG60" s="253"/>
      <c r="AH60" s="253"/>
      <c r="AI60" s="254"/>
      <c r="AJ60" s="306">
        <f t="shared" si="11"/>
        <v>0</v>
      </c>
      <c r="AK60" s="247">
        <f>IF(AJ60="","",AJ60+AK59+'OS Offset'!I60)</f>
        <v>46</v>
      </c>
      <c r="AL60" s="248">
        <f t="shared" si="12"/>
        <v>1</v>
      </c>
    </row>
    <row r="61" ht="33.75" customHeight="1">
      <c r="A61" s="240">
        <v>16.0</v>
      </c>
      <c r="B61" s="249" t="s">
        <v>87</v>
      </c>
      <c r="C61" s="240"/>
      <c r="D61" s="242"/>
      <c r="E61" s="242"/>
      <c r="F61" s="242"/>
      <c r="G61" s="243"/>
      <c r="H61" s="228">
        <v>3.0</v>
      </c>
      <c r="I61" s="244"/>
      <c r="J61" s="244"/>
      <c r="K61" s="244"/>
      <c r="L61" s="244"/>
      <c r="M61" s="244"/>
      <c r="N61" s="244"/>
      <c r="O61" s="244"/>
      <c r="P61" s="245"/>
      <c r="Q61" s="269">
        <f t="shared" si="9"/>
        <v>3</v>
      </c>
      <c r="R61" s="247">
        <f>IF(Q61="","",Q61+R60+'OS Offset'!B61)</f>
        <v>189</v>
      </c>
      <c r="S61" s="248">
        <f t="shared" si="10"/>
        <v>1</v>
      </c>
      <c r="T61" s="303">
        <v>16.0</v>
      </c>
      <c r="U61" s="249" t="s">
        <v>81</v>
      </c>
      <c r="V61" s="240"/>
      <c r="W61" s="242" t="s">
        <v>201</v>
      </c>
      <c r="X61" s="242" t="s">
        <v>201</v>
      </c>
      <c r="Y61" s="242"/>
      <c r="Z61" s="243"/>
      <c r="AA61" s="228">
        <v>2.0</v>
      </c>
      <c r="AB61" s="244"/>
      <c r="AC61" s="244"/>
      <c r="AD61" s="244"/>
      <c r="AE61" s="244"/>
      <c r="AF61" s="244"/>
      <c r="AG61" s="244"/>
      <c r="AH61" s="244"/>
      <c r="AI61" s="245"/>
      <c r="AJ61" s="246">
        <f t="shared" si="11"/>
        <v>2</v>
      </c>
      <c r="AK61" s="247">
        <f>IF(AJ61="","",AJ61+AK60+'OS Offset'!I61)</f>
        <v>48</v>
      </c>
      <c r="AL61" s="248">
        <f t="shared" si="12"/>
        <v>1</v>
      </c>
    </row>
    <row r="62" ht="33.75" customHeight="1">
      <c r="A62" s="304">
        <v>17.0</v>
      </c>
      <c r="B62" s="305" t="s">
        <v>60</v>
      </c>
      <c r="C62" s="228"/>
      <c r="D62" s="244" t="s">
        <v>201</v>
      </c>
      <c r="E62" s="244" t="s">
        <v>201</v>
      </c>
      <c r="F62" s="244"/>
      <c r="G62" s="251"/>
      <c r="H62" s="252">
        <v>4.0</v>
      </c>
      <c r="I62" s="253">
        <v>0.0</v>
      </c>
      <c r="J62" s="253"/>
      <c r="K62" s="253"/>
      <c r="L62" s="253"/>
      <c r="M62" s="253"/>
      <c r="N62" s="253"/>
      <c r="O62" s="253"/>
      <c r="P62" s="254"/>
      <c r="Q62" s="263">
        <f t="shared" si="9"/>
        <v>4</v>
      </c>
      <c r="R62" s="247">
        <f>IF(Q62="","",Q62+R61+'OS Offset'!B62)</f>
        <v>193</v>
      </c>
      <c r="S62" s="248">
        <f t="shared" si="10"/>
        <v>2</v>
      </c>
      <c r="T62" s="301">
        <v>17.0</v>
      </c>
      <c r="U62" s="305" t="s">
        <v>109</v>
      </c>
      <c r="V62" s="228"/>
      <c r="W62" s="244"/>
      <c r="X62" s="244"/>
      <c r="Y62" s="244"/>
      <c r="Z62" s="251"/>
      <c r="AA62" s="252">
        <v>1.0</v>
      </c>
      <c r="AB62" s="253"/>
      <c r="AC62" s="253"/>
      <c r="AD62" s="253"/>
      <c r="AE62" s="253"/>
      <c r="AF62" s="253"/>
      <c r="AG62" s="253"/>
      <c r="AH62" s="253"/>
      <c r="AI62" s="254"/>
      <c r="AJ62" s="306">
        <f t="shared" si="11"/>
        <v>1</v>
      </c>
      <c r="AK62" s="247">
        <f>IF(AJ62="","",AJ62+AK61+'OS Offset'!I62)</f>
        <v>49</v>
      </c>
      <c r="AL62" s="248">
        <f t="shared" si="12"/>
        <v>1</v>
      </c>
    </row>
    <row r="63" ht="33.75" customHeight="1">
      <c r="A63" s="240">
        <v>18.0</v>
      </c>
      <c r="B63" s="249" t="s">
        <v>75</v>
      </c>
      <c r="C63" s="240"/>
      <c r="D63" s="242" t="s">
        <v>201</v>
      </c>
      <c r="E63" s="242" t="s">
        <v>201</v>
      </c>
      <c r="F63" s="242"/>
      <c r="G63" s="243"/>
      <c r="H63" s="228">
        <v>4.0</v>
      </c>
      <c r="I63" s="244"/>
      <c r="J63" s="244"/>
      <c r="K63" s="244"/>
      <c r="L63" s="244"/>
      <c r="M63" s="244"/>
      <c r="N63" s="244"/>
      <c r="O63" s="244"/>
      <c r="P63" s="245"/>
      <c r="Q63" s="269">
        <f t="shared" si="9"/>
        <v>4</v>
      </c>
      <c r="R63" s="247">
        <f>IF(Q63="","",Q63+R62+'OS Offset'!B63)</f>
        <v>197</v>
      </c>
      <c r="S63" s="248">
        <f t="shared" si="10"/>
        <v>1</v>
      </c>
      <c r="T63" s="303">
        <v>18.0</v>
      </c>
      <c r="U63" s="249" t="s">
        <v>101</v>
      </c>
      <c r="V63" s="240"/>
      <c r="W63" s="242"/>
      <c r="X63" s="242"/>
      <c r="Y63" s="242"/>
      <c r="Z63" s="243"/>
      <c r="AA63" s="228">
        <v>0.0</v>
      </c>
      <c r="AB63" s="244"/>
      <c r="AC63" s="244"/>
      <c r="AD63" s="244"/>
      <c r="AE63" s="244"/>
      <c r="AF63" s="244"/>
      <c r="AG63" s="244"/>
      <c r="AH63" s="244"/>
      <c r="AI63" s="245"/>
      <c r="AJ63" s="246">
        <f t="shared" si="11"/>
        <v>0</v>
      </c>
      <c r="AK63" s="247">
        <f>IF(AJ63="","",AJ63+AK62+'OS Offset'!I63)</f>
        <v>49</v>
      </c>
      <c r="AL63" s="248">
        <f t="shared" si="12"/>
        <v>1</v>
      </c>
    </row>
    <row r="64" ht="33.75" customHeight="1">
      <c r="A64" s="304">
        <v>19.0</v>
      </c>
      <c r="B64" s="305" t="s">
        <v>87</v>
      </c>
      <c r="C64" s="228"/>
      <c r="D64" s="244" t="s">
        <v>201</v>
      </c>
      <c r="E64" s="244" t="s">
        <v>201</v>
      </c>
      <c r="F64" s="244"/>
      <c r="G64" s="251"/>
      <c r="H64" s="252">
        <v>4.0</v>
      </c>
      <c r="I64" s="253">
        <v>0.0</v>
      </c>
      <c r="J64" s="253"/>
      <c r="K64" s="253"/>
      <c r="L64" s="253"/>
      <c r="M64" s="253"/>
      <c r="N64" s="253"/>
      <c r="O64" s="253"/>
      <c r="P64" s="254"/>
      <c r="Q64" s="263">
        <f t="shared" si="9"/>
        <v>4</v>
      </c>
      <c r="R64" s="247">
        <f>IF(Q64="","",Q64+R63+'OS Offset'!B64)</f>
        <v>201</v>
      </c>
      <c r="S64" s="248">
        <f t="shared" si="10"/>
        <v>2</v>
      </c>
      <c r="T64" s="301">
        <v>19.0</v>
      </c>
      <c r="U64" s="305" t="s">
        <v>81</v>
      </c>
      <c r="V64" s="228"/>
      <c r="W64" s="244"/>
      <c r="X64" s="244"/>
      <c r="Y64" s="244"/>
      <c r="Z64" s="251"/>
      <c r="AA64" s="252">
        <v>0.0</v>
      </c>
      <c r="AB64" s="253"/>
      <c r="AC64" s="253"/>
      <c r="AD64" s="253"/>
      <c r="AE64" s="253"/>
      <c r="AF64" s="253"/>
      <c r="AG64" s="253"/>
      <c r="AH64" s="253"/>
      <c r="AI64" s="254"/>
      <c r="AJ64" s="306">
        <f t="shared" si="11"/>
        <v>0</v>
      </c>
      <c r="AK64" s="247">
        <f>IF(AJ64="","",AJ64+AK63+'OS Offset'!I64)</f>
        <v>49</v>
      </c>
      <c r="AL64" s="248">
        <f t="shared" si="12"/>
        <v>1</v>
      </c>
    </row>
    <row r="65" ht="33.75" customHeight="1">
      <c r="A65" s="240">
        <v>20.0</v>
      </c>
      <c r="B65" s="249" t="s">
        <v>60</v>
      </c>
      <c r="C65" s="240" t="s">
        <v>201</v>
      </c>
      <c r="D65" s="242" t="s">
        <v>201</v>
      </c>
      <c r="E65" s="242"/>
      <c r="F65" s="242"/>
      <c r="G65" s="243"/>
      <c r="H65" s="228">
        <v>4.0</v>
      </c>
      <c r="I65" s="244">
        <v>4.0</v>
      </c>
      <c r="J65" s="244">
        <v>4.0</v>
      </c>
      <c r="K65" s="244"/>
      <c r="L65" s="244"/>
      <c r="M65" s="244"/>
      <c r="N65" s="244"/>
      <c r="O65" s="244"/>
      <c r="P65" s="245"/>
      <c r="Q65" s="269">
        <f t="shared" si="9"/>
        <v>12</v>
      </c>
      <c r="R65" s="247">
        <f>IF(Q65="","",Q65+R64+'OS Offset'!B65)</f>
        <v>213</v>
      </c>
      <c r="S65" s="248">
        <f t="shared" si="10"/>
        <v>3</v>
      </c>
      <c r="T65" s="303">
        <v>20.0</v>
      </c>
      <c r="U65" s="249" t="s">
        <v>77</v>
      </c>
      <c r="V65" s="240" t="s">
        <v>201</v>
      </c>
      <c r="W65" s="242"/>
      <c r="X65" s="242"/>
      <c r="Y65" s="242"/>
      <c r="Z65" s="243" t="s">
        <v>201</v>
      </c>
      <c r="AA65" s="228"/>
      <c r="AB65" s="244"/>
      <c r="AC65" s="244"/>
      <c r="AD65" s="244"/>
      <c r="AE65" s="244"/>
      <c r="AF65" s="244"/>
      <c r="AG65" s="244"/>
      <c r="AH65" s="244"/>
      <c r="AI65" s="245"/>
      <c r="AJ65" s="246">
        <f t="shared" si="11"/>
        <v>0</v>
      </c>
      <c r="AK65" s="247">
        <f>IF(AJ65="","",AJ65+AK64+'OS Offset'!I65)</f>
        <v>49</v>
      </c>
      <c r="AL65" s="248">
        <f t="shared" si="12"/>
        <v>0</v>
      </c>
    </row>
    <row r="66" ht="33.75" customHeight="1">
      <c r="A66" s="304" t="s">
        <v>203</v>
      </c>
      <c r="B66" s="305"/>
      <c r="C66" s="228"/>
      <c r="D66" s="244"/>
      <c r="E66" s="244"/>
      <c r="F66" s="244"/>
      <c r="G66" s="251"/>
      <c r="H66" s="252"/>
      <c r="I66" s="253"/>
      <c r="J66" s="253"/>
      <c r="K66" s="253"/>
      <c r="L66" s="253"/>
      <c r="M66" s="253"/>
      <c r="N66" s="253"/>
      <c r="O66" s="253"/>
      <c r="P66" s="254"/>
      <c r="Q66" s="263">
        <f t="shared" si="9"/>
        <v>0</v>
      </c>
      <c r="R66" s="247">
        <f>IF(Q66="","",Q66+R65+'OS Offset'!B66)</f>
        <v>213</v>
      </c>
      <c r="S66" s="248">
        <f t="shared" si="10"/>
        <v>0</v>
      </c>
      <c r="T66" s="301" t="s">
        <v>202</v>
      </c>
      <c r="U66" s="305" t="s">
        <v>66</v>
      </c>
      <c r="V66" s="228" t="s">
        <v>201</v>
      </c>
      <c r="W66" s="244"/>
      <c r="X66" s="244"/>
      <c r="Y66" s="244"/>
      <c r="Z66" s="251"/>
      <c r="AA66" s="252">
        <v>0.0</v>
      </c>
      <c r="AB66" s="253"/>
      <c r="AC66" s="253"/>
      <c r="AD66" s="253"/>
      <c r="AE66" s="253"/>
      <c r="AF66" s="253"/>
      <c r="AG66" s="253"/>
      <c r="AH66" s="253"/>
      <c r="AI66" s="254"/>
      <c r="AJ66" s="306">
        <f t="shared" si="11"/>
        <v>0</v>
      </c>
      <c r="AK66" s="247">
        <f>IF(AJ66="","",AJ66+AK65+'OS Offset'!I66)</f>
        <v>49</v>
      </c>
      <c r="AL66" s="248">
        <f t="shared" si="12"/>
        <v>1</v>
      </c>
    </row>
    <row r="67" ht="33.75" customHeight="1">
      <c r="A67" s="240">
        <v>21.0</v>
      </c>
      <c r="B67" s="249" t="s">
        <v>75</v>
      </c>
      <c r="C67" s="240"/>
      <c r="D67" s="242"/>
      <c r="E67" s="242"/>
      <c r="F67" s="242"/>
      <c r="G67" s="243"/>
      <c r="H67" s="228">
        <v>4.0</v>
      </c>
      <c r="I67" s="244">
        <v>4.0</v>
      </c>
      <c r="J67" s="244">
        <v>0.0</v>
      </c>
      <c r="K67" s="244"/>
      <c r="L67" s="244"/>
      <c r="M67" s="244"/>
      <c r="N67" s="244"/>
      <c r="O67" s="244"/>
      <c r="P67" s="245"/>
      <c r="Q67" s="269">
        <f t="shared" si="9"/>
        <v>8</v>
      </c>
      <c r="R67" s="247">
        <f>IF(Q67="","",Q67+R66+'OS Offset'!B67)</f>
        <v>221</v>
      </c>
      <c r="S67" s="248">
        <f t="shared" si="10"/>
        <v>3</v>
      </c>
      <c r="T67" s="303">
        <v>21.0</v>
      </c>
      <c r="U67" s="249" t="s">
        <v>109</v>
      </c>
      <c r="V67" s="240"/>
      <c r="W67" s="242" t="s">
        <v>201</v>
      </c>
      <c r="X67" s="242" t="s">
        <v>201</v>
      </c>
      <c r="Y67" s="242"/>
      <c r="Z67" s="243"/>
      <c r="AA67" s="228">
        <v>4.0</v>
      </c>
      <c r="AB67" s="244"/>
      <c r="AC67" s="244"/>
      <c r="AD67" s="244"/>
      <c r="AE67" s="244"/>
      <c r="AF67" s="244"/>
      <c r="AG67" s="244"/>
      <c r="AH67" s="244"/>
      <c r="AI67" s="245"/>
      <c r="AJ67" s="246">
        <f t="shared" si="11"/>
        <v>4</v>
      </c>
      <c r="AK67" s="247">
        <f>IF(AJ67="","",AJ67+AK66+'OS Offset'!I67)</f>
        <v>53</v>
      </c>
      <c r="AL67" s="248">
        <f t="shared" si="12"/>
        <v>1</v>
      </c>
    </row>
    <row r="68" ht="33.75" customHeight="1">
      <c r="A68" s="304">
        <v>22.0</v>
      </c>
      <c r="B68" s="305" t="s">
        <v>87</v>
      </c>
      <c r="C68" s="228"/>
      <c r="D68" s="244" t="s">
        <v>201</v>
      </c>
      <c r="E68" s="244" t="s">
        <v>201</v>
      </c>
      <c r="F68" s="244"/>
      <c r="G68" s="251"/>
      <c r="H68" s="252">
        <v>2.0</v>
      </c>
      <c r="I68" s="253"/>
      <c r="J68" s="253"/>
      <c r="K68" s="253"/>
      <c r="L68" s="253"/>
      <c r="M68" s="253"/>
      <c r="N68" s="253"/>
      <c r="O68" s="253"/>
      <c r="P68" s="254"/>
      <c r="Q68" s="263">
        <f t="shared" si="9"/>
        <v>2</v>
      </c>
      <c r="R68" s="247">
        <f>IF(Q68="","",Q68+R67+'OS Offset'!B68)</f>
        <v>223</v>
      </c>
      <c r="S68" s="248">
        <f t="shared" si="10"/>
        <v>1</v>
      </c>
      <c r="T68" s="301">
        <v>22.0</v>
      </c>
      <c r="U68" s="305" t="s">
        <v>101</v>
      </c>
      <c r="V68" s="228"/>
      <c r="W68" s="244"/>
      <c r="X68" s="244"/>
      <c r="Y68" s="244"/>
      <c r="Z68" s="251"/>
      <c r="AA68" s="252">
        <v>4.0</v>
      </c>
      <c r="AB68" s="253"/>
      <c r="AC68" s="253"/>
      <c r="AD68" s="253"/>
      <c r="AE68" s="253"/>
      <c r="AF68" s="253"/>
      <c r="AG68" s="253"/>
      <c r="AH68" s="253"/>
      <c r="AI68" s="254"/>
      <c r="AJ68" s="306">
        <f t="shared" si="11"/>
        <v>4</v>
      </c>
      <c r="AK68" s="247">
        <f>IF(AJ68="","",AJ68+AK67+'OS Offset'!I68)</f>
        <v>57</v>
      </c>
      <c r="AL68" s="248">
        <f t="shared" si="12"/>
        <v>1</v>
      </c>
    </row>
    <row r="69" ht="33.75" customHeight="1">
      <c r="A69" s="240">
        <v>23.0</v>
      </c>
      <c r="B69" s="249" t="s">
        <v>60</v>
      </c>
      <c r="C69" s="240"/>
      <c r="D69" s="242" t="s">
        <v>201</v>
      </c>
      <c r="E69" s="242" t="s">
        <v>201</v>
      </c>
      <c r="F69" s="242"/>
      <c r="G69" s="243"/>
      <c r="H69" s="228">
        <v>4.0</v>
      </c>
      <c r="I69" s="244">
        <v>1.0</v>
      </c>
      <c r="J69" s="244"/>
      <c r="K69" s="244"/>
      <c r="L69" s="244"/>
      <c r="M69" s="244"/>
      <c r="N69" s="244"/>
      <c r="O69" s="244"/>
      <c r="P69" s="245"/>
      <c r="Q69" s="269">
        <f t="shared" si="9"/>
        <v>5</v>
      </c>
      <c r="R69" s="247">
        <f>IF(Q69="","",Q69+R68+'OS Offset'!B69)</f>
        <v>228</v>
      </c>
      <c r="S69" s="248">
        <f t="shared" si="10"/>
        <v>2</v>
      </c>
      <c r="T69" s="303">
        <v>23.0</v>
      </c>
      <c r="U69" s="249" t="s">
        <v>81</v>
      </c>
      <c r="V69" s="240"/>
      <c r="W69" s="242"/>
      <c r="X69" s="242"/>
      <c r="Y69" s="242"/>
      <c r="Z69" s="243" t="s">
        <v>201</v>
      </c>
      <c r="AA69" s="228"/>
      <c r="AB69" s="244"/>
      <c r="AC69" s="244"/>
      <c r="AD69" s="244"/>
      <c r="AE69" s="244"/>
      <c r="AF69" s="244"/>
      <c r="AG69" s="244"/>
      <c r="AH69" s="244"/>
      <c r="AI69" s="245"/>
      <c r="AJ69" s="246">
        <f t="shared" si="11"/>
        <v>0</v>
      </c>
      <c r="AK69" s="247">
        <f>IF(AJ69="","",AJ69+AK68+'OS Offset'!I69)</f>
        <v>57</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204</v>
      </c>
      <c r="C84" s="285">
        <f t="shared" ref="C84:G84" si="13">IF($A$84="","",COUNTIF(C$46:C$83, "X"))</f>
        <v>1</v>
      </c>
      <c r="D84" s="277">
        <f t="shared" si="13"/>
        <v>19</v>
      </c>
      <c r="E84" s="277">
        <f t="shared" si="13"/>
        <v>18</v>
      </c>
      <c r="F84" s="277">
        <f t="shared" si="13"/>
        <v>0</v>
      </c>
      <c r="G84" s="308">
        <f t="shared" si="13"/>
        <v>0</v>
      </c>
      <c r="H84" s="278">
        <f t="shared" ref="H84:Q84" si="14">IF(COUNT(H46:H83),SUM(H46:H83),"")</f>
        <v>78</v>
      </c>
      <c r="I84" s="279">
        <f t="shared" si="14"/>
        <v>25</v>
      </c>
      <c r="J84" s="279">
        <f t="shared" si="14"/>
        <v>11</v>
      </c>
      <c r="K84" s="279">
        <f t="shared" si="14"/>
        <v>0</v>
      </c>
      <c r="L84" s="279" t="str">
        <f t="shared" si="14"/>
        <v/>
      </c>
      <c r="M84" s="279" t="str">
        <f t="shared" si="14"/>
        <v/>
      </c>
      <c r="N84" s="279" t="str">
        <f t="shared" si="14"/>
        <v/>
      </c>
      <c r="O84" s="279" t="str">
        <f t="shared" si="14"/>
        <v/>
      </c>
      <c r="P84" s="309" t="str">
        <f t="shared" si="14"/>
        <v/>
      </c>
      <c r="Q84" s="281">
        <f t="shared" si="14"/>
        <v>114</v>
      </c>
      <c r="R84" s="282">
        <f>IF(A84="","",MAX(R46:R83))</f>
        <v>228</v>
      </c>
      <c r="S84" s="310"/>
      <c r="T84" s="274">
        <f>IF(COUNT(T46:T83),COUNT(T46:T83),"")</f>
        <v>23</v>
      </c>
      <c r="U84" s="275" t="s">
        <v>204</v>
      </c>
      <c r="V84" s="276">
        <f t="shared" ref="V84:Z84" si="15">IF($T$84="","",COUNTIF(V$46:V$83, "X"))</f>
        <v>2</v>
      </c>
      <c r="W84" s="277">
        <f t="shared" si="15"/>
        <v>4</v>
      </c>
      <c r="X84" s="277">
        <f t="shared" si="15"/>
        <v>3</v>
      </c>
      <c r="Y84" s="277">
        <f t="shared" si="15"/>
        <v>0</v>
      </c>
      <c r="Z84" s="277">
        <f t="shared" si="15"/>
        <v>5</v>
      </c>
      <c r="AA84" s="278">
        <f t="shared" ref="AA84:AJ84" si="16">IF(COUNT(AA46:AA83),SUM(AA46:AA83),"")</f>
        <v>22</v>
      </c>
      <c r="AB84" s="279">
        <f t="shared" si="16"/>
        <v>4</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29</v>
      </c>
      <c r="AK84" s="282">
        <f>IF(T84="","",MAX(AK46:AK83))</f>
        <v>57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Mile High Club</v>
      </c>
      <c r="B1" s="205"/>
      <c r="C1" s="205"/>
      <c r="D1" s="205"/>
      <c r="E1" s="205"/>
      <c r="F1" s="205"/>
      <c r="G1" s="205"/>
      <c r="H1" s="206"/>
      <c r="I1" s="207" t="str">
        <f>IF(ISBLANK(IGRF!$B$12), "", IGRF!$B$12)</f>
        <v>Blue</v>
      </c>
      <c r="J1" s="151"/>
      <c r="K1" s="151"/>
      <c r="L1" s="314">
        <f>IF(ISBLANK(IGRF!$B$7), "", IGRF!$B$7)</f>
        <v>45108</v>
      </c>
      <c r="M1" s="211"/>
      <c r="N1" s="209"/>
      <c r="O1" s="151"/>
      <c r="P1" s="151"/>
      <c r="Q1" s="313" t="str">
        <f>Score!$T$1</f>
        <v>Rose City Rollers / Rose City Rollers: Axles of Annihilation</v>
      </c>
      <c r="R1" s="205"/>
      <c r="S1" s="205"/>
      <c r="T1" s="205"/>
      <c r="U1" s="205"/>
      <c r="V1" s="205"/>
      <c r="W1" s="205"/>
      <c r="X1" s="205"/>
      <c r="Y1" s="206"/>
      <c r="Z1" s="207" t="str">
        <f>IF(ISBLANK(IGRF!$I$12), "", IGRF!$I$12)</f>
        <v>White</v>
      </c>
      <c r="AA1" s="151"/>
      <c r="AB1" s="315">
        <v>1.0</v>
      </c>
      <c r="AC1" s="313" t="str">
        <f>A1</f>
        <v>Denver roller Derby / Mile High Club</v>
      </c>
      <c r="AD1" s="205"/>
      <c r="AE1" s="205"/>
      <c r="AF1" s="205"/>
      <c r="AG1" s="205"/>
      <c r="AH1" s="205"/>
      <c r="AI1" s="205"/>
      <c r="AJ1" s="206"/>
      <c r="AK1" s="207" t="str">
        <f>I1</f>
        <v>Blue</v>
      </c>
      <c r="AL1" s="151"/>
      <c r="AM1" s="151"/>
      <c r="AN1" s="314">
        <f>L1</f>
        <v>45108</v>
      </c>
      <c r="AO1" s="211"/>
      <c r="AP1" s="209"/>
      <c r="AQ1" s="151"/>
      <c r="AR1" s="151"/>
      <c r="AS1" s="313" t="str">
        <f>Q1</f>
        <v>Rose City Rollers / Rose City Rollers: Axles of Annihilation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179</v>
      </c>
      <c r="L2" s="320" t="s">
        <v>180</v>
      </c>
      <c r="M2" s="321"/>
      <c r="N2" s="322" t="s">
        <v>146</v>
      </c>
      <c r="Q2" s="316"/>
      <c r="R2" s="317"/>
      <c r="S2" s="317"/>
      <c r="T2" s="317"/>
      <c r="U2" s="317"/>
      <c r="V2" s="317"/>
      <c r="W2" s="317"/>
      <c r="X2" s="317"/>
      <c r="Y2" s="318"/>
      <c r="Z2" s="323" t="s">
        <v>179</v>
      </c>
      <c r="AA2" s="147"/>
      <c r="AB2" s="324" t="str">
        <f>IF(ISBLANK(IGRF!$L$3), "", "GAME " &amp; IGRF!$L$3)</f>
        <v>GAME 1</v>
      </c>
      <c r="AC2" s="316"/>
      <c r="AD2" s="317"/>
      <c r="AE2" s="317"/>
      <c r="AF2" s="317"/>
      <c r="AG2" s="317"/>
      <c r="AH2" s="317"/>
      <c r="AI2" s="317"/>
      <c r="AJ2" s="318"/>
      <c r="AK2" s="319" t="s">
        <v>179</v>
      </c>
      <c r="AN2" s="320" t="s">
        <v>180</v>
      </c>
      <c r="AO2" s="321"/>
      <c r="AP2" s="322" t="s">
        <v>146</v>
      </c>
      <c r="AS2" s="316"/>
      <c r="AT2" s="317"/>
      <c r="AU2" s="317"/>
      <c r="AV2" s="317"/>
      <c r="AW2" s="317"/>
      <c r="AX2" s="317"/>
      <c r="AY2" s="317"/>
      <c r="AZ2" s="317"/>
      <c r="BA2" s="318"/>
      <c r="BB2" s="323" t="s">
        <v>179</v>
      </c>
      <c r="BC2" s="147"/>
      <c r="BD2" s="324" t="str">
        <f>AB2</f>
        <v>GAME 1</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11</v>
      </c>
      <c r="Q4" s="336"/>
      <c r="R4" s="337"/>
      <c r="S4" s="337"/>
      <c r="T4" s="337"/>
      <c r="U4" s="337"/>
      <c r="V4" s="338"/>
      <c r="W4" s="339"/>
      <c r="X4" s="340"/>
      <c r="Y4" s="341"/>
      <c r="Z4" s="342"/>
      <c r="AA4" s="347" t="str">
        <f>IF(COUNTA(Q4:Y4)=0,"",COUNTA(Q4:Y4))</f>
        <v/>
      </c>
      <c r="AB4" s="348" t="s">
        <v>211</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11</v>
      </c>
      <c r="AS4" s="336" t="s">
        <v>212</v>
      </c>
      <c r="AT4" s="337"/>
      <c r="AU4" s="337"/>
      <c r="AV4" s="337"/>
      <c r="AW4" s="337"/>
      <c r="AX4" s="338"/>
      <c r="AY4" s="339"/>
      <c r="AZ4" s="340"/>
      <c r="BA4" s="341"/>
      <c r="BB4" s="342"/>
      <c r="BC4" s="343">
        <f>IF(COUNTA(AS4:BA4)=0,"",COUNTA(AS4:BA4))</f>
        <v>1</v>
      </c>
      <c r="BD4" s="348" t="s">
        <v>211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213</v>
      </c>
      <c r="AC5" s="350"/>
      <c r="AD5" s="355"/>
      <c r="AE5" s="352"/>
      <c r="AF5" s="352"/>
      <c r="AG5" s="352"/>
      <c r="AH5" s="352"/>
      <c r="AI5" s="353"/>
      <c r="AJ5" s="354"/>
      <c r="AK5" s="355"/>
      <c r="AL5" s="356"/>
      <c r="AM5" s="357"/>
      <c r="AN5" s="350"/>
      <c r="AO5" s="358">
        <v>2.0</v>
      </c>
      <c r="AP5" s="8"/>
      <c r="AQ5" s="160"/>
      <c r="AR5" s="69"/>
      <c r="AS5" s="351">
        <v>14.0</v>
      </c>
      <c r="AT5" s="352"/>
      <c r="AU5" s="352"/>
      <c r="AV5" s="352"/>
      <c r="AW5" s="352"/>
      <c r="AX5" s="353"/>
      <c r="AY5" s="354"/>
      <c r="AZ5" s="355"/>
      <c r="BA5" s="356"/>
      <c r="BB5" s="357"/>
      <c r="BC5" s="350"/>
      <c r="BD5" s="359" t="s">
        <v>213</v>
      </c>
    </row>
    <row r="6" ht="18.75" customHeight="1">
      <c r="A6" s="360" t="str">
        <f>IF(IGRF!B15="","",IGRF!B15)</f>
        <v>1706</v>
      </c>
      <c r="B6" s="361" t="s">
        <v>214</v>
      </c>
      <c r="C6" s="362"/>
      <c r="D6" s="362"/>
      <c r="E6" s="362"/>
      <c r="F6" s="362"/>
      <c r="G6" s="363"/>
      <c r="H6" s="364"/>
      <c r="I6" s="365"/>
      <c r="J6" s="366"/>
      <c r="K6" s="342"/>
      <c r="L6" s="367">
        <f>IF(COUNTA(B6:J6)=0,"",COUNTA(B6:J6))</f>
        <v>1</v>
      </c>
      <c r="M6" s="368">
        <v>3.0</v>
      </c>
      <c r="O6" s="2"/>
      <c r="P6" s="360" t="str">
        <f>IF(IGRF!I15="","",IGRF!I15)</f>
        <v>128</v>
      </c>
      <c r="Q6" s="361" t="s">
        <v>215</v>
      </c>
      <c r="R6" s="362"/>
      <c r="S6" s="362"/>
      <c r="T6" s="362"/>
      <c r="U6" s="362"/>
      <c r="V6" s="363"/>
      <c r="W6" s="364"/>
      <c r="X6" s="365"/>
      <c r="Y6" s="366"/>
      <c r="Z6" s="342"/>
      <c r="AA6" s="367">
        <f>IF(COUNTA(Q6:Y6)=0,"",COUNTA(Q6:Y6))</f>
        <v>1</v>
      </c>
      <c r="AB6" s="359" t="s">
        <v>216</v>
      </c>
      <c r="AC6" s="360" t="str">
        <f>IF(IGRF!B15="","",IGRF!B15)</f>
        <v>1706</v>
      </c>
      <c r="AD6" s="369"/>
      <c r="AE6" s="362" t="s">
        <v>217</v>
      </c>
      <c r="AF6" s="362"/>
      <c r="AG6" s="362"/>
      <c r="AH6" s="362"/>
      <c r="AI6" s="363"/>
      <c r="AJ6" s="364"/>
      <c r="AK6" s="365"/>
      <c r="AL6" s="366"/>
      <c r="AM6" s="342"/>
      <c r="AN6" s="367">
        <f>IF(COUNTA(AD6:AL6)=0,"",COUNTA(AD6:AL6))</f>
        <v>1</v>
      </c>
      <c r="AO6" s="368">
        <v>3.0</v>
      </c>
      <c r="AQ6" s="2"/>
      <c r="AR6" s="370" t="str">
        <f>IF(IGRF!I15="","",IGRF!I15)</f>
        <v>128</v>
      </c>
      <c r="AS6" s="361"/>
      <c r="AT6" s="362" t="s">
        <v>214</v>
      </c>
      <c r="AU6" s="362"/>
      <c r="AV6" s="362"/>
      <c r="AW6" s="362"/>
      <c r="AX6" s="363"/>
      <c r="AY6" s="364"/>
      <c r="AZ6" s="365"/>
      <c r="BA6" s="366"/>
      <c r="BB6" s="342"/>
      <c r="BC6" s="367">
        <f>IF(COUNTA(AS6:BA6)=0,"",COUNTA(AS6:BA6))</f>
        <v>1</v>
      </c>
      <c r="BD6" s="359" t="s">
        <v>216</v>
      </c>
    </row>
    <row r="7" ht="18.75" customHeight="1">
      <c r="A7" s="350"/>
      <c r="B7" s="371">
        <v>20.0</v>
      </c>
      <c r="C7" s="372"/>
      <c r="D7" s="372"/>
      <c r="E7" s="372"/>
      <c r="F7" s="372"/>
      <c r="G7" s="373"/>
      <c r="H7" s="374"/>
      <c r="I7" s="375"/>
      <c r="J7" s="376"/>
      <c r="K7" s="357"/>
      <c r="L7" s="350"/>
      <c r="M7" s="358">
        <v>4.0</v>
      </c>
      <c r="N7" s="8"/>
      <c r="O7" s="160"/>
      <c r="P7" s="350"/>
      <c r="Q7" s="371">
        <v>11.0</v>
      </c>
      <c r="R7" s="372"/>
      <c r="S7" s="372"/>
      <c r="T7" s="372"/>
      <c r="U7" s="372"/>
      <c r="V7" s="373"/>
      <c r="W7" s="374"/>
      <c r="X7" s="375"/>
      <c r="Y7" s="376"/>
      <c r="Z7" s="357"/>
      <c r="AA7" s="350"/>
      <c r="AB7" s="377" t="s">
        <v>218</v>
      </c>
      <c r="AC7" s="350"/>
      <c r="AD7" s="378"/>
      <c r="AE7" s="372">
        <v>2.0</v>
      </c>
      <c r="AF7" s="372"/>
      <c r="AG7" s="372"/>
      <c r="AH7" s="372"/>
      <c r="AI7" s="373"/>
      <c r="AJ7" s="374"/>
      <c r="AK7" s="375"/>
      <c r="AL7" s="376"/>
      <c r="AM7" s="357"/>
      <c r="AN7" s="350"/>
      <c r="AO7" s="358">
        <v>4.0</v>
      </c>
      <c r="AP7" s="8"/>
      <c r="AQ7" s="160"/>
      <c r="AR7" s="379"/>
      <c r="AS7" s="371"/>
      <c r="AT7" s="372">
        <v>8.0</v>
      </c>
      <c r="AU7" s="372"/>
      <c r="AV7" s="372"/>
      <c r="AW7" s="372"/>
      <c r="AX7" s="373"/>
      <c r="AY7" s="374"/>
      <c r="AZ7" s="375"/>
      <c r="BA7" s="376"/>
      <c r="BB7" s="357"/>
      <c r="BC7" s="350"/>
      <c r="BD7" s="377" t="s">
        <v>218</v>
      </c>
    </row>
    <row r="8" ht="18.75" customHeight="1">
      <c r="A8" s="335" t="str">
        <f>IF(IGRF!B16="","",IGRF!B16)</f>
        <v>2</v>
      </c>
      <c r="B8" s="336" t="s">
        <v>215</v>
      </c>
      <c r="C8" s="337"/>
      <c r="D8" s="337"/>
      <c r="E8" s="337"/>
      <c r="F8" s="337"/>
      <c r="G8" s="338"/>
      <c r="H8" s="339"/>
      <c r="I8" s="340"/>
      <c r="J8" s="341"/>
      <c r="K8" s="342"/>
      <c r="L8" s="343">
        <f>IF(COUNTA(B8:J8)=0,"",COUNTA(B8:J8))</f>
        <v>1</v>
      </c>
      <c r="M8" s="368">
        <v>5.0</v>
      </c>
      <c r="O8" s="2"/>
      <c r="P8" s="335" t="str">
        <f>IF(IGRF!I16="","",IGRF!I16)</f>
        <v>139</v>
      </c>
      <c r="Q8" s="336"/>
      <c r="R8" s="337"/>
      <c r="S8" s="337"/>
      <c r="T8" s="337"/>
      <c r="U8" s="337"/>
      <c r="V8" s="338"/>
      <c r="W8" s="339"/>
      <c r="X8" s="340"/>
      <c r="Y8" s="341"/>
      <c r="Z8" s="342"/>
      <c r="AA8" s="343" t="str">
        <f>IF(COUNTA(Q8:Y8)=0,"",COUNTA(Q8:Y8))</f>
        <v/>
      </c>
      <c r="AB8" s="380" t="s">
        <v>219</v>
      </c>
      <c r="AC8" s="335" t="str">
        <f>IF(IGRF!B16="","",IGRF!B16)</f>
        <v>2</v>
      </c>
      <c r="AD8" s="340"/>
      <c r="AE8" s="337"/>
      <c r="AF8" s="337"/>
      <c r="AG8" s="337"/>
      <c r="AH8" s="337"/>
      <c r="AI8" s="338"/>
      <c r="AJ8" s="339"/>
      <c r="AK8" s="340"/>
      <c r="AL8" s="341"/>
      <c r="AM8" s="342"/>
      <c r="AN8" s="343" t="str">
        <f>IF(COUNTA(AD8:AL8)=0,"",COUNTA(AD8:AL8))</f>
        <v/>
      </c>
      <c r="AO8" s="368">
        <v>5.0</v>
      </c>
      <c r="AQ8" s="2"/>
      <c r="AR8" s="349" t="str">
        <f>IF(IGRF!I16="","",IGRF!I16)</f>
        <v>139</v>
      </c>
      <c r="AS8" s="336"/>
      <c r="AT8" s="337"/>
      <c r="AU8" s="337"/>
      <c r="AV8" s="337"/>
      <c r="AW8" s="337"/>
      <c r="AX8" s="338"/>
      <c r="AY8" s="339"/>
      <c r="AZ8" s="340"/>
      <c r="BA8" s="341"/>
      <c r="BB8" s="342"/>
      <c r="BC8" s="343" t="str">
        <f>IF(COUNTA(AS8:BA8)=0,"",COUNTA(AS8:BA8))</f>
        <v/>
      </c>
      <c r="BD8" s="380" t="s">
        <v>219</v>
      </c>
    </row>
    <row r="9" ht="18.75" customHeight="1">
      <c r="A9" s="350"/>
      <c r="B9" s="351">
        <v>11.0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220</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220</v>
      </c>
    </row>
    <row r="10" ht="18.75" customHeight="1">
      <c r="A10" s="360" t="str">
        <f>IF(IGRF!B17="","",IGRF!B17)</f>
        <v>22</v>
      </c>
      <c r="B10" s="361" t="s">
        <v>214</v>
      </c>
      <c r="C10" s="362"/>
      <c r="D10" s="362"/>
      <c r="E10" s="362"/>
      <c r="F10" s="362"/>
      <c r="G10" s="363"/>
      <c r="H10" s="364"/>
      <c r="I10" s="365"/>
      <c r="J10" s="366"/>
      <c r="K10" s="342"/>
      <c r="L10" s="367">
        <f>IF(COUNTA(B10:J10)=0,"",COUNTA(B10:J10))</f>
        <v>1</v>
      </c>
      <c r="M10" s="368">
        <v>7.0</v>
      </c>
      <c r="O10" s="2"/>
      <c r="P10" s="360" t="str">
        <f>IF(IGRF!I17="","",IGRF!I17)</f>
        <v>22</v>
      </c>
      <c r="Q10" s="361" t="s">
        <v>217</v>
      </c>
      <c r="R10" s="362" t="s">
        <v>211</v>
      </c>
      <c r="S10" s="362" t="s">
        <v>214</v>
      </c>
      <c r="T10" s="362"/>
      <c r="U10" s="362"/>
      <c r="V10" s="363"/>
      <c r="W10" s="364"/>
      <c r="X10" s="365"/>
      <c r="Y10" s="366"/>
      <c r="Z10" s="342"/>
      <c r="AA10" s="367">
        <f>IF(COUNTA(Q10:Y10)=0,"",COUNTA(Q10:Y10))</f>
        <v>3</v>
      </c>
      <c r="AB10" s="382" t="s">
        <v>221</v>
      </c>
      <c r="AC10" s="360" t="str">
        <f>IF(IGRF!B17="","",IGRF!B17)</f>
        <v>22</v>
      </c>
      <c r="AD10" s="369"/>
      <c r="AE10" s="362" t="s">
        <v>214</v>
      </c>
      <c r="AF10" s="362" t="s">
        <v>222</v>
      </c>
      <c r="AG10" s="362"/>
      <c r="AH10" s="362"/>
      <c r="AI10" s="363"/>
      <c r="AJ10" s="364"/>
      <c r="AK10" s="365"/>
      <c r="AL10" s="366"/>
      <c r="AM10" s="342"/>
      <c r="AN10" s="367">
        <f>IF(COUNTA(AD10:AL10)=0,"",COUNTA(AD10:AL10))</f>
        <v>2</v>
      </c>
      <c r="AO10" s="368">
        <v>7.0</v>
      </c>
      <c r="AQ10" s="2"/>
      <c r="AR10" s="370" t="str">
        <f>IF(IGRF!I17="","",IGRF!I17)</f>
        <v>22</v>
      </c>
      <c r="AS10" s="361"/>
      <c r="AT10" s="362"/>
      <c r="AU10" s="362"/>
      <c r="AV10" s="362" t="s">
        <v>217</v>
      </c>
      <c r="AW10" s="362" t="s">
        <v>214</v>
      </c>
      <c r="AX10" s="363"/>
      <c r="AY10" s="364"/>
      <c r="AZ10" s="365"/>
      <c r="BA10" s="366"/>
      <c r="BB10" s="342"/>
      <c r="BC10" s="367">
        <f>IF(COUNTA(AS10:BA10)=0,"",COUNTA(AS10:BA10))</f>
        <v>2</v>
      </c>
      <c r="BD10" s="382" t="s">
        <v>221</v>
      </c>
    </row>
    <row r="11" ht="18.75" customHeight="1">
      <c r="A11" s="350"/>
      <c r="B11" s="371">
        <v>13.0</v>
      </c>
      <c r="C11" s="372"/>
      <c r="D11" s="372"/>
      <c r="E11" s="372"/>
      <c r="F11" s="372"/>
      <c r="G11" s="373"/>
      <c r="H11" s="374"/>
      <c r="I11" s="375"/>
      <c r="J11" s="376"/>
      <c r="K11" s="357"/>
      <c r="L11" s="350"/>
      <c r="M11" s="358">
        <v>8.0</v>
      </c>
      <c r="N11" s="8"/>
      <c r="O11" s="160"/>
      <c r="P11" s="350"/>
      <c r="Q11" s="371">
        <v>19.0</v>
      </c>
      <c r="R11" s="372">
        <v>19.0</v>
      </c>
      <c r="S11" s="372">
        <v>20.0</v>
      </c>
      <c r="T11" s="372"/>
      <c r="U11" s="372"/>
      <c r="V11" s="373"/>
      <c r="W11" s="374"/>
      <c r="X11" s="375"/>
      <c r="Y11" s="376"/>
      <c r="Z11" s="357"/>
      <c r="AA11" s="350"/>
      <c r="AB11" s="381" t="s">
        <v>223</v>
      </c>
      <c r="AC11" s="350"/>
      <c r="AD11" s="378"/>
      <c r="AE11" s="372">
        <v>15.0</v>
      </c>
      <c r="AF11" s="372">
        <v>19.0</v>
      </c>
      <c r="AG11" s="372"/>
      <c r="AH11" s="372"/>
      <c r="AI11" s="373"/>
      <c r="AJ11" s="374"/>
      <c r="AK11" s="375"/>
      <c r="AL11" s="376"/>
      <c r="AM11" s="357"/>
      <c r="AN11" s="350"/>
      <c r="AO11" s="358">
        <v>8.0</v>
      </c>
      <c r="AP11" s="8"/>
      <c r="AQ11" s="160"/>
      <c r="AR11" s="379"/>
      <c r="AS11" s="371" t="s">
        <v>224</v>
      </c>
      <c r="AT11" s="372"/>
      <c r="AU11" s="372"/>
      <c r="AV11" s="372">
        <v>3.0</v>
      </c>
      <c r="AW11" s="372">
        <v>7.0</v>
      </c>
      <c r="AX11" s="373"/>
      <c r="AY11" s="374"/>
      <c r="AZ11" s="375"/>
      <c r="BA11" s="376"/>
      <c r="BB11" s="357"/>
      <c r="BC11" s="350"/>
      <c r="BD11" s="381" t="s">
        <v>223</v>
      </c>
    </row>
    <row r="12" ht="18.75" customHeight="1">
      <c r="A12" s="335" t="str">
        <f>IF(IGRF!B18="","",IGRF!B18)</f>
        <v>27</v>
      </c>
      <c r="B12" s="336"/>
      <c r="C12" s="337"/>
      <c r="D12" s="337"/>
      <c r="E12" s="337"/>
      <c r="F12" s="337"/>
      <c r="G12" s="338"/>
      <c r="H12" s="339"/>
      <c r="I12" s="340"/>
      <c r="J12" s="341"/>
      <c r="K12" s="342"/>
      <c r="L12" s="343" t="str">
        <f>IF(COUNTA(B12:J12)=0,"",COUNTA(B12:J12))</f>
        <v/>
      </c>
      <c r="M12" s="368">
        <v>9.0</v>
      </c>
      <c r="O12" s="2"/>
      <c r="P12" s="335" t="str">
        <f>IF(IGRF!I18="","",IGRF!I18)</f>
        <v>241</v>
      </c>
      <c r="Q12" s="336"/>
      <c r="R12" s="337"/>
      <c r="S12" s="337"/>
      <c r="T12" s="337"/>
      <c r="U12" s="337"/>
      <c r="V12" s="338"/>
      <c r="W12" s="339"/>
      <c r="X12" s="340"/>
      <c r="Y12" s="341"/>
      <c r="Z12" s="342"/>
      <c r="AA12" s="343" t="str">
        <f>IF(COUNTA(Q12:Y12)=0,"",COUNTA(Q12:Y12))</f>
        <v/>
      </c>
      <c r="AB12" s="382" t="s">
        <v>225</v>
      </c>
      <c r="AC12" s="335" t="str">
        <f>IF(IGRF!B18="","",IGRF!B18)</f>
        <v>27</v>
      </c>
      <c r="AD12" s="340" t="s">
        <v>215</v>
      </c>
      <c r="AE12" s="337"/>
      <c r="AF12" s="337"/>
      <c r="AG12" s="337"/>
      <c r="AH12" s="337"/>
      <c r="AI12" s="338"/>
      <c r="AJ12" s="339"/>
      <c r="AK12" s="340"/>
      <c r="AL12" s="341"/>
      <c r="AM12" s="342"/>
      <c r="AN12" s="343">
        <f>IF(COUNTA(AD12:AL12)=0,"",COUNTA(AD12:AL12))</f>
        <v>1</v>
      </c>
      <c r="AO12" s="368">
        <v>9.0</v>
      </c>
      <c r="AQ12" s="2"/>
      <c r="AR12" s="349" t="str">
        <f>IF(IGRF!I18="","",IGRF!I18)</f>
        <v>241</v>
      </c>
      <c r="AS12" s="336" t="s">
        <v>226</v>
      </c>
      <c r="AT12" s="337" t="s">
        <v>214</v>
      </c>
      <c r="AU12" s="337" t="s">
        <v>219</v>
      </c>
      <c r="AV12" s="337" t="s">
        <v>212</v>
      </c>
      <c r="AW12" s="337"/>
      <c r="AX12" s="338"/>
      <c r="AY12" s="339"/>
      <c r="AZ12" s="340"/>
      <c r="BA12" s="341"/>
      <c r="BB12" s="342"/>
      <c r="BC12" s="343">
        <f>IF(COUNTA(AS12:BA12)=0,"",COUNTA(AS12:BA12))</f>
        <v>4</v>
      </c>
      <c r="BD12" s="382" t="s">
        <v>225</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227</v>
      </c>
      <c r="AC13" s="350"/>
      <c r="AD13" s="355">
        <v>11.0</v>
      </c>
      <c r="AE13" s="352"/>
      <c r="AF13" s="352"/>
      <c r="AG13" s="352"/>
      <c r="AH13" s="352"/>
      <c r="AI13" s="353"/>
      <c r="AJ13" s="354"/>
      <c r="AK13" s="355"/>
      <c r="AL13" s="356"/>
      <c r="AM13" s="357"/>
      <c r="AN13" s="350"/>
      <c r="AO13" s="358">
        <v>10.0</v>
      </c>
      <c r="AP13" s="8"/>
      <c r="AQ13" s="160"/>
      <c r="AR13" s="69"/>
      <c r="AS13" s="351">
        <v>2.0</v>
      </c>
      <c r="AT13" s="352">
        <v>8.0</v>
      </c>
      <c r="AU13" s="352">
        <v>11.0</v>
      </c>
      <c r="AV13" s="352">
        <v>21.0</v>
      </c>
      <c r="AW13" s="352"/>
      <c r="AX13" s="353"/>
      <c r="AY13" s="354"/>
      <c r="AZ13" s="355"/>
      <c r="BA13" s="356"/>
      <c r="BB13" s="357"/>
      <c r="BC13" s="350"/>
      <c r="BD13" s="381" t="s">
        <v>227</v>
      </c>
    </row>
    <row r="14" ht="18.75" customHeight="1">
      <c r="A14" s="360" t="str">
        <f>IF(IGRF!B19="","",IGRF!B19)</f>
        <v>33</v>
      </c>
      <c r="B14" s="361" t="s">
        <v>215</v>
      </c>
      <c r="C14" s="362"/>
      <c r="D14" s="362"/>
      <c r="E14" s="362"/>
      <c r="F14" s="362"/>
      <c r="G14" s="363"/>
      <c r="H14" s="364"/>
      <c r="I14" s="365"/>
      <c r="J14" s="366"/>
      <c r="K14" s="342"/>
      <c r="L14" s="367">
        <f>IF(COUNTA(B14:J14)=0,"",COUNTA(B14:J14))</f>
        <v>1</v>
      </c>
      <c r="M14" s="368">
        <v>11.0</v>
      </c>
      <c r="O14" s="2"/>
      <c r="P14" s="360" t="str">
        <f>IF(IGRF!I19="","",IGRF!I19)</f>
        <v>316</v>
      </c>
      <c r="Q14" s="361"/>
      <c r="R14" s="362"/>
      <c r="S14" s="362"/>
      <c r="T14" s="362"/>
      <c r="U14" s="362"/>
      <c r="V14" s="363"/>
      <c r="W14" s="364"/>
      <c r="X14" s="365"/>
      <c r="Y14" s="366"/>
      <c r="Z14" s="342"/>
      <c r="AA14" s="367" t="str">
        <f>IF(COUNTA(Q14:Y14)=0,"",COUNTA(Q14:Y14))</f>
        <v/>
      </c>
      <c r="AB14" s="348" t="s">
        <v>228</v>
      </c>
      <c r="AC14" s="360" t="str">
        <f>IF(IGRF!B19="","",IGRF!B19)</f>
        <v>33</v>
      </c>
      <c r="AD14" s="369"/>
      <c r="AE14" s="362"/>
      <c r="AF14" s="362"/>
      <c r="AG14" s="362"/>
      <c r="AH14" s="362"/>
      <c r="AI14" s="363"/>
      <c r="AJ14" s="364"/>
      <c r="AK14" s="365"/>
      <c r="AL14" s="366"/>
      <c r="AM14" s="342"/>
      <c r="AN14" s="367" t="str">
        <f>IF(COUNTA(AD14:AL14)=0,"",COUNTA(AD14:AL14))</f>
        <v/>
      </c>
      <c r="AO14" s="368">
        <v>11.0</v>
      </c>
      <c r="AQ14" s="2"/>
      <c r="AR14" s="370" t="str">
        <f>IF(IGRF!I19="","",IGRF!I19)</f>
        <v>316</v>
      </c>
      <c r="AS14" s="361"/>
      <c r="AT14" s="362"/>
      <c r="AU14" s="362"/>
      <c r="AV14" s="362"/>
      <c r="AW14" s="362"/>
      <c r="AX14" s="363"/>
      <c r="AY14" s="364"/>
      <c r="AZ14" s="365"/>
      <c r="BA14" s="366"/>
      <c r="BB14" s="342"/>
      <c r="BC14" s="367" t="str">
        <f>IF(COUNTA(AS14:BA14)=0,"",COUNTA(AS14:BA14))</f>
        <v/>
      </c>
      <c r="BD14" s="348" t="s">
        <v>228</v>
      </c>
    </row>
    <row r="15" ht="18.75" customHeight="1">
      <c r="A15" s="350"/>
      <c r="B15" s="371">
        <v>12.0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229</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229</v>
      </c>
    </row>
    <row r="16" ht="18.75" customHeight="1">
      <c r="A16" s="335" t="str">
        <f>IF(IGRF!B20="","",IGRF!B20)</f>
        <v>357</v>
      </c>
      <c r="B16" s="336"/>
      <c r="C16" s="337"/>
      <c r="D16" s="337"/>
      <c r="E16" s="337"/>
      <c r="F16" s="337"/>
      <c r="G16" s="338"/>
      <c r="H16" s="339"/>
      <c r="I16" s="340"/>
      <c r="J16" s="341"/>
      <c r="K16" s="342"/>
      <c r="L16" s="343" t="str">
        <f>IF(COUNTA(B16:J16)=0,"",COUNTA(B16:J16))</f>
        <v/>
      </c>
      <c r="M16" s="368">
        <v>13.0</v>
      </c>
      <c r="O16" s="2"/>
      <c r="P16" s="335" t="str">
        <f>IF(IGRF!I20="","",IGRF!I20)</f>
        <v>343</v>
      </c>
      <c r="Q16" s="336"/>
      <c r="R16" s="337"/>
      <c r="S16" s="337"/>
      <c r="T16" s="337"/>
      <c r="U16" s="337"/>
      <c r="V16" s="338"/>
      <c r="W16" s="339"/>
      <c r="X16" s="340"/>
      <c r="Y16" s="341"/>
      <c r="Z16" s="342"/>
      <c r="AA16" s="343" t="str">
        <f>IF(COUNTA(Q16:Y16)=0,"",COUNTA(Q16:Y16))</f>
        <v/>
      </c>
      <c r="AB16" s="348" t="s">
        <v>214</v>
      </c>
      <c r="AC16" s="335" t="str">
        <f>IF(IGRF!B20="","",IGRF!B20)</f>
        <v>357</v>
      </c>
      <c r="AD16" s="340"/>
      <c r="AE16" s="337"/>
      <c r="AF16" s="337"/>
      <c r="AG16" s="337"/>
      <c r="AH16" s="337"/>
      <c r="AI16" s="338"/>
      <c r="AJ16" s="339"/>
      <c r="AK16" s="340"/>
      <c r="AL16" s="341"/>
      <c r="AM16" s="342"/>
      <c r="AN16" s="343" t="str">
        <f>IF(COUNTA(AD16:AL16)=0,"",COUNTA(AD16:AL16))</f>
        <v/>
      </c>
      <c r="AO16" s="368">
        <v>13.0</v>
      </c>
      <c r="AQ16" s="2"/>
      <c r="AR16" s="349" t="str">
        <f>IF(IGRF!I20="","",IGRF!I20)</f>
        <v>343</v>
      </c>
      <c r="AS16" s="336"/>
      <c r="AT16" s="337"/>
      <c r="AU16" s="337"/>
      <c r="AV16" s="337"/>
      <c r="AW16" s="337"/>
      <c r="AX16" s="338"/>
      <c r="AY16" s="339"/>
      <c r="AZ16" s="340"/>
      <c r="BA16" s="341"/>
      <c r="BB16" s="342"/>
      <c r="BC16" s="343" t="str">
        <f>IF(COUNTA(AS16:BA16)=0,"",COUNTA(AS16:BA16))</f>
        <v/>
      </c>
      <c r="BD16" s="348" t="s">
        <v>214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230</v>
      </c>
    </row>
    <row r="18" ht="18.75" customHeight="1">
      <c r="A18" s="360" t="str">
        <f>IF(IGRF!B21="","",IGRF!B21)</f>
        <v>40</v>
      </c>
      <c r="B18" s="361"/>
      <c r="C18" s="362"/>
      <c r="D18" s="362"/>
      <c r="E18" s="362"/>
      <c r="F18" s="362"/>
      <c r="G18" s="363"/>
      <c r="H18" s="364"/>
      <c r="I18" s="365"/>
      <c r="J18" s="366"/>
      <c r="K18" s="342"/>
      <c r="L18" s="367" t="str">
        <f>IF(COUNTA(B18:J18)=0,"",COUNTA(B18:J18))</f>
        <v/>
      </c>
      <c r="M18" s="368">
        <v>15.0</v>
      </c>
      <c r="O18" s="2"/>
      <c r="P18" s="360" t="str">
        <f>IF(IGRF!I21="","",IGRF!I21)</f>
        <v>360</v>
      </c>
      <c r="Q18" s="361" t="s">
        <v>214</v>
      </c>
      <c r="R18" s="362" t="s">
        <v>219</v>
      </c>
      <c r="S18" s="362"/>
      <c r="T18" s="362"/>
      <c r="U18" s="362"/>
      <c r="V18" s="363"/>
      <c r="W18" s="364"/>
      <c r="X18" s="365"/>
      <c r="Y18" s="366"/>
      <c r="Z18" s="342"/>
      <c r="AA18" s="384">
        <f>IF(COUNTA(Q18:Y18)=0,"",COUNTA(Q18:Y18))</f>
        <v>2</v>
      </c>
      <c r="AB18" s="348" t="s">
        <v>222</v>
      </c>
      <c r="AC18" s="360" t="str">
        <f>IF(IGRF!B21="","",IGRF!B21)</f>
        <v>40</v>
      </c>
      <c r="AD18" s="369"/>
      <c r="AE18" s="362"/>
      <c r="AF18" s="362"/>
      <c r="AG18" s="362"/>
      <c r="AH18" s="362"/>
      <c r="AI18" s="363"/>
      <c r="AJ18" s="364"/>
      <c r="AK18" s="365"/>
      <c r="AL18" s="366"/>
      <c r="AM18" s="342"/>
      <c r="AN18" s="367" t="str">
        <f>IF(COUNTA(AD18:AL18)=0,"",COUNTA(AD18:AL18))</f>
        <v/>
      </c>
      <c r="AO18" s="368">
        <v>15.0</v>
      </c>
      <c r="AQ18" s="2"/>
      <c r="AR18" s="370" t="str">
        <f>IF(IGRF!I21="","",IGRF!I21)</f>
        <v>360</v>
      </c>
      <c r="AS18" s="361"/>
      <c r="AT18" s="362"/>
      <c r="AU18" s="362" t="s">
        <v>212</v>
      </c>
      <c r="AV18" s="362"/>
      <c r="AW18" s="362"/>
      <c r="AX18" s="363"/>
      <c r="AY18" s="364"/>
      <c r="AZ18" s="365"/>
      <c r="BA18" s="366"/>
      <c r="BB18" s="342"/>
      <c r="BC18" s="367">
        <f>IF(COUNTA(AS18:BA18)=0,"",COUNTA(AS18:BA18))</f>
        <v>1</v>
      </c>
      <c r="BD18" s="348" t="s">
        <v>222</v>
      </c>
    </row>
    <row r="19" ht="18.75" customHeight="1">
      <c r="A19" s="350"/>
      <c r="B19" s="371"/>
      <c r="C19" s="372"/>
      <c r="D19" s="372"/>
      <c r="E19" s="372"/>
      <c r="F19" s="372"/>
      <c r="G19" s="373"/>
      <c r="H19" s="374"/>
      <c r="I19" s="375"/>
      <c r="J19" s="376"/>
      <c r="K19" s="357"/>
      <c r="L19" s="350"/>
      <c r="M19" s="358">
        <v>16.0</v>
      </c>
      <c r="N19" s="8"/>
      <c r="O19" s="160"/>
      <c r="P19" s="350"/>
      <c r="Q19" s="371">
        <v>13.0</v>
      </c>
      <c r="R19" s="372">
        <v>17.0</v>
      </c>
      <c r="S19" s="372"/>
      <c r="T19" s="372"/>
      <c r="U19" s="372"/>
      <c r="V19" s="373"/>
      <c r="W19" s="374"/>
      <c r="X19" s="375"/>
      <c r="Y19" s="376"/>
      <c r="Z19" s="357"/>
      <c r="AA19" s="379"/>
      <c r="AB19" s="359" t="s">
        <v>231</v>
      </c>
      <c r="AC19" s="350"/>
      <c r="AD19" s="378"/>
      <c r="AE19" s="372"/>
      <c r="AF19" s="372"/>
      <c r="AG19" s="372"/>
      <c r="AH19" s="372"/>
      <c r="AI19" s="373"/>
      <c r="AJ19" s="374"/>
      <c r="AK19" s="375"/>
      <c r="AL19" s="376"/>
      <c r="AM19" s="357"/>
      <c r="AN19" s="350"/>
      <c r="AO19" s="358">
        <v>16.0</v>
      </c>
      <c r="AP19" s="8"/>
      <c r="AQ19" s="160"/>
      <c r="AR19" s="379"/>
      <c r="AS19" s="371"/>
      <c r="AT19" s="372"/>
      <c r="AU19" s="372">
        <v>14.0</v>
      </c>
      <c r="AV19" s="372"/>
      <c r="AW19" s="372"/>
      <c r="AX19" s="373"/>
      <c r="AY19" s="374"/>
      <c r="AZ19" s="375"/>
      <c r="BA19" s="376"/>
      <c r="BB19" s="357"/>
      <c r="BC19" s="350"/>
      <c r="BD19" s="359" t="s">
        <v>231</v>
      </c>
    </row>
    <row r="20" ht="18.75" customHeight="1">
      <c r="A20" s="335" t="str">
        <f>IF(IGRF!B22="","",IGRF!B22)</f>
        <v>50</v>
      </c>
      <c r="B20" s="336" t="s">
        <v>221</v>
      </c>
      <c r="C20" s="337"/>
      <c r="D20" s="337"/>
      <c r="E20" s="337"/>
      <c r="F20" s="337"/>
      <c r="G20" s="338"/>
      <c r="H20" s="339"/>
      <c r="I20" s="340"/>
      <c r="J20" s="341"/>
      <c r="K20" s="342"/>
      <c r="L20" s="343">
        <f>IF(COUNTA(B20:J20)=0,"",COUNTA(B20:J20))</f>
        <v>1</v>
      </c>
      <c r="M20" s="368">
        <v>17.0</v>
      </c>
      <c r="O20" s="2"/>
      <c r="P20" s="335" t="str">
        <f>IF(IGRF!I22="","",IGRF!I22)</f>
        <v>37</v>
      </c>
      <c r="Q20" s="336" t="s">
        <v>212</v>
      </c>
      <c r="R20" s="337"/>
      <c r="S20" s="337"/>
      <c r="T20" s="337"/>
      <c r="U20" s="337"/>
      <c r="V20" s="338"/>
      <c r="W20" s="339"/>
      <c r="X20" s="340"/>
      <c r="Y20" s="341"/>
      <c r="Z20" s="342"/>
      <c r="AA20" s="347">
        <f>IF(COUNTA(Q20:Y20)=0,"",COUNTA(Q20:Y20))</f>
        <v>1</v>
      </c>
      <c r="AB20" s="348" t="s">
        <v>226</v>
      </c>
      <c r="AC20" s="335" t="str">
        <f>IF(IGRF!B22="","",IGRF!B22)</f>
        <v>50</v>
      </c>
      <c r="AD20" s="340"/>
      <c r="AE20" s="337"/>
      <c r="AF20" s="337"/>
      <c r="AG20" s="337"/>
      <c r="AH20" s="337"/>
      <c r="AI20" s="338"/>
      <c r="AJ20" s="339"/>
      <c r="AK20" s="340"/>
      <c r="AL20" s="341"/>
      <c r="AM20" s="342"/>
      <c r="AN20" s="343" t="str">
        <f>IF(COUNTA(AD20:AL20)=0,"",COUNTA(AD20:AL20))</f>
        <v/>
      </c>
      <c r="AO20" s="368">
        <v>17.0</v>
      </c>
      <c r="AQ20" s="2"/>
      <c r="AR20" s="349" t="str">
        <f>IF(IGRF!I22="","",IGRF!I22)</f>
        <v>37</v>
      </c>
      <c r="AS20" s="336"/>
      <c r="AT20" s="337" t="s">
        <v>219</v>
      </c>
      <c r="AU20" s="337"/>
      <c r="AV20" s="337"/>
      <c r="AW20" s="337"/>
      <c r="AX20" s="338"/>
      <c r="AY20" s="339"/>
      <c r="AZ20" s="340"/>
      <c r="BA20" s="341"/>
      <c r="BB20" s="342"/>
      <c r="BC20" s="343">
        <f>IF(COUNTA(AS20:BA20)=0,"",COUNTA(AS20:BA20))</f>
        <v>1</v>
      </c>
      <c r="BD20" s="348" t="s">
        <v>226</v>
      </c>
    </row>
    <row r="21" ht="18.75" customHeight="1">
      <c r="A21" s="350"/>
      <c r="B21" s="351">
        <v>6.0</v>
      </c>
      <c r="C21" s="352"/>
      <c r="D21" s="352"/>
      <c r="E21" s="352"/>
      <c r="F21" s="352"/>
      <c r="G21" s="353"/>
      <c r="H21" s="354"/>
      <c r="I21" s="355"/>
      <c r="J21" s="356"/>
      <c r="K21" s="357"/>
      <c r="L21" s="350"/>
      <c r="M21" s="358">
        <v>18.0</v>
      </c>
      <c r="N21" s="8"/>
      <c r="O21" s="160"/>
      <c r="P21" s="350"/>
      <c r="Q21" s="351">
        <v>22.0</v>
      </c>
      <c r="R21" s="352"/>
      <c r="S21" s="352"/>
      <c r="T21" s="352"/>
      <c r="U21" s="352"/>
      <c r="V21" s="353"/>
      <c r="W21" s="354"/>
      <c r="X21" s="355"/>
      <c r="Y21" s="356"/>
      <c r="Z21" s="357"/>
      <c r="AA21" s="155"/>
      <c r="AB21" s="359" t="s">
        <v>232</v>
      </c>
      <c r="AC21" s="350"/>
      <c r="AD21" s="355"/>
      <c r="AE21" s="352"/>
      <c r="AF21" s="352"/>
      <c r="AG21" s="352"/>
      <c r="AH21" s="352"/>
      <c r="AI21" s="353"/>
      <c r="AJ21" s="354"/>
      <c r="AK21" s="355"/>
      <c r="AL21" s="356"/>
      <c r="AM21" s="357"/>
      <c r="AN21" s="350"/>
      <c r="AO21" s="358">
        <v>18.0</v>
      </c>
      <c r="AP21" s="8"/>
      <c r="AQ21" s="160"/>
      <c r="AR21" s="69"/>
      <c r="AS21" s="351"/>
      <c r="AT21" s="352">
        <v>21.0</v>
      </c>
      <c r="AU21" s="352"/>
      <c r="AV21" s="352"/>
      <c r="AW21" s="352"/>
      <c r="AX21" s="353"/>
      <c r="AY21" s="354"/>
      <c r="AZ21" s="355"/>
      <c r="BA21" s="356"/>
      <c r="BB21" s="357"/>
      <c r="BC21" s="350"/>
      <c r="BD21" s="359" t="s">
        <v>232</v>
      </c>
    </row>
    <row r="22" ht="18.75" customHeight="1">
      <c r="A22" s="360" t="str">
        <f>IF(IGRF!B23="","",IGRF!B23)</f>
        <v>505</v>
      </c>
      <c r="B22" s="361" t="s">
        <v>214</v>
      </c>
      <c r="C22" s="362"/>
      <c r="D22" s="362"/>
      <c r="E22" s="362"/>
      <c r="F22" s="362"/>
      <c r="G22" s="363"/>
      <c r="H22" s="364"/>
      <c r="I22" s="365"/>
      <c r="J22" s="366"/>
      <c r="K22" s="342"/>
      <c r="L22" s="367">
        <f>IF(COUNTA(B22:J22)=0,"",COUNTA(B22:J22))</f>
        <v>1</v>
      </c>
      <c r="M22" s="368">
        <v>19.0</v>
      </c>
      <c r="O22" s="2"/>
      <c r="P22" s="360" t="str">
        <f>IF(IGRF!I23="","",IGRF!I23)</f>
        <v>39</v>
      </c>
      <c r="Q22" s="361" t="s">
        <v>215</v>
      </c>
      <c r="R22" s="362"/>
      <c r="S22" s="362"/>
      <c r="T22" s="362"/>
      <c r="U22" s="362"/>
      <c r="V22" s="363"/>
      <c r="W22" s="364"/>
      <c r="X22" s="365"/>
      <c r="Y22" s="366"/>
      <c r="Z22" s="342"/>
      <c r="AA22" s="384">
        <f>IF(COUNTA(Q22:Y22)=0,"",COUNTA(Q22:Y22))</f>
        <v>1</v>
      </c>
      <c r="AB22" s="382" t="s">
        <v>233</v>
      </c>
      <c r="AC22" s="360" t="str">
        <f>IF(IGRF!B23="","",IGRF!B23)</f>
        <v>505</v>
      </c>
      <c r="AD22" s="369"/>
      <c r="AE22" s="362" t="s">
        <v>214</v>
      </c>
      <c r="AF22" s="362"/>
      <c r="AG22" s="362"/>
      <c r="AH22" s="362"/>
      <c r="AI22" s="363"/>
      <c r="AJ22" s="364"/>
      <c r="AK22" s="365"/>
      <c r="AL22" s="366"/>
      <c r="AM22" s="342"/>
      <c r="AN22" s="367">
        <f>IF(COUNTA(AD22:AL22)=0,"",COUNTA(AD22:AL22))</f>
        <v>1</v>
      </c>
      <c r="AO22" s="368">
        <v>19.0</v>
      </c>
      <c r="AQ22" s="2"/>
      <c r="AR22" s="370" t="str">
        <f>IF(IGRF!I23="","",IGRF!I23)</f>
        <v>39</v>
      </c>
      <c r="AS22" s="361"/>
      <c r="AT22" s="362" t="s">
        <v>212</v>
      </c>
      <c r="AU22" s="362"/>
      <c r="AV22" s="362"/>
      <c r="AW22" s="362"/>
      <c r="AX22" s="363"/>
      <c r="AY22" s="364"/>
      <c r="AZ22" s="365"/>
      <c r="BA22" s="366"/>
      <c r="BB22" s="342"/>
      <c r="BC22" s="367">
        <f>IF(COUNTA(AS22:BA22)=0,"",COUNTA(AS22:BA22))</f>
        <v>1</v>
      </c>
      <c r="BD22" s="382" t="s">
        <v>233</v>
      </c>
    </row>
    <row r="23" ht="18.75" customHeight="1">
      <c r="A23" s="350"/>
      <c r="B23" s="371">
        <v>10.0</v>
      </c>
      <c r="C23" s="372"/>
      <c r="D23" s="372"/>
      <c r="E23" s="372"/>
      <c r="F23" s="372"/>
      <c r="G23" s="373"/>
      <c r="H23" s="374"/>
      <c r="I23" s="375"/>
      <c r="J23" s="376"/>
      <c r="K23" s="357"/>
      <c r="L23" s="350"/>
      <c r="M23" s="358">
        <v>20.0</v>
      </c>
      <c r="N23" s="8"/>
      <c r="O23" s="160"/>
      <c r="P23" s="350"/>
      <c r="Q23" s="371">
        <v>16.0</v>
      </c>
      <c r="R23" s="372"/>
      <c r="S23" s="372"/>
      <c r="T23" s="372"/>
      <c r="U23" s="372"/>
      <c r="V23" s="373"/>
      <c r="W23" s="374"/>
      <c r="X23" s="375"/>
      <c r="Y23" s="376"/>
      <c r="Z23" s="357"/>
      <c r="AA23" s="379"/>
      <c r="AB23" s="385" t="s">
        <v>234</v>
      </c>
      <c r="AC23" s="350"/>
      <c r="AD23" s="378"/>
      <c r="AE23" s="372">
        <v>10.0</v>
      </c>
      <c r="AF23" s="372"/>
      <c r="AG23" s="372"/>
      <c r="AH23" s="372"/>
      <c r="AI23" s="373"/>
      <c r="AJ23" s="374"/>
      <c r="AK23" s="375"/>
      <c r="AL23" s="376"/>
      <c r="AM23" s="357"/>
      <c r="AN23" s="350"/>
      <c r="AO23" s="358">
        <v>20.0</v>
      </c>
      <c r="AP23" s="8"/>
      <c r="AQ23" s="160"/>
      <c r="AR23" s="379"/>
      <c r="AS23" s="371"/>
      <c r="AT23" s="372">
        <v>8.0</v>
      </c>
      <c r="AU23" s="372"/>
      <c r="AV23" s="372"/>
      <c r="AW23" s="372"/>
      <c r="AX23" s="373"/>
      <c r="AY23" s="374"/>
      <c r="AZ23" s="375"/>
      <c r="BA23" s="376"/>
      <c r="BB23" s="357"/>
      <c r="BC23" s="350"/>
      <c r="BD23" s="385" t="s">
        <v>234</v>
      </c>
    </row>
    <row r="24" ht="18.75" customHeight="1">
      <c r="A24" s="335" t="str">
        <f>IF(IGRF!B24="","",IGRF!B24)</f>
        <v>8000</v>
      </c>
      <c r="B24" s="336" t="s">
        <v>212</v>
      </c>
      <c r="C24" s="337"/>
      <c r="D24" s="337"/>
      <c r="E24" s="337"/>
      <c r="F24" s="337"/>
      <c r="G24" s="338"/>
      <c r="H24" s="339"/>
      <c r="I24" s="340"/>
      <c r="J24" s="341"/>
      <c r="K24" s="342"/>
      <c r="L24" s="343">
        <f>IF(COUNTA(B24:J24)=0,"",COUNTA(B24:J24))</f>
        <v>1</v>
      </c>
      <c r="M24" s="368">
        <v>21.0</v>
      </c>
      <c r="O24" s="2"/>
      <c r="P24" s="335" t="str">
        <f>IF(IGRF!I24="","",IGRF!I24)</f>
        <v>48</v>
      </c>
      <c r="Q24" s="336" t="s">
        <v>212</v>
      </c>
      <c r="R24" s="337" t="s">
        <v>214</v>
      </c>
      <c r="S24" s="337" t="s">
        <v>217</v>
      </c>
      <c r="T24" s="337" t="s">
        <v>215</v>
      </c>
      <c r="U24" s="337" t="s">
        <v>214</v>
      </c>
      <c r="V24" s="338"/>
      <c r="W24" s="339"/>
      <c r="X24" s="340"/>
      <c r="Y24" s="341"/>
      <c r="Z24" s="342"/>
      <c r="AA24" s="343">
        <f>IF(COUNTA(Q24:Y24)=0,"",COUNTA(Q24:Y24))</f>
        <v>5</v>
      </c>
      <c r="AB24" s="386" t="s">
        <v>235</v>
      </c>
      <c r="AC24" s="335" t="str">
        <f>IF(IGRF!B24="","",IGRF!B24)</f>
        <v>8000</v>
      </c>
      <c r="AD24" s="340"/>
      <c r="AE24" s="337" t="s">
        <v>225</v>
      </c>
      <c r="AF24" s="337"/>
      <c r="AG24" s="337"/>
      <c r="AH24" s="337"/>
      <c r="AI24" s="338"/>
      <c r="AJ24" s="339"/>
      <c r="AK24" s="340"/>
      <c r="AL24" s="341"/>
      <c r="AM24" s="342"/>
      <c r="AN24" s="343">
        <f>IF(COUNTA(AD24:AL24)=0,"",COUNTA(AD24:AL24))</f>
        <v>1</v>
      </c>
      <c r="AO24" s="368">
        <v>21.0</v>
      </c>
      <c r="AQ24" s="2"/>
      <c r="AR24" s="349" t="str">
        <f>IF(IGRF!I24="","",IGRF!I24)</f>
        <v>48</v>
      </c>
      <c r="AS24" s="336"/>
      <c r="AT24" s="337"/>
      <c r="AU24" s="337"/>
      <c r="AV24" s="337"/>
      <c r="AW24" s="337"/>
      <c r="AX24" s="338"/>
      <c r="AY24" s="339"/>
      <c r="AZ24" s="340"/>
      <c r="BA24" s="341"/>
      <c r="BB24" s="342"/>
      <c r="BC24" s="343" t="str">
        <f>IF(COUNTA(AS24:BA24)=0,"",COUNTA(AS24:BA24))</f>
        <v/>
      </c>
      <c r="BD24" s="386" t="s">
        <v>235</v>
      </c>
    </row>
    <row r="25" ht="18.75" customHeight="1">
      <c r="A25" s="350"/>
      <c r="B25" s="351">
        <v>16.0</v>
      </c>
      <c r="C25" s="352"/>
      <c r="D25" s="352"/>
      <c r="E25" s="352"/>
      <c r="F25" s="352"/>
      <c r="G25" s="353"/>
      <c r="H25" s="354"/>
      <c r="I25" s="355"/>
      <c r="J25" s="356"/>
      <c r="K25" s="357"/>
      <c r="L25" s="350"/>
      <c r="M25" s="358">
        <v>22.0</v>
      </c>
      <c r="N25" s="8"/>
      <c r="O25" s="160"/>
      <c r="P25" s="350"/>
      <c r="Q25" s="351">
        <v>8.0</v>
      </c>
      <c r="R25" s="352">
        <v>12.0</v>
      </c>
      <c r="S25" s="352">
        <v>16.0</v>
      </c>
      <c r="T25" s="352">
        <v>22.0</v>
      </c>
      <c r="U25" s="352">
        <v>24.0</v>
      </c>
      <c r="V25" s="353"/>
      <c r="W25" s="354"/>
      <c r="X25" s="355"/>
      <c r="Y25" s="356"/>
      <c r="Z25" s="357"/>
      <c r="AA25" s="350"/>
      <c r="AB25" s="387" t="s">
        <v>236</v>
      </c>
      <c r="AC25" s="350"/>
      <c r="AD25" s="355"/>
      <c r="AE25" s="352">
        <v>23.0</v>
      </c>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236</v>
      </c>
    </row>
    <row r="26" ht="18.75" customHeight="1">
      <c r="A26" s="360" t="str">
        <f>IF(IGRF!B25="","",IGRF!B25)</f>
        <v>90</v>
      </c>
      <c r="B26" s="361" t="s">
        <v>214</v>
      </c>
      <c r="C26" s="362"/>
      <c r="D26" s="362"/>
      <c r="E26" s="362"/>
      <c r="F26" s="362"/>
      <c r="G26" s="363"/>
      <c r="H26" s="364"/>
      <c r="I26" s="365"/>
      <c r="J26" s="366"/>
      <c r="K26" s="342"/>
      <c r="L26" s="367">
        <f>IF(COUNTA(B26:J26)=0,"",COUNTA(B26:J26))</f>
        <v>1</v>
      </c>
      <c r="M26" s="368">
        <v>23.0</v>
      </c>
      <c r="O26" s="2"/>
      <c r="P26" s="360" t="str">
        <f>IF(IGRF!I25="","",IGRF!I25)</f>
        <v>700</v>
      </c>
      <c r="Q26" s="361" t="s">
        <v>214</v>
      </c>
      <c r="R26" s="362"/>
      <c r="S26" s="362"/>
      <c r="T26" s="362"/>
      <c r="U26" s="362"/>
      <c r="V26" s="363"/>
      <c r="W26" s="364"/>
      <c r="X26" s="365"/>
      <c r="Y26" s="366"/>
      <c r="Z26" s="342"/>
      <c r="AA26" s="384">
        <f>IF(COUNTA(Q26:Y26)=0,"",COUNTA(Q26:Y26))</f>
        <v>1</v>
      </c>
      <c r="AB26" s="382" t="s">
        <v>215</v>
      </c>
      <c r="AC26" s="360" t="str">
        <f>IF(IGRF!B25="","",IGRF!B25)</f>
        <v>90</v>
      </c>
      <c r="AD26" s="369"/>
      <c r="AE26" s="362"/>
      <c r="AF26" s="362"/>
      <c r="AG26" s="362"/>
      <c r="AH26" s="362"/>
      <c r="AI26" s="363"/>
      <c r="AJ26" s="364"/>
      <c r="AK26" s="365"/>
      <c r="AL26" s="366"/>
      <c r="AM26" s="342"/>
      <c r="AN26" s="367" t="str">
        <f>IF(COUNTA(AD26:AL26)=0,"",COUNTA(AD26:AL26))</f>
        <v/>
      </c>
      <c r="AO26" s="368">
        <v>23.0</v>
      </c>
      <c r="AQ26" s="2"/>
      <c r="AR26" s="370" t="str">
        <f>IF(IGRF!I25="","",IGRF!I25)</f>
        <v>700</v>
      </c>
      <c r="AS26" s="361"/>
      <c r="AT26" s="362"/>
      <c r="AU26" s="362"/>
      <c r="AV26" s="362"/>
      <c r="AW26" s="362"/>
      <c r="AX26" s="363"/>
      <c r="AY26" s="364"/>
      <c r="AZ26" s="365"/>
      <c r="BA26" s="366"/>
      <c r="BB26" s="342"/>
      <c r="BC26" s="367" t="str">
        <f>IF(COUNTA(AS26:BA26)=0,"",COUNTA(AS26:BA26))</f>
        <v/>
      </c>
      <c r="BD26" s="382" t="s">
        <v>215</v>
      </c>
    </row>
    <row r="27" ht="18.75" customHeight="1">
      <c r="A27" s="350"/>
      <c r="B27" s="371">
        <v>20.0</v>
      </c>
      <c r="C27" s="372"/>
      <c r="D27" s="372"/>
      <c r="E27" s="372"/>
      <c r="F27" s="372"/>
      <c r="G27" s="373"/>
      <c r="H27" s="374"/>
      <c r="I27" s="375"/>
      <c r="J27" s="376"/>
      <c r="K27" s="357"/>
      <c r="L27" s="350"/>
      <c r="M27" s="358">
        <v>24.0</v>
      </c>
      <c r="N27" s="8"/>
      <c r="O27" s="160"/>
      <c r="P27" s="350"/>
      <c r="Q27" s="371">
        <v>11.0</v>
      </c>
      <c r="R27" s="372"/>
      <c r="S27" s="372"/>
      <c r="T27" s="372"/>
      <c r="U27" s="372"/>
      <c r="V27" s="373"/>
      <c r="W27" s="374"/>
      <c r="X27" s="375"/>
      <c r="Y27" s="376"/>
      <c r="Z27" s="357"/>
      <c r="AA27" s="379"/>
      <c r="AB27" s="385" t="s">
        <v>237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237</v>
      </c>
    </row>
    <row r="28" ht="18.75" customHeight="1">
      <c r="A28" s="335" t="str">
        <f>IF(IGRF!B26="","",IGRF!B26)</f>
        <v>919</v>
      </c>
      <c r="B28" s="336" t="s">
        <v>212</v>
      </c>
      <c r="C28" s="337" t="s">
        <v>215</v>
      </c>
      <c r="D28" s="337" t="s">
        <v>215</v>
      </c>
      <c r="E28" s="337"/>
      <c r="F28" s="337"/>
      <c r="G28" s="338"/>
      <c r="H28" s="339"/>
      <c r="I28" s="340"/>
      <c r="J28" s="341"/>
      <c r="K28" s="342"/>
      <c r="L28" s="343">
        <f>IF(COUNTA(B28:J28)=0,"",COUNTA(B28:J28))</f>
        <v>3</v>
      </c>
      <c r="M28" s="368">
        <v>25.0</v>
      </c>
      <c r="O28" s="2"/>
      <c r="P28" s="335" t="str">
        <f>IF(IGRF!I26="","",IGRF!I26)</f>
        <v>71</v>
      </c>
      <c r="Q28" s="336" t="s">
        <v>219</v>
      </c>
      <c r="R28" s="337"/>
      <c r="S28" s="337"/>
      <c r="T28" s="337"/>
      <c r="U28" s="337"/>
      <c r="V28" s="338"/>
      <c r="W28" s="339"/>
      <c r="X28" s="340"/>
      <c r="Y28" s="341"/>
      <c r="Z28" s="342"/>
      <c r="AA28" s="347">
        <f>IF(COUNTA(Q28:Y28)=0,"",COUNTA(Q28:Y28))</f>
        <v>1</v>
      </c>
      <c r="AB28" s="386" t="s">
        <v>238</v>
      </c>
      <c r="AC28" s="335" t="str">
        <f>IF(IGRF!B26="","",IGRF!B26)</f>
        <v>919</v>
      </c>
      <c r="AD28" s="340"/>
      <c r="AE28" s="337"/>
      <c r="AF28" s="337"/>
      <c r="AG28" s="337"/>
      <c r="AH28" s="337"/>
      <c r="AI28" s="338"/>
      <c r="AJ28" s="339"/>
      <c r="AK28" s="340"/>
      <c r="AL28" s="341"/>
      <c r="AM28" s="342"/>
      <c r="AN28" s="343" t="str">
        <f>IF(COUNTA(AD28:AL28)=0,"",COUNTA(AD28:AL28))</f>
        <v/>
      </c>
      <c r="AO28" s="368">
        <v>25.0</v>
      </c>
      <c r="AQ28" s="2"/>
      <c r="AR28" s="349" t="str">
        <f>IF(IGRF!I26="","",IGRF!I26)</f>
        <v>71</v>
      </c>
      <c r="AS28" s="336"/>
      <c r="AT28" s="337"/>
      <c r="AU28" s="337"/>
      <c r="AV28" s="337"/>
      <c r="AW28" s="337"/>
      <c r="AX28" s="338"/>
      <c r="AY28" s="339"/>
      <c r="AZ28" s="340"/>
      <c r="BA28" s="341"/>
      <c r="BB28" s="342"/>
      <c r="BC28" s="343" t="str">
        <f>IF(COUNTA(AS28:BA28)=0,"",COUNTA(AS28:BA28))</f>
        <v/>
      </c>
      <c r="BD28" s="386" t="s">
        <v>238</v>
      </c>
    </row>
    <row r="29" ht="18.75" customHeight="1">
      <c r="A29" s="350"/>
      <c r="B29" s="351">
        <v>8.0</v>
      </c>
      <c r="C29" s="352">
        <v>20.0</v>
      </c>
      <c r="D29" s="352">
        <v>24.0</v>
      </c>
      <c r="E29" s="352"/>
      <c r="F29" s="352"/>
      <c r="G29" s="353"/>
      <c r="H29" s="354"/>
      <c r="I29" s="355"/>
      <c r="J29" s="356"/>
      <c r="K29" s="357"/>
      <c r="L29" s="350"/>
      <c r="M29" s="358">
        <v>26.0</v>
      </c>
      <c r="N29" s="8"/>
      <c r="O29" s="160"/>
      <c r="P29" s="350"/>
      <c r="Q29" s="351">
        <v>19.0</v>
      </c>
      <c r="R29" s="352"/>
      <c r="S29" s="352"/>
      <c r="T29" s="352"/>
      <c r="U29" s="352"/>
      <c r="V29" s="353"/>
      <c r="W29" s="354"/>
      <c r="X29" s="355"/>
      <c r="Y29" s="356"/>
      <c r="Z29" s="357"/>
      <c r="AA29" s="155"/>
      <c r="AB29" s="348" t="s">
        <v>212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212</v>
      </c>
    </row>
    <row r="30" ht="18.75" customHeight="1">
      <c r="A30" s="360" t="str">
        <f>IF(IGRF!B27="","",IGRF!B27)</f>
        <v>949</v>
      </c>
      <c r="B30" s="361"/>
      <c r="C30" s="362"/>
      <c r="D30" s="362"/>
      <c r="E30" s="362"/>
      <c r="F30" s="362"/>
      <c r="G30" s="363"/>
      <c r="H30" s="364"/>
      <c r="I30" s="365"/>
      <c r="J30" s="366"/>
      <c r="K30" s="342"/>
      <c r="L30" s="367" t="str">
        <f>IF(COUNTA(B30:J30)=0,"",COUNTA(B30:J30))</f>
        <v/>
      </c>
      <c r="M30" s="368">
        <v>27.0</v>
      </c>
      <c r="O30" s="2"/>
      <c r="P30" s="360" t="str">
        <f>IF(IGRF!I27="","",IGRF!I27)</f>
        <v>79</v>
      </c>
      <c r="Q30" s="361" t="s">
        <v>217</v>
      </c>
      <c r="R30" s="362"/>
      <c r="S30" s="362"/>
      <c r="T30" s="362"/>
      <c r="U30" s="362"/>
      <c r="V30" s="363"/>
      <c r="W30" s="364"/>
      <c r="X30" s="365"/>
      <c r="Y30" s="366"/>
      <c r="Z30" s="342"/>
      <c r="AA30" s="384">
        <f>IF(COUNTA(Q30:Y30)=0,"",COUNTA(Q30:Y30))</f>
        <v>1</v>
      </c>
      <c r="AB30" s="359" t="s">
        <v>239</v>
      </c>
      <c r="AC30" s="360" t="str">
        <f>IF(IGRF!B27="","",IGRF!B27)</f>
        <v>949</v>
      </c>
      <c r="AD30" s="369" t="s">
        <v>226</v>
      </c>
      <c r="AE30" s="362"/>
      <c r="AF30" s="362"/>
      <c r="AG30" s="362"/>
      <c r="AH30" s="362"/>
      <c r="AI30" s="363"/>
      <c r="AJ30" s="364"/>
      <c r="AK30" s="365"/>
      <c r="AL30" s="366"/>
      <c r="AM30" s="342"/>
      <c r="AN30" s="367">
        <f>IF(COUNTA(AD30:AL30)=0,"",COUNTA(AD30:AL30))</f>
        <v>1</v>
      </c>
      <c r="AO30" s="368">
        <v>27.0</v>
      </c>
      <c r="AQ30" s="2"/>
      <c r="AR30" s="370" t="str">
        <f>IF(IGRF!I27="","",IGRF!I27)</f>
        <v>79</v>
      </c>
      <c r="AS30" s="361"/>
      <c r="AT30" s="362"/>
      <c r="AU30" s="362"/>
      <c r="AV30" s="362"/>
      <c r="AW30" s="362"/>
      <c r="AX30" s="363"/>
      <c r="AY30" s="364"/>
      <c r="AZ30" s="365"/>
      <c r="BA30" s="366"/>
      <c r="BB30" s="342"/>
      <c r="BC30" s="367" t="str">
        <f>IF(COUNTA(AS30:BA30)=0,"",COUNTA(AS30:BA30))</f>
        <v/>
      </c>
      <c r="BD30" s="359" t="s">
        <v>239</v>
      </c>
    </row>
    <row r="31" ht="18.75" customHeight="1">
      <c r="A31" s="350"/>
      <c r="B31" s="371"/>
      <c r="C31" s="372"/>
      <c r="D31" s="372"/>
      <c r="E31" s="372"/>
      <c r="F31" s="372"/>
      <c r="G31" s="373"/>
      <c r="H31" s="374"/>
      <c r="I31" s="375"/>
      <c r="J31" s="376"/>
      <c r="K31" s="357"/>
      <c r="L31" s="350"/>
      <c r="M31" s="358">
        <v>28.0</v>
      </c>
      <c r="N31" s="8"/>
      <c r="O31" s="160"/>
      <c r="P31" s="350"/>
      <c r="Q31" s="371">
        <v>24.0</v>
      </c>
      <c r="R31" s="372"/>
      <c r="S31" s="372"/>
      <c r="T31" s="372"/>
      <c r="U31" s="372"/>
      <c r="V31" s="373"/>
      <c r="W31" s="374"/>
      <c r="X31" s="375"/>
      <c r="Y31" s="376"/>
      <c r="Z31" s="357"/>
      <c r="AA31" s="379"/>
      <c r="AB31" s="388" t="s">
        <v>240</v>
      </c>
      <c r="AC31" s="350"/>
      <c r="AD31" s="378">
        <v>23.0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240</v>
      </c>
    </row>
    <row r="32" ht="18.75" customHeight="1">
      <c r="A32" s="335" t="str">
        <f>IF(IGRF!B28="","",IGRF!B28)</f>
        <v>99</v>
      </c>
      <c r="B32" s="336" t="s">
        <v>215</v>
      </c>
      <c r="C32" s="337"/>
      <c r="D32" s="337"/>
      <c r="E32" s="337"/>
      <c r="F32" s="337"/>
      <c r="G32" s="338"/>
      <c r="H32" s="339"/>
      <c r="I32" s="340"/>
      <c r="J32" s="341"/>
      <c r="K32" s="342"/>
      <c r="L32" s="343">
        <f>IF(COUNTA(B32:J32)=0,"",COUNTA(B32:J32))</f>
        <v>1</v>
      </c>
      <c r="M32" s="368">
        <v>29.0</v>
      </c>
      <c r="O32" s="2"/>
      <c r="P32" s="335" t="str">
        <f>IF(IGRF!I28="","",IGRF!I28)</f>
        <v>89</v>
      </c>
      <c r="Q32" s="336" t="s">
        <v>214</v>
      </c>
      <c r="R32" s="337" t="s">
        <v>212</v>
      </c>
      <c r="S32" s="337"/>
      <c r="T32" s="337"/>
      <c r="U32" s="337"/>
      <c r="V32" s="338"/>
      <c r="W32" s="339"/>
      <c r="X32" s="340"/>
      <c r="Y32" s="341"/>
      <c r="Z32" s="342"/>
      <c r="AA32" s="347">
        <f>IF(COUNTA(Q32:Y32)=0,"",COUNTA(Q32:Y32))</f>
        <v>2</v>
      </c>
      <c r="AB32" s="388" t="s">
        <v>241</v>
      </c>
      <c r="AC32" s="335" t="str">
        <f>IF(IGRF!B28="","",IGRF!B28)</f>
        <v>99</v>
      </c>
      <c r="AD32" s="340"/>
      <c r="AE32" s="337" t="s">
        <v>215</v>
      </c>
      <c r="AF32" s="337"/>
      <c r="AG32" s="337"/>
      <c r="AH32" s="337"/>
      <c r="AI32" s="338"/>
      <c r="AJ32" s="339"/>
      <c r="AK32" s="340"/>
      <c r="AL32" s="341"/>
      <c r="AM32" s="342"/>
      <c r="AN32" s="343">
        <f>IF(COUNTA(AD32:AL32)=0,"",COUNTA(AD32:AL32))</f>
        <v>1</v>
      </c>
      <c r="AO32" s="368">
        <v>29.0</v>
      </c>
      <c r="AQ32" s="2"/>
      <c r="AR32" s="349" t="str">
        <f>IF(IGRF!I28="","",IGRF!I28)</f>
        <v>89</v>
      </c>
      <c r="AS32" s="336"/>
      <c r="AT32" s="337"/>
      <c r="AU32" s="337"/>
      <c r="AV32" s="337"/>
      <c r="AW32" s="337"/>
      <c r="AX32" s="338"/>
      <c r="AY32" s="339"/>
      <c r="AZ32" s="340"/>
      <c r="BA32" s="341"/>
      <c r="BB32" s="342"/>
      <c r="BC32" s="343" t="str">
        <f>IF(COUNTA(AS32:BA32)=0,"",COUNTA(AS32:BA32))</f>
        <v/>
      </c>
      <c r="BD32" s="388" t="s">
        <v>241</v>
      </c>
    </row>
    <row r="33" ht="18.75" customHeight="1">
      <c r="A33" s="350"/>
      <c r="B33" s="351">
        <v>8.0</v>
      </c>
      <c r="C33" s="352"/>
      <c r="D33" s="352"/>
      <c r="E33" s="352"/>
      <c r="F33" s="352"/>
      <c r="G33" s="353"/>
      <c r="H33" s="354"/>
      <c r="I33" s="355"/>
      <c r="J33" s="356"/>
      <c r="K33" s="357"/>
      <c r="L33" s="350"/>
      <c r="M33" s="358">
        <v>30.0</v>
      </c>
      <c r="N33" s="8"/>
      <c r="O33" s="160"/>
      <c r="P33" s="350"/>
      <c r="Q33" s="351">
        <v>7.0</v>
      </c>
      <c r="R33" s="352">
        <v>17.0</v>
      </c>
      <c r="S33" s="352"/>
      <c r="T33" s="352"/>
      <c r="U33" s="352"/>
      <c r="V33" s="353"/>
      <c r="W33" s="354"/>
      <c r="X33" s="355"/>
      <c r="Y33" s="356"/>
      <c r="Z33" s="357"/>
      <c r="AA33" s="155"/>
      <c r="AB33" s="389" t="s">
        <v>242</v>
      </c>
      <c r="AC33" s="350"/>
      <c r="AD33" s="355"/>
      <c r="AE33" s="352">
        <v>4.0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244</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248</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250</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251</v>
      </c>
    </row>
    <row r="44" ht="16.5" customHeight="1">
      <c r="A44" s="405" t="s">
        <v>252</v>
      </c>
      <c r="B44" s="15"/>
      <c r="C44" s="340"/>
      <c r="D44" s="337"/>
      <c r="E44" s="406">
        <f>COUNTA(C44:D44)</f>
        <v>0</v>
      </c>
      <c r="F44" s="407" t="s">
        <v>253</v>
      </c>
      <c r="G44" s="345"/>
      <c r="H44" s="345"/>
      <c r="I44" s="345"/>
      <c r="J44" s="345"/>
      <c r="K44" s="346"/>
      <c r="L44" s="408">
        <f>IF(SUM(L4:L43)=0,"",SUM(L4:L43,E44))</f>
        <v>12</v>
      </c>
      <c r="M44" s="368">
        <v>41.0</v>
      </c>
      <c r="O44" s="2"/>
      <c r="P44" s="405" t="s">
        <v>252</v>
      </c>
      <c r="Q44" s="15"/>
      <c r="R44" s="340"/>
      <c r="S44" s="337"/>
      <c r="T44" s="406">
        <f>COUNTA(R44:S44)</f>
        <v>0</v>
      </c>
      <c r="U44" s="407" t="s">
        <v>253</v>
      </c>
      <c r="V44" s="345"/>
      <c r="W44" s="345"/>
      <c r="X44" s="345"/>
      <c r="Y44" s="345"/>
      <c r="Z44" s="346"/>
      <c r="AA44" s="409">
        <f>IF(SUM(AA4:AA43)=0,"",SUM(AA4:AA43,T44))</f>
        <v>18</v>
      </c>
      <c r="AB44" s="410" t="s">
        <v>254</v>
      </c>
      <c r="AC44" s="405" t="s">
        <v>252</v>
      </c>
      <c r="AD44" s="15"/>
      <c r="AE44" s="340"/>
      <c r="AF44" s="337"/>
      <c r="AG44" s="406">
        <f>COUNTA(AE44:AF44)</f>
        <v>0</v>
      </c>
      <c r="AH44" s="407" t="s">
        <v>255</v>
      </c>
      <c r="AI44" s="345"/>
      <c r="AJ44" s="345"/>
      <c r="AK44" s="345"/>
      <c r="AL44" s="345"/>
      <c r="AM44" s="346"/>
      <c r="AN44" s="409">
        <f>IF(SUM(AN4:AN43)=0,"",SUM(AN4:AN43,AG44))</f>
        <v>8</v>
      </c>
      <c r="AO44" s="368"/>
      <c r="AQ44" s="2"/>
      <c r="AR44" s="405" t="s">
        <v>252</v>
      </c>
      <c r="AS44" s="15"/>
      <c r="AT44" s="340"/>
      <c r="AU44" s="337"/>
      <c r="AV44" s="406">
        <f>COUNTA(AT44:AU44)</f>
        <v>0</v>
      </c>
      <c r="AW44" s="407" t="s">
        <v>255</v>
      </c>
      <c r="AX44" s="345"/>
      <c r="AY44" s="345"/>
      <c r="AZ44" s="345"/>
      <c r="BA44" s="345"/>
      <c r="BB44" s="346"/>
      <c r="BC44" s="411">
        <f>IF(SUM(BC4:BC43)=0,"",SUM(BC4:BC43,AV44))</f>
        <v>11</v>
      </c>
      <c r="BD44" s="410" t="s">
        <v>254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Denver roller Derby / Mile High Club</v>
      </c>
      <c r="B1" s="205"/>
      <c r="C1" s="205"/>
      <c r="D1" s="205"/>
      <c r="E1" s="205"/>
      <c r="F1" s="205"/>
      <c r="G1" s="206"/>
      <c r="H1" s="207" t="str">
        <f>IF(ISBLANK(IGRF!$B$12), "", IGRF!$B$12)</f>
        <v>Blue</v>
      </c>
      <c r="I1" s="151"/>
      <c r="J1" s="151"/>
      <c r="K1" s="151"/>
      <c r="L1" s="422">
        <f>IF(ISBLANK(IGRF!$B$7), "", IGRF!$B$7)</f>
        <v>45108</v>
      </c>
      <c r="M1" s="168"/>
      <c r="N1" s="168"/>
      <c r="O1" s="211"/>
      <c r="P1" s="423"/>
      <c r="Q1" s="151"/>
      <c r="R1" s="151"/>
      <c r="S1" s="151"/>
      <c r="T1" s="151"/>
      <c r="U1" s="151"/>
      <c r="V1" s="151"/>
      <c r="W1" s="151"/>
      <c r="X1" s="151"/>
      <c r="Y1" s="151"/>
      <c r="Z1" s="424">
        <v>1.0</v>
      </c>
      <c r="AA1" s="421" t="str">
        <f>Score!T1</f>
        <v>Rose City Rollers / Rose City Rollers: Axles of Annihilation</v>
      </c>
      <c r="AB1" s="205"/>
      <c r="AC1" s="205"/>
      <c r="AD1" s="205"/>
      <c r="AE1" s="205"/>
      <c r="AF1" s="205"/>
      <c r="AG1" s="206"/>
      <c r="AH1" s="207" t="str">
        <f>IF(ISBLANK(IGRF!$I$12), "", IGRF!$I$12)</f>
        <v>White</v>
      </c>
      <c r="AI1" s="151"/>
      <c r="AJ1" s="151"/>
      <c r="AK1" s="151"/>
      <c r="AL1" s="422">
        <f>L1</f>
        <v>45108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179</v>
      </c>
      <c r="I2" s="71"/>
      <c r="J2" s="71"/>
      <c r="K2" s="71"/>
      <c r="L2" s="426" t="s">
        <v>180</v>
      </c>
      <c r="M2" s="71"/>
      <c r="N2" s="71"/>
      <c r="O2" s="72"/>
      <c r="P2" s="427" t="s">
        <v>161</v>
      </c>
      <c r="Q2" s="20"/>
      <c r="R2" s="20"/>
      <c r="S2" s="20"/>
      <c r="T2" s="20"/>
      <c r="U2" s="20"/>
      <c r="V2" s="20"/>
      <c r="W2" s="20"/>
      <c r="X2" s="20"/>
      <c r="Y2" s="20"/>
      <c r="Z2" s="428" t="str">
        <f>IF(ISBLANK(IGRF!$L$3), "", "GAME " &amp; IGRF!$L$3)</f>
        <v>GAME 1</v>
      </c>
      <c r="AA2" s="214"/>
      <c r="AB2" s="20"/>
      <c r="AC2" s="20"/>
      <c r="AD2" s="20"/>
      <c r="AE2" s="20"/>
      <c r="AF2" s="20"/>
      <c r="AG2" s="156"/>
      <c r="AH2" s="425" t="s">
        <v>179</v>
      </c>
      <c r="AI2" s="71"/>
      <c r="AJ2" s="71"/>
      <c r="AK2" s="71"/>
      <c r="AL2" s="426" t="s">
        <v>180</v>
      </c>
      <c r="AM2" s="71"/>
      <c r="AN2" s="71"/>
      <c r="AO2" s="72"/>
      <c r="AP2" s="427" t="s">
        <v>161</v>
      </c>
      <c r="AQ2" s="20"/>
      <c r="AR2" s="20"/>
      <c r="AS2" s="20"/>
      <c r="AT2" s="20"/>
      <c r="AU2" s="20"/>
      <c r="AV2" s="20"/>
      <c r="AW2" s="20"/>
      <c r="AX2" s="20"/>
      <c r="AY2" s="20"/>
      <c r="AZ2" s="428" t="str">
        <f>Z2</f>
        <v>GAME 1</v>
      </c>
    </row>
    <row r="3" ht="13.5" customHeight="1">
      <c r="A3" s="429" t="s">
        <v>257</v>
      </c>
      <c r="B3" s="430"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32" t="s">
        <v>263</v>
      </c>
      <c r="Y3" s="45"/>
      <c r="Z3" s="46"/>
      <c r="AA3" s="429" t="s">
        <v>257</v>
      </c>
      <c r="AB3" s="430" t="s">
        <v>258</v>
      </c>
      <c r="AC3" s="431" t="s">
        <v>259</v>
      </c>
      <c r="AD3" s="432" t="s">
        <v>260</v>
      </c>
      <c r="AE3" s="45"/>
      <c r="AF3" s="433"/>
      <c r="AG3" s="431" t="s">
        <v>261</v>
      </c>
      <c r="AH3" s="432" t="s">
        <v>260</v>
      </c>
      <c r="AI3" s="45"/>
      <c r="AJ3" s="433"/>
      <c r="AK3" s="431" t="s">
        <v>262</v>
      </c>
      <c r="AL3" s="432" t="s">
        <v>260</v>
      </c>
      <c r="AM3" s="45"/>
      <c r="AN3" s="433"/>
      <c r="AO3" s="431" t="s">
        <v>262</v>
      </c>
      <c r="AP3" s="432" t="s">
        <v>260</v>
      </c>
      <c r="AQ3" s="45"/>
      <c r="AR3" s="433"/>
      <c r="AS3" s="431" t="s">
        <v>262</v>
      </c>
      <c r="AT3" s="432" t="s">
        <v>260</v>
      </c>
      <c r="AU3" s="45"/>
      <c r="AV3" s="433"/>
      <c r="AW3" s="434"/>
      <c r="AX3" s="432" t="s">
        <v>263</v>
      </c>
      <c r="AY3" s="45"/>
      <c r="AZ3" s="46"/>
    </row>
    <row r="4" ht="31.5" customHeight="1">
      <c r="A4" s="435">
        <f>IF(Score!A4="", "",Score!A4 )</f>
        <v>1</v>
      </c>
      <c r="B4" s="436"/>
      <c r="C4" s="437" t="str">
        <f>IF(Score!B4="", "",Score!B4 )</f>
        <v>1706</v>
      </c>
      <c r="D4" s="438"/>
      <c r="E4" s="438"/>
      <c r="F4" s="438"/>
      <c r="G4" s="437" t="s">
        <v>71</v>
      </c>
      <c r="H4" s="438"/>
      <c r="I4" s="438"/>
      <c r="J4" s="438"/>
      <c r="K4" s="437" t="s">
        <v>68</v>
      </c>
      <c r="L4" s="438"/>
      <c r="M4" s="438"/>
      <c r="N4" s="438"/>
      <c r="O4" s="437" t="s">
        <v>107</v>
      </c>
      <c r="P4" s="438"/>
      <c r="Q4" s="438"/>
      <c r="R4" s="438"/>
      <c r="S4" s="437" t="s">
        <v>64</v>
      </c>
      <c r="T4" s="438"/>
      <c r="U4" s="438"/>
      <c r="V4" s="439"/>
      <c r="W4" s="440">
        <f>IF(A4="","",SUMIF(SK!B$3:B$78,ROW(),SK!D$3:D$78))</f>
        <v>4</v>
      </c>
      <c r="X4" s="43"/>
      <c r="Y4" s="441" t="str">
        <f>IF(IGRF!B14="","",IGRF!B14)</f>
        <v>10</v>
      </c>
      <c r="Z4" s="442" t="str">
        <f>IF(IGRF!C14="","",IGRF!C14)</f>
        <v>Unprotected Lex</v>
      </c>
      <c r="AA4" s="443">
        <f>IF(Score!T4="", "",Score!T4 )</f>
        <v>1</v>
      </c>
      <c r="AB4" s="436"/>
      <c r="AC4" s="437" t="str">
        <f>IF(Score!U4="", "",Score!U4 )</f>
        <v>316</v>
      </c>
      <c r="AD4" s="438"/>
      <c r="AE4" s="438"/>
      <c r="AF4" s="438"/>
      <c r="AG4" s="437" t="s">
        <v>68</v>
      </c>
      <c r="AH4" s="438"/>
      <c r="AI4" s="438"/>
      <c r="AJ4" s="438"/>
      <c r="AK4" s="437" t="s">
        <v>113</v>
      </c>
      <c r="AL4" s="438"/>
      <c r="AM4" s="438"/>
      <c r="AN4" s="438"/>
      <c r="AO4" s="437" t="s">
        <v>58</v>
      </c>
      <c r="AP4" s="438"/>
      <c r="AQ4" s="438"/>
      <c r="AR4" s="438"/>
      <c r="AS4" s="437" t="s">
        <v>85</v>
      </c>
      <c r="AT4" s="438"/>
      <c r="AU4" s="438"/>
      <c r="AV4" s="439"/>
      <c r="AW4" s="440">
        <f>IF(AA4="","",SUMIF(SK!R$3:R$78,ROW(),SK!T$3:T$78))</f>
        <v>0</v>
      </c>
      <c r="AX4" s="43"/>
      <c r="AY4" s="441" t="str">
        <f>IF(IGRF!I14="","",IGRF!I14)</f>
        <v>11</v>
      </c>
      <c r="AZ4" s="442" t="str">
        <f>IF(IGRF!J14="","",IGRF!J14)</f>
        <v>Bertha Beatdown</v>
      </c>
    </row>
    <row r="5" ht="31.5" customHeight="1">
      <c r="A5" s="444">
        <f>IF(Score!A5="", "",Score!A5 )</f>
        <v>2</v>
      </c>
      <c r="B5" s="445"/>
      <c r="C5" s="446" t="str">
        <f>IF(Score!B5="", "",Score!B5 )</f>
        <v>33</v>
      </c>
      <c r="D5" s="447"/>
      <c r="E5" s="447"/>
      <c r="F5" s="447"/>
      <c r="G5" s="446" t="s">
        <v>95</v>
      </c>
      <c r="H5" s="447"/>
      <c r="I5" s="447"/>
      <c r="J5" s="447"/>
      <c r="K5" s="446" t="s">
        <v>103</v>
      </c>
      <c r="L5" s="447"/>
      <c r="M5" s="447"/>
      <c r="N5" s="447"/>
      <c r="O5" s="446" t="s">
        <v>111</v>
      </c>
      <c r="P5" s="447"/>
      <c r="Q5" s="447"/>
      <c r="R5" s="447"/>
      <c r="S5" s="446" t="s">
        <v>91</v>
      </c>
      <c r="T5" s="447"/>
      <c r="U5" s="447"/>
      <c r="V5" s="448"/>
      <c r="W5" s="440">
        <f>IF(A5="","",SUMIF(SK!B$3:B$78,ROW(),SK!D$3:D$78))</f>
        <v>2</v>
      </c>
      <c r="X5" s="43"/>
      <c r="Y5" s="43"/>
      <c r="Z5" s="43"/>
      <c r="AA5" s="445">
        <f>IF(Score!T5="", "",Score!T5 )</f>
        <v>2</v>
      </c>
      <c r="AB5" s="445"/>
      <c r="AC5" s="446" t="str">
        <f>IF(Score!U5="", "",Score!U5 )</f>
        <v>79</v>
      </c>
      <c r="AD5" s="447"/>
      <c r="AE5" s="447"/>
      <c r="AF5" s="447"/>
      <c r="AG5" s="446" t="s">
        <v>97</v>
      </c>
      <c r="AH5" s="447"/>
      <c r="AI5" s="447"/>
      <c r="AJ5" s="447"/>
      <c r="AK5" s="446" t="s">
        <v>73</v>
      </c>
      <c r="AL5" s="447"/>
      <c r="AM5" s="447"/>
      <c r="AN5" s="447"/>
      <c r="AO5" s="446" t="s">
        <v>93</v>
      </c>
      <c r="AP5" s="447"/>
      <c r="AQ5" s="447"/>
      <c r="AR5" s="447"/>
      <c r="AS5" s="446" t="s">
        <v>89</v>
      </c>
      <c r="AT5" s="447"/>
      <c r="AU5" s="447"/>
      <c r="AV5" s="448"/>
      <c r="AW5" s="440">
        <f>IF(AA5="","",SUMIF(SK!R$3:R$78,ROW(),SK!T$3:T$78))</f>
        <v>0</v>
      </c>
      <c r="AX5" s="43"/>
      <c r="AY5" s="43"/>
      <c r="AZ5" s="43"/>
    </row>
    <row r="6" ht="31.5" customHeight="1">
      <c r="A6" s="449">
        <f>IF(Score!A6="", "",Score!A6 )</f>
        <v>3</v>
      </c>
      <c r="B6" s="443"/>
      <c r="C6" s="450" t="str">
        <f>IF(Score!B6="", "",Score!B6 )</f>
        <v>50</v>
      </c>
      <c r="D6" s="447"/>
      <c r="E6" s="447"/>
      <c r="F6" s="447"/>
      <c r="G6" s="450" t="s">
        <v>64</v>
      </c>
      <c r="H6" s="447"/>
      <c r="I6" s="447"/>
      <c r="J6" s="447"/>
      <c r="K6" s="450" t="s">
        <v>107</v>
      </c>
      <c r="L6" s="447"/>
      <c r="M6" s="447"/>
      <c r="N6" s="447"/>
      <c r="O6" s="450" t="s">
        <v>64</v>
      </c>
      <c r="P6" s="447"/>
      <c r="Q6" s="447"/>
      <c r="R6" s="447"/>
      <c r="S6" s="450" t="s">
        <v>68</v>
      </c>
      <c r="T6" s="447"/>
      <c r="U6" s="447"/>
      <c r="V6" s="448"/>
      <c r="W6" s="440">
        <f>IF(A6="","",SUMIF(SK!B$3:B$78,ROW(),SK!D$3:D$78))</f>
        <v>1</v>
      </c>
      <c r="X6" s="43"/>
      <c r="Y6" s="441" t="str">
        <f>IF(IGRF!B15="","",IGRF!B15)</f>
        <v>1706</v>
      </c>
      <c r="Z6" s="442" t="str">
        <f>IF(IGRF!C15="","",IGRF!C15)</f>
        <v>Maven</v>
      </c>
      <c r="AA6" s="443">
        <f>IF(Score!T6="", "",Score!T6 )</f>
        <v>3</v>
      </c>
      <c r="AB6" s="443"/>
      <c r="AC6" s="450" t="str">
        <f>IF(Score!U6="", "",Score!U6 )</f>
        <v>700</v>
      </c>
      <c r="AD6" s="447"/>
      <c r="AE6" s="447"/>
      <c r="AF6" s="447"/>
      <c r="AG6" s="450" t="s">
        <v>66</v>
      </c>
      <c r="AH6" s="447"/>
      <c r="AI6" s="447"/>
      <c r="AJ6" s="447"/>
      <c r="AK6" s="450" t="s">
        <v>113</v>
      </c>
      <c r="AL6" s="447"/>
      <c r="AM6" s="447"/>
      <c r="AN6" s="447"/>
      <c r="AO6" s="450" t="s">
        <v>68</v>
      </c>
      <c r="AP6" s="447"/>
      <c r="AQ6" s="447"/>
      <c r="AR6" s="447"/>
      <c r="AS6" s="450" t="s">
        <v>85</v>
      </c>
      <c r="AT6" s="447"/>
      <c r="AU6" s="447"/>
      <c r="AV6" s="448"/>
      <c r="AW6" s="440">
        <f>IF(AA6="","",SUMIF(SK!R$3:R$78,ROW(),SK!T$3:T$78))</f>
        <v>0</v>
      </c>
      <c r="AX6" s="43"/>
      <c r="AY6" s="441" t="str">
        <f>IF(IGRF!I15="","",IGRF!I15)</f>
        <v>128</v>
      </c>
      <c r="AZ6" s="442" t="str">
        <f>IF(IGRF!J15="","",IGRF!J15)</f>
        <v>Carl</v>
      </c>
    </row>
    <row r="7" ht="31.5" customHeight="1">
      <c r="A7" s="444">
        <f>IF(Score!A7="", "",Score!A7 )</f>
        <v>4</v>
      </c>
      <c r="B7" s="445"/>
      <c r="C7" s="446" t="str">
        <f>IF(Score!B7="", "",Score!B7 )</f>
        <v>1706</v>
      </c>
      <c r="D7" s="447"/>
      <c r="E7" s="447"/>
      <c r="F7" s="447"/>
      <c r="G7" s="446" t="s">
        <v>95</v>
      </c>
      <c r="H7" s="447"/>
      <c r="I7" s="447"/>
      <c r="J7" s="447"/>
      <c r="K7" s="446" t="s">
        <v>111</v>
      </c>
      <c r="L7" s="447"/>
      <c r="M7" s="447"/>
      <c r="N7" s="447"/>
      <c r="O7" s="446" t="s">
        <v>103</v>
      </c>
      <c r="P7" s="447"/>
      <c r="Q7" s="447"/>
      <c r="R7" s="447"/>
      <c r="S7" s="446" t="s">
        <v>91</v>
      </c>
      <c r="T7" s="447"/>
      <c r="U7" s="447"/>
      <c r="V7" s="448"/>
      <c r="W7" s="440">
        <f>IF(A7="","",SUMIF(SK!B$3:B$78,ROW(),SK!D$3:D$78))</f>
        <v>0</v>
      </c>
      <c r="X7" s="43"/>
      <c r="Y7" s="43"/>
      <c r="Z7" s="43"/>
      <c r="AA7" s="445">
        <f>IF(Score!T7="", "",Score!T7 )</f>
        <v>4</v>
      </c>
      <c r="AB7" s="445"/>
      <c r="AC7" s="446" t="str">
        <f>IF(Score!U7="", "",Score!U7 )</f>
        <v>343</v>
      </c>
      <c r="AD7" s="447"/>
      <c r="AE7" s="447"/>
      <c r="AF7" s="447"/>
      <c r="AG7" s="446" t="s">
        <v>97</v>
      </c>
      <c r="AH7" s="447"/>
      <c r="AI7" s="447"/>
      <c r="AJ7" s="447"/>
      <c r="AK7" s="446" t="s">
        <v>93</v>
      </c>
      <c r="AL7" s="447"/>
      <c r="AM7" s="447"/>
      <c r="AN7" s="447"/>
      <c r="AO7" s="446" t="s">
        <v>62</v>
      </c>
      <c r="AP7" s="447"/>
      <c r="AQ7" s="447"/>
      <c r="AR7" s="447"/>
      <c r="AS7" s="446" t="s">
        <v>73</v>
      </c>
      <c r="AT7" s="447"/>
      <c r="AU7" s="447"/>
      <c r="AV7" s="448"/>
      <c r="AW7" s="440">
        <f>IF(AA7="","",SUMIF(SK!R$3:R$78,ROW(),SK!T$3:T$78))</f>
        <v>4</v>
      </c>
      <c r="AX7" s="43"/>
      <c r="AY7" s="43"/>
      <c r="AZ7" s="43"/>
    </row>
    <row r="8" ht="31.5" customHeight="1">
      <c r="A8" s="449">
        <f>IF(Score!A8="", "",Score!A8 )</f>
        <v>5</v>
      </c>
      <c r="B8" s="443"/>
      <c r="C8" s="450" t="str">
        <f>IF(Score!B8="", "",Score!B8 )</f>
        <v>33</v>
      </c>
      <c r="D8" s="447"/>
      <c r="E8" s="447"/>
      <c r="F8" s="447"/>
      <c r="G8" s="450" t="s">
        <v>71</v>
      </c>
      <c r="H8" s="447"/>
      <c r="I8" s="447"/>
      <c r="J8" s="447"/>
      <c r="K8" s="450" t="s">
        <v>107</v>
      </c>
      <c r="L8" s="447"/>
      <c r="M8" s="447"/>
      <c r="N8" s="447"/>
      <c r="O8" s="450" t="s">
        <v>68</v>
      </c>
      <c r="P8" s="447"/>
      <c r="Q8" s="447"/>
      <c r="R8" s="447"/>
      <c r="S8" s="450" t="s">
        <v>64</v>
      </c>
      <c r="T8" s="447"/>
      <c r="U8" s="447"/>
      <c r="V8" s="448"/>
      <c r="W8" s="440">
        <f>IF(A8="","",SUMIF(SK!B$3:B$78,ROW(),SK!D$3:D$78))</f>
        <v>0</v>
      </c>
      <c r="X8" s="43"/>
      <c r="Y8" s="441" t="str">
        <f>IF(IGRF!B16="","",IGRF!B16)</f>
        <v>2</v>
      </c>
      <c r="Z8" s="442" t="str">
        <f>IF(IGRF!C16="","",IGRF!C16)</f>
        <v>Taryn</v>
      </c>
      <c r="AA8" s="443">
        <f>IF(Score!T8="", "",Score!T8 )</f>
        <v>5</v>
      </c>
      <c r="AB8" s="443"/>
      <c r="AC8" s="450" t="str">
        <f>IF(Score!U8="", "",Score!U8 )</f>
        <v>316</v>
      </c>
      <c r="AD8" s="447"/>
      <c r="AE8" s="447"/>
      <c r="AF8" s="447"/>
      <c r="AG8" s="450" t="s">
        <v>68</v>
      </c>
      <c r="AH8" s="447"/>
      <c r="AI8" s="447"/>
      <c r="AJ8" s="447"/>
      <c r="AK8" s="450" t="s">
        <v>58</v>
      </c>
      <c r="AL8" s="447"/>
      <c r="AM8" s="447"/>
      <c r="AN8" s="447"/>
      <c r="AO8" s="450" t="s">
        <v>85</v>
      </c>
      <c r="AP8" s="447"/>
      <c r="AQ8" s="447"/>
      <c r="AR8" s="447"/>
      <c r="AS8" s="450" t="s">
        <v>113</v>
      </c>
      <c r="AT8" s="447"/>
      <c r="AU8" s="447"/>
      <c r="AV8" s="448"/>
      <c r="AW8" s="440">
        <f>IF(AA8="","",SUMIF(SK!R$3:R$78,ROW(),SK!T$3:T$78))</f>
        <v>4</v>
      </c>
      <c r="AX8" s="43"/>
      <c r="AY8" s="441" t="str">
        <f>IF(IGRF!I16="","",IGRF!I16)</f>
        <v>139</v>
      </c>
      <c r="AZ8" s="442" t="str">
        <f>IF(IGRF!J16="","",IGRF!J16)</f>
        <v>Katie Postma</v>
      </c>
    </row>
    <row r="9" ht="31.5" customHeight="1">
      <c r="A9" s="444">
        <f>IF(Score!A9="", "",Score!A9 )</f>
        <v>6</v>
      </c>
      <c r="B9" s="445"/>
      <c r="C9" s="446" t="str">
        <f>IF(Score!B9="", "",Score!B9 )</f>
        <v>50</v>
      </c>
      <c r="D9" s="447" t="s">
        <v>264</v>
      </c>
      <c r="E9" s="447"/>
      <c r="F9" s="447"/>
      <c r="G9" s="446" t="s">
        <v>95</v>
      </c>
      <c r="H9" s="447"/>
      <c r="I9" s="447"/>
      <c r="J9" s="447"/>
      <c r="K9" s="446" t="s">
        <v>111</v>
      </c>
      <c r="L9" s="447"/>
      <c r="M9" s="447"/>
      <c r="N9" s="447"/>
      <c r="O9" s="446" t="s">
        <v>103</v>
      </c>
      <c r="P9" s="447"/>
      <c r="Q9" s="447"/>
      <c r="R9" s="447"/>
      <c r="S9" s="446" t="s">
        <v>91</v>
      </c>
      <c r="T9" s="447"/>
      <c r="U9" s="447"/>
      <c r="V9" s="448"/>
      <c r="W9" s="440">
        <f>IF(A9="","",SUMIF(SK!B$3:B$78,ROW(),SK!D$3:D$78))</f>
        <v>0</v>
      </c>
      <c r="X9" s="43"/>
      <c r="Y9" s="43"/>
      <c r="Z9" s="43"/>
      <c r="AA9" s="445">
        <f>IF(Score!T9="", "",Score!T9 )</f>
        <v>6</v>
      </c>
      <c r="AB9" s="445"/>
      <c r="AC9" s="446" t="str">
        <f>IF(Score!U9="", "",Score!U9 )</f>
        <v>79</v>
      </c>
      <c r="AD9" s="447"/>
      <c r="AE9" s="447"/>
      <c r="AF9" s="447"/>
      <c r="AG9" s="446" t="s">
        <v>97</v>
      </c>
      <c r="AH9" s="447"/>
      <c r="AI9" s="447"/>
      <c r="AJ9" s="447"/>
      <c r="AK9" s="446" t="s">
        <v>73</v>
      </c>
      <c r="AL9" s="447"/>
      <c r="AM9" s="447"/>
      <c r="AN9" s="447"/>
      <c r="AO9" s="446" t="s">
        <v>93</v>
      </c>
      <c r="AP9" s="447"/>
      <c r="AQ9" s="447"/>
      <c r="AR9" s="447"/>
      <c r="AS9" s="446" t="s">
        <v>89</v>
      </c>
      <c r="AT9" s="447"/>
      <c r="AU9" s="447"/>
      <c r="AV9" s="448"/>
      <c r="AW9" s="440">
        <f>IF(AA9="","",SUMIF(SK!R$3:R$78,ROW(),SK!T$3:T$78))</f>
        <v>3</v>
      </c>
      <c r="AX9" s="43"/>
      <c r="AY9" s="43"/>
      <c r="AZ9" s="43"/>
    </row>
    <row r="10" ht="31.5" customHeight="1">
      <c r="A10" s="449">
        <f>IF(Score!A10="", "",Score!A10 )</f>
        <v>7</v>
      </c>
      <c r="B10" s="443"/>
      <c r="C10" s="450" t="str">
        <f>IF(Score!B10="", "",Score!B10 )</f>
        <v>50</v>
      </c>
      <c r="D10" s="447" t="s">
        <v>265</v>
      </c>
      <c r="E10" s="447"/>
      <c r="F10" s="447"/>
      <c r="G10" s="450" t="s">
        <v>64</v>
      </c>
      <c r="H10" s="447"/>
      <c r="I10" s="447"/>
      <c r="J10" s="447"/>
      <c r="K10" s="450" t="s">
        <v>64</v>
      </c>
      <c r="L10" s="447"/>
      <c r="M10" s="447"/>
      <c r="N10" s="447"/>
      <c r="O10" s="450" t="s">
        <v>107</v>
      </c>
      <c r="P10" s="447"/>
      <c r="Q10" s="447"/>
      <c r="R10" s="447"/>
      <c r="S10" s="450" t="s">
        <v>68</v>
      </c>
      <c r="T10" s="447"/>
      <c r="U10" s="447"/>
      <c r="V10" s="448"/>
      <c r="W10" s="440">
        <f>IF(A10="","",SUMIF(SK!B$3:B$78,ROW(),SK!D$3:D$78))</f>
        <v>0</v>
      </c>
      <c r="X10" s="43"/>
      <c r="Y10" s="441" t="str">
        <f>IF(IGRF!B17="","",IGRF!B17)</f>
        <v>22</v>
      </c>
      <c r="Z10" s="442" t="str">
        <f>IF(IGRF!C17="","",IGRF!C17)</f>
        <v>Scara to Death</v>
      </c>
      <c r="AA10" s="443">
        <f>IF(Score!T10="", "",Score!T10 )</f>
        <v>7</v>
      </c>
      <c r="AB10" s="443"/>
      <c r="AC10" s="450" t="str">
        <f>IF(Score!U10="", "",Score!U10 )</f>
        <v>700</v>
      </c>
      <c r="AD10" s="447"/>
      <c r="AE10" s="447"/>
      <c r="AF10" s="447"/>
      <c r="AG10" s="450" t="s">
        <v>68</v>
      </c>
      <c r="AH10" s="447"/>
      <c r="AI10" s="447"/>
      <c r="AJ10" s="447"/>
      <c r="AK10" s="450" t="s">
        <v>85</v>
      </c>
      <c r="AL10" s="447"/>
      <c r="AM10" s="447"/>
      <c r="AN10" s="447"/>
      <c r="AO10" s="450" t="s">
        <v>113</v>
      </c>
      <c r="AP10" s="447" t="s">
        <v>264</v>
      </c>
      <c r="AQ10" s="447"/>
      <c r="AR10" s="447"/>
      <c r="AS10" s="450" t="s">
        <v>93</v>
      </c>
      <c r="AT10" s="447"/>
      <c r="AU10" s="447"/>
      <c r="AV10" s="448"/>
      <c r="AW10" s="440">
        <f>IF(AA10="","",SUMIF(SK!R$3:R$78,ROW(),SK!T$3:T$78))</f>
        <v>2</v>
      </c>
      <c r="AX10" s="43"/>
      <c r="AY10" s="441" t="str">
        <f>IF(IGRF!I17="","",IGRF!I17)</f>
        <v>22</v>
      </c>
      <c r="AZ10" s="442" t="str">
        <f>IF(IGRF!J17="","",IGRF!J17)</f>
        <v>Habanero Romero</v>
      </c>
    </row>
    <row r="11" ht="31.5" customHeight="1">
      <c r="A11" s="444">
        <f>IF(Score!A11="", "",Score!A11 )</f>
        <v>8</v>
      </c>
      <c r="B11" s="445"/>
      <c r="C11" s="446" t="str">
        <f>IF(Score!B11="", "",Score!B11 )</f>
        <v>1706</v>
      </c>
      <c r="D11" s="447"/>
      <c r="E11" s="447"/>
      <c r="F11" s="447"/>
      <c r="G11" s="446" t="s">
        <v>95</v>
      </c>
      <c r="H11" s="447"/>
      <c r="I11" s="447"/>
      <c r="J11" s="447"/>
      <c r="K11" s="446" t="s">
        <v>103</v>
      </c>
      <c r="L11" s="447" t="s">
        <v>264</v>
      </c>
      <c r="M11" s="447"/>
      <c r="N11" s="447"/>
      <c r="O11" s="446" t="s">
        <v>91</v>
      </c>
      <c r="P11" s="447"/>
      <c r="Q11" s="447"/>
      <c r="R11" s="447"/>
      <c r="S11" s="446" t="s">
        <v>111</v>
      </c>
      <c r="T11" s="447" t="s">
        <v>266</v>
      </c>
      <c r="U11" s="447"/>
      <c r="V11" s="448"/>
      <c r="W11" s="440">
        <f>IF(A11="","",SUMIF(SK!B$3:B$78,ROW(),SK!D$3:D$78))</f>
        <v>10</v>
      </c>
      <c r="X11" s="43"/>
      <c r="Y11" s="43"/>
      <c r="Z11" s="43"/>
      <c r="AA11" s="445">
        <f>IF(Score!T11="", "",Score!T11 )</f>
        <v>8</v>
      </c>
      <c r="AB11" s="445"/>
      <c r="AC11" s="446" t="str">
        <f>IF(Score!U11="", "",Score!U11 )</f>
        <v>343</v>
      </c>
      <c r="AD11" s="447"/>
      <c r="AE11" s="447"/>
      <c r="AF11" s="447"/>
      <c r="AG11" s="446" t="s">
        <v>97</v>
      </c>
      <c r="AH11" s="447" t="s">
        <v>264</v>
      </c>
      <c r="AI11" s="447"/>
      <c r="AJ11" s="447"/>
      <c r="AK11" s="446" t="s">
        <v>73</v>
      </c>
      <c r="AL11" s="447"/>
      <c r="AM11" s="447"/>
      <c r="AN11" s="447"/>
      <c r="AO11" s="446" t="s">
        <v>113</v>
      </c>
      <c r="AP11" s="447" t="s">
        <v>265</v>
      </c>
      <c r="AQ11" s="447"/>
      <c r="AR11" s="447"/>
      <c r="AS11" s="446" t="s">
        <v>81</v>
      </c>
      <c r="AT11" s="447"/>
      <c r="AU11" s="447"/>
      <c r="AV11" s="448"/>
      <c r="AW11" s="440">
        <f>IF(AA11="","",SUMIF(SK!R$3:R$78,ROW(),SK!T$3:T$78))</f>
        <v>0</v>
      </c>
      <c r="AX11" s="43"/>
      <c r="AY11" s="43"/>
      <c r="AZ11" s="43"/>
    </row>
    <row r="12" ht="31.5" customHeight="1">
      <c r="A12" s="449">
        <f>IF(Score!A12="", "",Score!A12 )</f>
        <v>9</v>
      </c>
      <c r="B12" s="443"/>
      <c r="C12" s="450" t="str">
        <f>IF(Score!B12="", "",Score!B12 )</f>
        <v>33</v>
      </c>
      <c r="D12" s="447"/>
      <c r="E12" s="447"/>
      <c r="F12" s="447"/>
      <c r="G12" s="450" t="s">
        <v>71</v>
      </c>
      <c r="H12" s="447"/>
      <c r="I12" s="447"/>
      <c r="J12" s="447"/>
      <c r="K12" s="450" t="s">
        <v>103</v>
      </c>
      <c r="L12" s="447" t="s">
        <v>265</v>
      </c>
      <c r="M12" s="447"/>
      <c r="N12" s="447"/>
      <c r="O12" s="450" t="s">
        <v>68</v>
      </c>
      <c r="P12" s="447"/>
      <c r="Q12" s="447"/>
      <c r="R12" s="447"/>
      <c r="S12" s="450" t="s">
        <v>107</v>
      </c>
      <c r="T12" s="447"/>
      <c r="U12" s="447"/>
      <c r="V12" s="448"/>
      <c r="W12" s="440">
        <f>IF(A12="","",SUMIF(SK!B$3:B$78,ROW(),SK!D$3:D$78))</f>
        <v>4</v>
      </c>
      <c r="X12" s="43"/>
      <c r="Y12" s="441" t="str">
        <f>IF(IGRF!B18="","",IGRF!B18)</f>
        <v>27</v>
      </c>
      <c r="Z12" s="442" t="str">
        <f>IF(IGRF!C18="","",IGRF!C18)</f>
        <v>Gobrecht</v>
      </c>
      <c r="AA12" s="443">
        <f>IF(Score!T12="", "",Score!T12 )</f>
        <v>9</v>
      </c>
      <c r="AB12" s="443"/>
      <c r="AC12" s="450" t="str">
        <f>IF(Score!U12="", "",Score!U12 )</f>
        <v>316</v>
      </c>
      <c r="AD12" s="447"/>
      <c r="AE12" s="447"/>
      <c r="AF12" s="447"/>
      <c r="AG12" s="450" t="s">
        <v>97</v>
      </c>
      <c r="AH12" s="447" t="s">
        <v>265</v>
      </c>
      <c r="AI12" s="447"/>
      <c r="AJ12" s="447"/>
      <c r="AK12" s="450" t="s">
        <v>113</v>
      </c>
      <c r="AL12" s="447"/>
      <c r="AM12" s="447"/>
      <c r="AN12" s="447"/>
      <c r="AO12" s="450" t="s">
        <v>85</v>
      </c>
      <c r="AP12" s="447"/>
      <c r="AQ12" s="447"/>
      <c r="AR12" s="447"/>
      <c r="AS12" s="450" t="s">
        <v>68</v>
      </c>
      <c r="AT12" s="447"/>
      <c r="AU12" s="447"/>
      <c r="AV12" s="448"/>
      <c r="AW12" s="440">
        <f>IF(AA12="","",SUMIF(SK!R$3:R$78,ROW(),SK!T$3:T$78))</f>
        <v>0</v>
      </c>
      <c r="AX12" s="43"/>
      <c r="AY12" s="441" t="str">
        <f>IF(IGRF!I18="","",IGRF!I18)</f>
        <v>241</v>
      </c>
      <c r="AZ12" s="442" t="str">
        <f>IF(IGRF!J18="","",IGRF!J18)</f>
        <v>Lilly Pate</v>
      </c>
    </row>
    <row r="13" ht="31.5" customHeight="1">
      <c r="A13" s="444">
        <f>IF(Score!A13="", "",Score!A13 )</f>
        <v>10</v>
      </c>
      <c r="B13" s="445"/>
      <c r="C13" s="446" t="str">
        <f>IF(Score!B13="", "",Score!B13 )</f>
        <v>50</v>
      </c>
      <c r="D13" s="447"/>
      <c r="E13" s="447"/>
      <c r="F13" s="447"/>
      <c r="G13" s="446" t="s">
        <v>95</v>
      </c>
      <c r="H13" s="447"/>
      <c r="I13" s="447"/>
      <c r="J13" s="447"/>
      <c r="K13" s="446" t="s">
        <v>111</v>
      </c>
      <c r="L13" s="447"/>
      <c r="M13" s="447"/>
      <c r="N13" s="447"/>
      <c r="O13" s="446" t="s">
        <v>91</v>
      </c>
      <c r="P13" s="447" t="s">
        <v>264</v>
      </c>
      <c r="Q13" s="447"/>
      <c r="R13" s="447"/>
      <c r="S13" s="446" t="s">
        <v>103</v>
      </c>
      <c r="T13" s="447"/>
      <c r="U13" s="447"/>
      <c r="V13" s="448"/>
      <c r="W13" s="440">
        <f>IF(A13="","",SUMIF(SK!B$3:B$78,ROW(),SK!D$3:D$78))</f>
        <v>8</v>
      </c>
      <c r="X13" s="43"/>
      <c r="Y13" s="43"/>
      <c r="Z13" s="43"/>
      <c r="AA13" s="445">
        <f>IF(Score!T13="", "",Score!T13 )</f>
        <v>10</v>
      </c>
      <c r="AB13" s="445"/>
      <c r="AC13" s="446" t="str">
        <f>IF(Score!U13="", "",Score!U13 )</f>
        <v>79</v>
      </c>
      <c r="AD13" s="447"/>
      <c r="AE13" s="447"/>
      <c r="AF13" s="447"/>
      <c r="AG13" s="446" t="s">
        <v>97</v>
      </c>
      <c r="AH13" s="447"/>
      <c r="AI13" s="447"/>
      <c r="AJ13" s="447"/>
      <c r="AK13" s="446" t="s">
        <v>62</v>
      </c>
      <c r="AL13" s="447"/>
      <c r="AM13" s="447"/>
      <c r="AN13" s="447"/>
      <c r="AO13" s="446" t="s">
        <v>93</v>
      </c>
      <c r="AP13" s="447"/>
      <c r="AQ13" s="447"/>
      <c r="AR13" s="447"/>
      <c r="AS13" s="446" t="s">
        <v>73</v>
      </c>
      <c r="AT13" s="447"/>
      <c r="AU13" s="447"/>
      <c r="AV13" s="448"/>
      <c r="AW13" s="440">
        <f>IF(AA13="","",SUMIF(SK!R$3:R$78,ROW(),SK!T$3:T$78))</f>
        <v>0</v>
      </c>
      <c r="AX13" s="43"/>
      <c r="AY13" s="43"/>
      <c r="AZ13" s="43"/>
    </row>
    <row r="14" ht="31.5" customHeight="1">
      <c r="A14" s="449">
        <f>IF(Score!A14="", "",Score!A14 )</f>
        <v>11</v>
      </c>
      <c r="B14" s="443"/>
      <c r="C14" s="450" t="str">
        <f>IF(Score!B14="", "",Score!B14 )</f>
        <v>1706</v>
      </c>
      <c r="D14" s="447"/>
      <c r="E14" s="447"/>
      <c r="F14" s="447"/>
      <c r="G14" s="450" t="s">
        <v>71</v>
      </c>
      <c r="H14" s="447"/>
      <c r="I14" s="447"/>
      <c r="J14" s="447"/>
      <c r="K14" s="450" t="s">
        <v>64</v>
      </c>
      <c r="L14" s="447" t="s">
        <v>266</v>
      </c>
      <c r="M14" s="447"/>
      <c r="N14" s="447"/>
      <c r="O14" s="450" t="s">
        <v>91</v>
      </c>
      <c r="P14" s="447" t="s">
        <v>265</v>
      </c>
      <c r="Q14" s="447"/>
      <c r="R14" s="447"/>
      <c r="S14" s="450" t="s">
        <v>107</v>
      </c>
      <c r="T14" s="447"/>
      <c r="U14" s="447"/>
      <c r="V14" s="448"/>
      <c r="W14" s="440">
        <f>IF(A14="","",SUMIF(SK!B$3:B$78,ROW(),SK!D$3:D$78))</f>
        <v>8</v>
      </c>
      <c r="X14" s="43"/>
      <c r="Y14" s="441" t="str">
        <f>IF(IGRF!B19="","",IGRF!B19)</f>
        <v>33</v>
      </c>
      <c r="Z14" s="442" t="str">
        <f>IF(IGRF!C19="","",IGRF!C19)</f>
        <v>Klein</v>
      </c>
      <c r="AA14" s="443">
        <f>IF(Score!T14="", "",Score!T14 )</f>
        <v>11</v>
      </c>
      <c r="AB14" s="443"/>
      <c r="AC14" s="450" t="str">
        <f>IF(Score!U14="", "",Score!U14 )</f>
        <v>700</v>
      </c>
      <c r="AD14" s="447" t="s">
        <v>266</v>
      </c>
      <c r="AE14" s="447"/>
      <c r="AF14" s="447"/>
      <c r="AG14" s="450" t="s">
        <v>68</v>
      </c>
      <c r="AH14" s="447"/>
      <c r="AI14" s="447"/>
      <c r="AJ14" s="447"/>
      <c r="AK14" s="450" t="s">
        <v>85</v>
      </c>
      <c r="AL14" s="447"/>
      <c r="AM14" s="447"/>
      <c r="AN14" s="447"/>
      <c r="AO14" s="450" t="s">
        <v>58</v>
      </c>
      <c r="AP14" s="447"/>
      <c r="AQ14" s="447"/>
      <c r="AR14" s="447"/>
      <c r="AS14" s="450" t="s">
        <v>66</v>
      </c>
      <c r="AT14" s="447" t="s">
        <v>264</v>
      </c>
      <c r="AU14" s="447"/>
      <c r="AV14" s="448"/>
      <c r="AW14" s="440">
        <f>IF(AA14="","",SUMIF(SK!R$3:R$78,ROW(),SK!T$3:T$78))</f>
        <v>0</v>
      </c>
      <c r="AX14" s="43"/>
      <c r="AY14" s="441" t="str">
        <f>IF(IGRF!I19="","",IGRF!I19)</f>
        <v>316</v>
      </c>
      <c r="AZ14" s="442" t="str">
        <f>IF(IGRF!J19="","",IGRF!J19)</f>
        <v>Eve Anne Hellical</v>
      </c>
    </row>
    <row r="15" ht="31.5" customHeight="1">
      <c r="A15" s="444">
        <f>IF(Score!A15="", "",Score!A15 )</f>
        <v>12</v>
      </c>
      <c r="B15" s="445"/>
      <c r="C15" s="446" t="str">
        <f>IF(Score!B15="", "",Score!B15 )</f>
        <v>33</v>
      </c>
      <c r="D15" s="447" t="s">
        <v>266</v>
      </c>
      <c r="E15" s="447"/>
      <c r="F15" s="447"/>
      <c r="G15" s="446" t="s">
        <v>95</v>
      </c>
      <c r="H15" s="447"/>
      <c r="I15" s="447"/>
      <c r="J15" s="447"/>
      <c r="K15" s="446" t="s">
        <v>103</v>
      </c>
      <c r="L15" s="447"/>
      <c r="M15" s="447"/>
      <c r="N15" s="447"/>
      <c r="O15" s="446" t="s">
        <v>91</v>
      </c>
      <c r="P15" s="447"/>
      <c r="Q15" s="447"/>
      <c r="R15" s="447"/>
      <c r="S15" s="446" t="s">
        <v>111</v>
      </c>
      <c r="T15" s="447"/>
      <c r="U15" s="447"/>
      <c r="V15" s="448"/>
      <c r="W15" s="440">
        <f>IF(A15="","",SUMIF(SK!B$3:B$78,ROW(),SK!D$3:D$78))</f>
        <v>0</v>
      </c>
      <c r="X15" s="43"/>
      <c r="Y15" s="43"/>
      <c r="Z15" s="43"/>
      <c r="AA15" s="445">
        <f>IF(Score!T15="", "",Score!T15 )</f>
        <v>12</v>
      </c>
      <c r="AB15" s="445"/>
      <c r="AC15" s="446" t="str">
        <f>IF(Score!U15="", "",Score!U15 )</f>
        <v>343</v>
      </c>
      <c r="AD15" s="447"/>
      <c r="AE15" s="447"/>
      <c r="AF15" s="447"/>
      <c r="AG15" s="446" t="s">
        <v>97</v>
      </c>
      <c r="AH15" s="447" t="s">
        <v>266</v>
      </c>
      <c r="AI15" s="447"/>
      <c r="AJ15" s="447"/>
      <c r="AK15" s="446" t="s">
        <v>73</v>
      </c>
      <c r="AL15" s="447"/>
      <c r="AM15" s="447"/>
      <c r="AN15" s="447"/>
      <c r="AO15" s="446" t="s">
        <v>93</v>
      </c>
      <c r="AP15" s="447"/>
      <c r="AQ15" s="447"/>
      <c r="AR15" s="447"/>
      <c r="AS15" s="446" t="s">
        <v>66</v>
      </c>
      <c r="AT15" s="447" t="s">
        <v>265</v>
      </c>
      <c r="AU15" s="447"/>
      <c r="AV15" s="448"/>
      <c r="AW15" s="440">
        <f>IF(AA15="","",SUMIF(SK!R$3:R$78,ROW(),SK!T$3:T$78))</f>
        <v>4</v>
      </c>
      <c r="AX15" s="43"/>
      <c r="AY15" s="43"/>
      <c r="AZ15" s="43"/>
    </row>
    <row r="16" ht="31.5" customHeight="1">
      <c r="A16" s="449">
        <f>IF(Score!A16="", "",Score!A16 )</f>
        <v>13</v>
      </c>
      <c r="B16" s="443"/>
      <c r="C16" s="450" t="str">
        <f>IF(Score!B16="", "",Score!B16 )</f>
        <v>50</v>
      </c>
      <c r="D16" s="447"/>
      <c r="E16" s="447"/>
      <c r="F16" s="447"/>
      <c r="G16" s="450" t="s">
        <v>71</v>
      </c>
      <c r="H16" s="447"/>
      <c r="I16" s="447"/>
      <c r="J16" s="447"/>
      <c r="K16" s="450" t="s">
        <v>107</v>
      </c>
      <c r="L16" s="447"/>
      <c r="M16" s="447"/>
      <c r="N16" s="447"/>
      <c r="O16" s="450" t="s">
        <v>64</v>
      </c>
      <c r="P16" s="447"/>
      <c r="Q16" s="447"/>
      <c r="R16" s="447"/>
      <c r="S16" s="450" t="s">
        <v>68</v>
      </c>
      <c r="T16" s="447" t="s">
        <v>264</v>
      </c>
      <c r="U16" s="447"/>
      <c r="V16" s="448"/>
      <c r="W16" s="440">
        <f>IF(A16="","",SUMIF(SK!B$3:B$78,ROW(),SK!D$3:D$78))</f>
        <v>4</v>
      </c>
      <c r="X16" s="43"/>
      <c r="Y16" s="441" t="str">
        <f>IF(IGRF!B20="","",IGRF!B20)</f>
        <v>357</v>
      </c>
      <c r="Z16" s="442" t="str">
        <f>IF(IGRF!C20="","",IGRF!C20)</f>
        <v>Bia Fraid</v>
      </c>
      <c r="AA16" s="443">
        <f>IF(Score!T16="", "",Score!T16 )</f>
        <v>13</v>
      </c>
      <c r="AB16" s="443"/>
      <c r="AC16" s="450" t="str">
        <f>IF(Score!U16="", "",Score!U16 )</f>
        <v>316</v>
      </c>
      <c r="AD16" s="447"/>
      <c r="AE16" s="447"/>
      <c r="AF16" s="447"/>
      <c r="AG16" s="450" t="s">
        <v>68</v>
      </c>
      <c r="AH16" s="447"/>
      <c r="AI16" s="447"/>
      <c r="AJ16" s="447"/>
      <c r="AK16" s="450" t="s">
        <v>113</v>
      </c>
      <c r="AL16" s="447"/>
      <c r="AM16" s="447"/>
      <c r="AN16" s="447"/>
      <c r="AO16" s="450" t="s">
        <v>58</v>
      </c>
      <c r="AP16" s="447"/>
      <c r="AQ16" s="447"/>
      <c r="AR16" s="447"/>
      <c r="AS16" s="450" t="s">
        <v>85</v>
      </c>
      <c r="AT16" s="447" t="s">
        <v>264</v>
      </c>
      <c r="AU16" s="447"/>
      <c r="AV16" s="448"/>
      <c r="AW16" s="440">
        <f>IF(AA16="","",SUMIF(SK!R$3:R$78,ROW(),SK!T$3:T$78))</f>
        <v>0</v>
      </c>
      <c r="AX16" s="43"/>
      <c r="AY16" s="441" t="str">
        <f>IF(IGRF!I20="","",IGRF!I20)</f>
        <v>343</v>
      </c>
      <c r="AZ16" s="442" t="str">
        <f>IF(IGRF!J20="","",IGRF!J20)</f>
        <v>Trinity</v>
      </c>
    </row>
    <row r="17" ht="31.5" customHeight="1">
      <c r="A17" s="444">
        <f>IF(Score!A17="", "",Score!A17 )</f>
        <v>14</v>
      </c>
      <c r="B17" s="445"/>
      <c r="C17" s="446" t="str">
        <f>IF(Score!B17="", "",Score!B17 )</f>
        <v>1706</v>
      </c>
      <c r="D17" s="447"/>
      <c r="E17" s="447"/>
      <c r="F17" s="447"/>
      <c r="G17" s="446" t="s">
        <v>95</v>
      </c>
      <c r="H17" s="447"/>
      <c r="I17" s="447"/>
      <c r="J17" s="447"/>
      <c r="K17" s="446" t="s">
        <v>103</v>
      </c>
      <c r="L17" s="447"/>
      <c r="M17" s="447"/>
      <c r="N17" s="447"/>
      <c r="O17" s="446" t="s">
        <v>111</v>
      </c>
      <c r="P17" s="447"/>
      <c r="Q17" s="447"/>
      <c r="R17" s="447"/>
      <c r="S17" s="446" t="s">
        <v>68</v>
      </c>
      <c r="T17" s="447" t="s">
        <v>267</v>
      </c>
      <c r="U17" s="447"/>
      <c r="V17" s="448"/>
      <c r="W17" s="440">
        <f>IF(A17="","",SUMIF(SK!B$3:B$78,ROW(),SK!D$3:D$78))</f>
        <v>0</v>
      </c>
      <c r="X17" s="43"/>
      <c r="Y17" s="43"/>
      <c r="Z17" s="43"/>
      <c r="AA17" s="445">
        <f>IF(Score!T17="", "",Score!T17 )</f>
        <v>14</v>
      </c>
      <c r="AB17" s="445"/>
      <c r="AC17" s="446" t="str">
        <f>IF(Score!U17="", "",Score!U17 )</f>
        <v>79</v>
      </c>
      <c r="AD17" s="447"/>
      <c r="AE17" s="447"/>
      <c r="AF17" s="447"/>
      <c r="AG17" s="446" t="s">
        <v>97</v>
      </c>
      <c r="AH17" s="447"/>
      <c r="AI17" s="447"/>
      <c r="AJ17" s="447"/>
      <c r="AK17" s="446" t="s">
        <v>93</v>
      </c>
      <c r="AL17" s="447"/>
      <c r="AM17" s="447"/>
      <c r="AN17" s="447"/>
      <c r="AO17" s="446" t="s">
        <v>73</v>
      </c>
      <c r="AP17" s="447"/>
      <c r="AQ17" s="447"/>
      <c r="AR17" s="447"/>
      <c r="AS17" s="446" t="s">
        <v>85</v>
      </c>
      <c r="AT17" s="447" t="s">
        <v>267</v>
      </c>
      <c r="AU17" s="447"/>
      <c r="AV17" s="448"/>
      <c r="AW17" s="440">
        <f>IF(AA17="","",SUMIF(SK!R$3:R$78,ROW(),SK!T$3:T$78))</f>
        <v>0</v>
      </c>
      <c r="AX17" s="43"/>
      <c r="AY17" s="43"/>
      <c r="AZ17" s="43"/>
    </row>
    <row r="18" ht="31.5" customHeight="1">
      <c r="A18" s="449">
        <f>IF(Score!A18="", "",Score!A18 )</f>
        <v>15</v>
      </c>
      <c r="B18" s="443"/>
      <c r="C18" s="450" t="str">
        <f>IF(Score!B18="", "",Score!B18 )</f>
        <v>33</v>
      </c>
      <c r="D18" s="447"/>
      <c r="E18" s="447"/>
      <c r="F18" s="447"/>
      <c r="G18" s="450" t="s">
        <v>71</v>
      </c>
      <c r="H18" s="447"/>
      <c r="I18" s="447"/>
      <c r="J18" s="447"/>
      <c r="K18" s="450" t="s">
        <v>56</v>
      </c>
      <c r="L18" s="447"/>
      <c r="M18" s="447"/>
      <c r="N18" s="447"/>
      <c r="O18" s="450" t="s">
        <v>64</v>
      </c>
      <c r="P18" s="447"/>
      <c r="Q18" s="447"/>
      <c r="R18" s="447"/>
      <c r="S18" s="450" t="s">
        <v>68</v>
      </c>
      <c r="T18" s="447" t="s">
        <v>265</v>
      </c>
      <c r="U18" s="447"/>
      <c r="V18" s="448"/>
      <c r="W18" s="440">
        <f>IF(A18="","",SUMIF(SK!B$3:B$78,ROW(),SK!D$3:D$78))</f>
        <v>2</v>
      </c>
      <c r="X18" s="43"/>
      <c r="Y18" s="441" t="str">
        <f>IF(IGRF!B21="","",IGRF!B21)</f>
        <v>40</v>
      </c>
      <c r="Z18" s="442" t="str">
        <f>IF(IGRF!C21="","",IGRF!C21)</f>
        <v>speedlejuice</v>
      </c>
      <c r="AA18" s="443">
        <f>IF(Score!T18="", "",Score!T18 )</f>
        <v>15</v>
      </c>
      <c r="AB18" s="443"/>
      <c r="AC18" s="450" t="str">
        <f>IF(Score!U18="", "",Score!U18 )</f>
        <v>700</v>
      </c>
      <c r="AD18" s="447"/>
      <c r="AE18" s="447"/>
      <c r="AF18" s="447"/>
      <c r="AG18" s="450" t="s">
        <v>66</v>
      </c>
      <c r="AH18" s="447"/>
      <c r="AI18" s="447"/>
      <c r="AJ18" s="447"/>
      <c r="AK18" s="450" t="s">
        <v>68</v>
      </c>
      <c r="AL18" s="447"/>
      <c r="AM18" s="447"/>
      <c r="AN18" s="447"/>
      <c r="AO18" s="450" t="s">
        <v>113</v>
      </c>
      <c r="AP18" s="447"/>
      <c r="AQ18" s="447"/>
      <c r="AR18" s="447"/>
      <c r="AS18" s="450" t="s">
        <v>85</v>
      </c>
      <c r="AT18" s="447" t="s">
        <v>265</v>
      </c>
      <c r="AU18" s="447"/>
      <c r="AV18" s="448"/>
      <c r="AW18" s="440">
        <f>IF(AA18="","",SUMIF(SK!R$3:R$78,ROW(),SK!T$3:T$78))</f>
        <v>0</v>
      </c>
      <c r="AX18" s="43"/>
      <c r="AY18" s="441" t="str">
        <f>IF(IGRF!I21="","",IGRF!I21)</f>
        <v>360</v>
      </c>
      <c r="AZ18" s="442" t="str">
        <f>IF(IGRF!J21="","",IGRF!J21)</f>
        <v>Big Bang Fury</v>
      </c>
    </row>
    <row r="19" ht="31.5" customHeight="1">
      <c r="A19" s="444">
        <f>IF(Score!A19="", "",Score!A19 )</f>
        <v>16</v>
      </c>
      <c r="B19" s="445"/>
      <c r="C19" s="446" t="str">
        <f>IF(Score!B19="", "",Score!B19 )</f>
        <v>50</v>
      </c>
      <c r="D19" s="447"/>
      <c r="E19" s="447"/>
      <c r="F19" s="447"/>
      <c r="G19" s="446" t="s">
        <v>95</v>
      </c>
      <c r="H19" s="447" t="s">
        <v>266</v>
      </c>
      <c r="I19" s="447"/>
      <c r="J19" s="447"/>
      <c r="K19" s="446" t="s">
        <v>99</v>
      </c>
      <c r="L19" s="447"/>
      <c r="M19" s="447"/>
      <c r="N19" s="447"/>
      <c r="O19" s="446" t="s">
        <v>71</v>
      </c>
      <c r="P19" s="447"/>
      <c r="Q19" s="447"/>
      <c r="R19" s="447"/>
      <c r="S19" s="446" t="s">
        <v>111</v>
      </c>
      <c r="T19" s="447"/>
      <c r="U19" s="447"/>
      <c r="V19" s="448"/>
      <c r="W19" s="440">
        <f>IF(A19="","",SUMIF(SK!B$3:B$78,ROW(),SK!D$3:D$78))</f>
        <v>6</v>
      </c>
      <c r="X19" s="43"/>
      <c r="Y19" s="43"/>
      <c r="Z19" s="43"/>
      <c r="AA19" s="445">
        <f>IF(Score!T19="", "",Score!T19 )</f>
        <v>16</v>
      </c>
      <c r="AB19" s="445"/>
      <c r="AC19" s="446" t="str">
        <f>IF(Score!U19="", "",Score!U19 )</f>
        <v>343</v>
      </c>
      <c r="AD19" s="447"/>
      <c r="AE19" s="447"/>
      <c r="AF19" s="447"/>
      <c r="AG19" s="446" t="s">
        <v>97</v>
      </c>
      <c r="AH19" s="447" t="s">
        <v>266</v>
      </c>
      <c r="AI19" s="447"/>
      <c r="AJ19" s="447"/>
      <c r="AK19" s="446" t="s">
        <v>73</v>
      </c>
      <c r="AL19" s="447"/>
      <c r="AM19" s="447"/>
      <c r="AN19" s="447"/>
      <c r="AO19" s="446" t="s">
        <v>93</v>
      </c>
      <c r="AP19" s="447" t="s">
        <v>266</v>
      </c>
      <c r="AQ19" s="447"/>
      <c r="AR19" s="447"/>
      <c r="AS19" s="446" t="s">
        <v>89</v>
      </c>
      <c r="AT19" s="447"/>
      <c r="AU19" s="447"/>
      <c r="AV19" s="448"/>
      <c r="AW19" s="440">
        <f>IF(AA19="","",SUMIF(SK!R$3:R$78,ROW(),SK!T$3:T$78))</f>
        <v>0</v>
      </c>
      <c r="AX19" s="43"/>
      <c r="AY19" s="43"/>
      <c r="AZ19" s="43"/>
    </row>
    <row r="20" ht="31.5" customHeight="1">
      <c r="A20" s="449" t="str">
        <f>IF(Score!A20="", "",Score!A20 )</f>
        <v>SP</v>
      </c>
      <c r="B20" s="443"/>
      <c r="C20" s="450" t="str">
        <f>IF(Score!B20="", "",Score!B20 )</f>
        <v>50</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50</v>
      </c>
      <c r="Z20" s="442" t="str">
        <f>IF(IGRF!C22="","",IGRF!C22)</f>
        <v>Scald Eagle</v>
      </c>
      <c r="AA20" s="443" t="str">
        <f>IF(Score!T20="", "",Score!T20 )</f>
        <v>SP*</v>
      </c>
      <c r="AB20" s="443"/>
      <c r="AC20" s="450" t="str">
        <f>IF(Score!U20="", "",Score!U20 )</f>
        <v>48</v>
      </c>
      <c r="AD20" s="447" t="s">
        <v>264</v>
      </c>
      <c r="AE20" s="447"/>
      <c r="AF20" s="447"/>
      <c r="AG20" s="450" t="s">
        <v>81</v>
      </c>
      <c r="AH20" s="447"/>
      <c r="AI20" s="447"/>
      <c r="AJ20" s="447"/>
      <c r="AK20" s="450" t="s">
        <v>73</v>
      </c>
      <c r="AL20" s="447"/>
      <c r="AM20" s="447"/>
      <c r="AN20" s="447"/>
      <c r="AO20" s="450" t="s">
        <v>85</v>
      </c>
      <c r="AP20" s="447"/>
      <c r="AQ20" s="447"/>
      <c r="AR20" s="447"/>
      <c r="AS20" s="450" t="s">
        <v>89</v>
      </c>
      <c r="AT20" s="447"/>
      <c r="AU20" s="447"/>
      <c r="AV20" s="448"/>
      <c r="AW20" s="440">
        <f>IF(AA20="","",SUMIF(SK!R$3:R$78,ROW(),SK!T$3:T$78))</f>
        <v>0</v>
      </c>
      <c r="AX20" s="43"/>
      <c r="AY20" s="441" t="str">
        <f>IF(IGRF!I22="","",IGRF!I22)</f>
        <v>37</v>
      </c>
      <c r="AZ20" s="442" t="str">
        <f>IF(IGRF!J22="","",IGRF!J22)</f>
        <v>Swagetha</v>
      </c>
    </row>
    <row r="21" ht="31.5" customHeight="1">
      <c r="A21" s="444">
        <f>IF(Score!A21="", "",Score!A21 )</f>
        <v>17</v>
      </c>
      <c r="B21" s="445"/>
      <c r="C21" s="446" t="str">
        <f>IF(Score!B21="", "",Score!B21 )</f>
        <v>1706</v>
      </c>
      <c r="D21" s="447"/>
      <c r="E21" s="447"/>
      <c r="F21" s="447"/>
      <c r="G21" s="446" t="s">
        <v>71</v>
      </c>
      <c r="H21" s="447"/>
      <c r="I21" s="447"/>
      <c r="J21" s="447"/>
      <c r="K21" s="446" t="s">
        <v>107</v>
      </c>
      <c r="L21" s="447"/>
      <c r="M21" s="447"/>
      <c r="N21" s="447"/>
      <c r="O21" s="446" t="s">
        <v>64</v>
      </c>
      <c r="P21" s="447"/>
      <c r="Q21" s="447"/>
      <c r="R21" s="447"/>
      <c r="S21" s="446" t="s">
        <v>56</v>
      </c>
      <c r="T21" s="447"/>
      <c r="U21" s="447"/>
      <c r="V21" s="448"/>
      <c r="W21" s="440">
        <f>IF(A21="","",SUMIF(SK!B$3:B$78,ROW(),SK!D$3:D$78))</f>
        <v>12</v>
      </c>
      <c r="X21" s="43"/>
      <c r="Y21" s="43"/>
      <c r="Z21" s="43"/>
      <c r="AA21" s="445">
        <f>IF(Score!T21="", "",Score!T21 )</f>
        <v>17</v>
      </c>
      <c r="AB21" s="445"/>
      <c r="AC21" s="446" t="str">
        <f>IF(Score!U21="", "",Score!U21 )</f>
        <v>48</v>
      </c>
      <c r="AD21" s="447" t="s">
        <v>265</v>
      </c>
      <c r="AE21" s="447"/>
      <c r="AF21" s="447"/>
      <c r="AG21" s="446" t="s">
        <v>68</v>
      </c>
      <c r="AH21" s="447"/>
      <c r="AI21" s="447"/>
      <c r="AJ21" s="447"/>
      <c r="AK21" s="446" t="s">
        <v>58</v>
      </c>
      <c r="AL21" s="447"/>
      <c r="AM21" s="447"/>
      <c r="AN21" s="447"/>
      <c r="AO21" s="446" t="s">
        <v>85</v>
      </c>
      <c r="AP21" s="447" t="s">
        <v>264</v>
      </c>
      <c r="AQ21" s="447"/>
      <c r="AR21" s="447"/>
      <c r="AS21" s="446" t="s">
        <v>113</v>
      </c>
      <c r="AT21" s="447" t="s">
        <v>266</v>
      </c>
      <c r="AU21" s="447"/>
      <c r="AV21" s="448"/>
      <c r="AW21" s="440">
        <f>IF(AA21="","",SUMIF(SK!R$3:R$78,ROW(),SK!T$3:T$78))</f>
        <v>0</v>
      </c>
      <c r="AX21" s="43"/>
      <c r="AY21" s="43"/>
      <c r="AZ21" s="43"/>
    </row>
    <row r="22" ht="31.5" customHeight="1">
      <c r="A22" s="449">
        <f>IF(Score!A22="", "",Score!A22 )</f>
        <v>18</v>
      </c>
      <c r="B22" s="443"/>
      <c r="C22" s="450" t="str">
        <f>IF(Score!B22="", "",Score!B22 )</f>
        <v>33</v>
      </c>
      <c r="D22" s="447"/>
      <c r="E22" s="447"/>
      <c r="F22" s="447"/>
      <c r="G22" s="450" t="s">
        <v>99</v>
      </c>
      <c r="H22" s="447"/>
      <c r="I22" s="447"/>
      <c r="J22" s="447"/>
      <c r="K22" s="450" t="s">
        <v>111</v>
      </c>
      <c r="L22" s="447"/>
      <c r="M22" s="447"/>
      <c r="N22" s="447"/>
      <c r="O22" s="450" t="s">
        <v>91</v>
      </c>
      <c r="P22" s="447"/>
      <c r="Q22" s="447"/>
      <c r="R22" s="447"/>
      <c r="S22" s="450" t="s">
        <v>103</v>
      </c>
      <c r="T22" s="447"/>
      <c r="U22" s="447"/>
      <c r="V22" s="448"/>
      <c r="W22" s="440">
        <f>IF(A22="","",SUMIF(SK!B$3:B$78,ROW(),SK!D$3:D$78))</f>
        <v>4</v>
      </c>
      <c r="X22" s="43"/>
      <c r="Y22" s="441" t="str">
        <f>IF(IGRF!B23="","",IGRF!B23)</f>
        <v>505</v>
      </c>
      <c r="Z22" s="442" t="str">
        <f>IF(IGRF!C23="","",IGRF!C23)</f>
        <v>Elyse LeKraken</v>
      </c>
      <c r="AA22" s="443">
        <f>IF(Score!T22="", "",Score!T22 )</f>
        <v>18</v>
      </c>
      <c r="AB22" s="443"/>
      <c r="AC22" s="450" t="str">
        <f>IF(Score!U22="", "",Score!U22 )</f>
        <v>316</v>
      </c>
      <c r="AD22" s="447"/>
      <c r="AE22" s="447"/>
      <c r="AF22" s="447"/>
      <c r="AG22" s="450" t="s">
        <v>58</v>
      </c>
      <c r="AH22" s="447"/>
      <c r="AI22" s="447"/>
      <c r="AJ22" s="447"/>
      <c r="AK22" s="450" t="s">
        <v>73</v>
      </c>
      <c r="AL22" s="447"/>
      <c r="AM22" s="447"/>
      <c r="AN22" s="447"/>
      <c r="AO22" s="450" t="s">
        <v>85</v>
      </c>
      <c r="AP22" s="447" t="s">
        <v>267</v>
      </c>
      <c r="AQ22" s="447"/>
      <c r="AR22" s="447"/>
      <c r="AS22" s="450" t="s">
        <v>113</v>
      </c>
      <c r="AT22" s="447"/>
      <c r="AU22" s="447"/>
      <c r="AV22" s="448"/>
      <c r="AW22" s="440">
        <f>IF(AA22="","",SUMIF(SK!R$3:R$78,ROW(),SK!T$3:T$78))</f>
        <v>0</v>
      </c>
      <c r="AX22" s="43"/>
      <c r="AY22" s="441" t="str">
        <f>IF(IGRF!I23="","",IGRF!I23)</f>
        <v>39</v>
      </c>
      <c r="AZ22" s="442" t="str">
        <f>IF(IGRF!J23="","",IGRF!J23)</f>
        <v>Gaffney</v>
      </c>
    </row>
    <row r="23" ht="31.5" customHeight="1">
      <c r="A23" s="444">
        <f>IF(Score!A23="", "",Score!A23 )</f>
        <v>19</v>
      </c>
      <c r="B23" s="445"/>
      <c r="C23" s="446" t="str">
        <f>IF(Score!B23="", "",Score!B23 )</f>
        <v>50</v>
      </c>
      <c r="D23" s="447"/>
      <c r="E23" s="447"/>
      <c r="F23" s="447"/>
      <c r="G23" s="446" t="s">
        <v>71</v>
      </c>
      <c r="H23" s="447"/>
      <c r="I23" s="447"/>
      <c r="J23" s="447"/>
      <c r="K23" s="446" t="s">
        <v>68</v>
      </c>
      <c r="L23" s="447"/>
      <c r="M23" s="447"/>
      <c r="N23" s="447"/>
      <c r="O23" s="446" t="s">
        <v>56</v>
      </c>
      <c r="P23" s="447"/>
      <c r="Q23" s="447"/>
      <c r="R23" s="447"/>
      <c r="S23" s="446" t="s">
        <v>107</v>
      </c>
      <c r="T23" s="447"/>
      <c r="U23" s="447"/>
      <c r="V23" s="448"/>
      <c r="W23" s="440">
        <f>IF(A23="","",SUMIF(SK!B$3:B$78,ROW(),SK!D$3:D$78))</f>
        <v>20</v>
      </c>
      <c r="X23" s="43"/>
      <c r="Y23" s="43"/>
      <c r="Z23" s="43"/>
      <c r="AA23" s="445">
        <f>IF(Score!T23="", "",Score!T23 )</f>
        <v>19</v>
      </c>
      <c r="AB23" s="445"/>
      <c r="AC23" s="446" t="str">
        <f>IF(Score!U23="", "",Score!U23 )</f>
        <v>71</v>
      </c>
      <c r="AD23" s="447" t="s">
        <v>264</v>
      </c>
      <c r="AE23" s="447"/>
      <c r="AF23" s="447"/>
      <c r="AG23" s="446" t="s">
        <v>66</v>
      </c>
      <c r="AH23" s="447"/>
      <c r="AI23" s="447"/>
      <c r="AJ23" s="447"/>
      <c r="AK23" s="446" t="s">
        <v>68</v>
      </c>
      <c r="AL23" s="447" t="s">
        <v>266</v>
      </c>
      <c r="AM23" s="447"/>
      <c r="AN23" s="447"/>
      <c r="AO23" s="446" t="s">
        <v>85</v>
      </c>
      <c r="AP23" s="447" t="s">
        <v>265</v>
      </c>
      <c r="AQ23" s="447"/>
      <c r="AR23" s="447"/>
      <c r="AS23" s="446" t="s">
        <v>113</v>
      </c>
      <c r="AT23" s="447"/>
      <c r="AU23" s="447"/>
      <c r="AV23" s="448"/>
      <c r="AW23" s="440">
        <f>IF(AA23="","",SUMIF(SK!R$3:R$78,ROW(),SK!T$3:T$78))</f>
        <v>0</v>
      </c>
      <c r="AX23" s="43"/>
      <c r="AY23" s="43"/>
      <c r="AZ23" s="43"/>
    </row>
    <row r="24" ht="31.5" customHeight="1">
      <c r="A24" s="449">
        <f>IF(Score!A24="", "",Score!A24 )</f>
        <v>20</v>
      </c>
      <c r="B24" s="443"/>
      <c r="C24" s="450" t="str">
        <f>IF(Score!B24="", "",Score!B24 )</f>
        <v>1706</v>
      </c>
      <c r="D24" s="447" t="s">
        <v>266</v>
      </c>
      <c r="E24" s="447"/>
      <c r="F24" s="447"/>
      <c r="G24" s="450" t="s">
        <v>99</v>
      </c>
      <c r="H24" s="447" t="s">
        <v>264</v>
      </c>
      <c r="I24" s="447"/>
      <c r="J24" s="447"/>
      <c r="K24" s="450" t="s">
        <v>103</v>
      </c>
      <c r="L24" s="447" t="s">
        <v>264</v>
      </c>
      <c r="M24" s="447"/>
      <c r="N24" s="447"/>
      <c r="O24" s="450" t="s">
        <v>91</v>
      </c>
      <c r="P24" s="447"/>
      <c r="Q24" s="447"/>
      <c r="R24" s="447"/>
      <c r="S24" s="450" t="s">
        <v>111</v>
      </c>
      <c r="T24" s="447"/>
      <c r="U24" s="447"/>
      <c r="V24" s="448"/>
      <c r="W24" s="440">
        <f>IF(A24="","",SUMIF(SK!B$3:B$78,ROW(),SK!D$3:D$78))</f>
        <v>11</v>
      </c>
      <c r="X24" s="43"/>
      <c r="Y24" s="441" t="str">
        <f>IF(IGRF!B24="","",IGRF!B24)</f>
        <v>8000</v>
      </c>
      <c r="Z24" s="442" t="str">
        <f>IF(IGRF!C24="","",IGRF!C24)</f>
        <v>Killifornia</v>
      </c>
      <c r="AA24" s="443">
        <f>IF(Score!T24="", "",Score!T24 )</f>
        <v>20</v>
      </c>
      <c r="AB24" s="443"/>
      <c r="AC24" s="450" t="str">
        <f>IF(Score!U24="", "",Score!U24 )</f>
        <v>71</v>
      </c>
      <c r="AD24" s="447" t="s">
        <v>265</v>
      </c>
      <c r="AE24" s="447"/>
      <c r="AF24" s="447"/>
      <c r="AG24" s="450" t="s">
        <v>97</v>
      </c>
      <c r="AH24" s="447"/>
      <c r="AI24" s="447"/>
      <c r="AJ24" s="447"/>
      <c r="AK24" s="450" t="s">
        <v>68</v>
      </c>
      <c r="AL24" s="447" t="s">
        <v>265</v>
      </c>
      <c r="AM24" s="447" t="s">
        <v>264</v>
      </c>
      <c r="AN24" s="447"/>
      <c r="AO24" s="450" t="s">
        <v>73</v>
      </c>
      <c r="AP24" s="447"/>
      <c r="AQ24" s="447"/>
      <c r="AR24" s="447"/>
      <c r="AS24" s="450" t="s">
        <v>93</v>
      </c>
      <c r="AT24" s="447"/>
      <c r="AU24" s="447"/>
      <c r="AV24" s="448"/>
      <c r="AW24" s="440">
        <f>IF(AA24="","",SUMIF(SK!R$3:R$78,ROW(),SK!T$3:T$78))</f>
        <v>0</v>
      </c>
      <c r="AX24" s="43"/>
      <c r="AY24" s="441" t="str">
        <f>IF(IGRF!I24="","",IGRF!I24)</f>
        <v>48</v>
      </c>
      <c r="AZ24" s="442" t="str">
        <f>IF(IGRF!J24="","",IGRF!J24)</f>
        <v>Brute</v>
      </c>
    </row>
    <row r="25" ht="31.5" customHeight="1">
      <c r="A25" s="444">
        <f>IF(Score!A25="", "",Score!A25 )</f>
        <v>21</v>
      </c>
      <c r="B25" s="445"/>
      <c r="C25" s="446" t="str">
        <f>IF(Score!B25="", "",Score!B25 )</f>
        <v>50</v>
      </c>
      <c r="D25" s="447"/>
      <c r="E25" s="447"/>
      <c r="F25" s="447"/>
      <c r="G25" s="446" t="s">
        <v>99</v>
      </c>
      <c r="H25" s="447" t="s">
        <v>267</v>
      </c>
      <c r="I25" s="447"/>
      <c r="J25" s="447"/>
      <c r="K25" s="446" t="s">
        <v>103</v>
      </c>
      <c r="L25" s="447" t="s">
        <v>265</v>
      </c>
      <c r="M25" s="447"/>
      <c r="N25" s="447"/>
      <c r="O25" s="446" t="s">
        <v>68</v>
      </c>
      <c r="P25" s="447"/>
      <c r="Q25" s="447"/>
      <c r="R25" s="447"/>
      <c r="S25" s="446" t="s">
        <v>71</v>
      </c>
      <c r="T25" s="447"/>
      <c r="U25" s="447"/>
      <c r="V25" s="448"/>
      <c r="W25" s="440">
        <f>IF(A25="","",SUMIF(SK!B$3:B$78,ROW(),SK!D$3:D$78))</f>
        <v>2</v>
      </c>
      <c r="X25" s="43"/>
      <c r="Y25" s="43"/>
      <c r="Z25" s="43"/>
      <c r="AA25" s="445">
        <f>IF(Score!T25="", "",Score!T25 )</f>
        <v>21</v>
      </c>
      <c r="AB25" s="445"/>
      <c r="AC25" s="446" t="str">
        <f>IF(Score!U25="", "",Score!U25 )</f>
        <v>700</v>
      </c>
      <c r="AD25" s="447"/>
      <c r="AE25" s="447"/>
      <c r="AF25" s="447"/>
      <c r="AG25" s="446" t="s">
        <v>85</v>
      </c>
      <c r="AH25" s="447"/>
      <c r="AI25" s="447"/>
      <c r="AJ25" s="447"/>
      <c r="AK25" s="446" t="s">
        <v>68</v>
      </c>
      <c r="AL25" s="447" t="s">
        <v>265</v>
      </c>
      <c r="AM25" s="447"/>
      <c r="AN25" s="447"/>
      <c r="AO25" s="446" t="s">
        <v>113</v>
      </c>
      <c r="AP25" s="447"/>
      <c r="AQ25" s="447"/>
      <c r="AR25" s="447"/>
      <c r="AS25" s="446" t="s">
        <v>58</v>
      </c>
      <c r="AT25" s="447"/>
      <c r="AU25" s="447"/>
      <c r="AV25" s="448"/>
      <c r="AW25" s="440">
        <f>IF(AA25="","",SUMIF(SK!R$3:R$78,ROW(),SK!T$3:T$78))</f>
        <v>0</v>
      </c>
      <c r="AX25" s="43"/>
      <c r="AY25" s="43"/>
      <c r="AZ25" s="43"/>
    </row>
    <row r="26" ht="31.5" customHeight="1">
      <c r="A26" s="449">
        <f>IF(Score!A26="", "",Score!A26 )</f>
        <v>22</v>
      </c>
      <c r="B26" s="443"/>
      <c r="C26" s="450" t="str">
        <f>IF(Score!B26="", "",Score!B26 )</f>
        <v>33</v>
      </c>
      <c r="D26" s="447"/>
      <c r="E26" s="447"/>
      <c r="F26" s="447"/>
      <c r="G26" s="450" t="s">
        <v>99</v>
      </c>
      <c r="H26" s="447" t="s">
        <v>265</v>
      </c>
      <c r="I26" s="447"/>
      <c r="J26" s="447"/>
      <c r="K26" s="450" t="s">
        <v>95</v>
      </c>
      <c r="L26" s="447"/>
      <c r="M26" s="447"/>
      <c r="N26" s="447"/>
      <c r="O26" s="450" t="s">
        <v>111</v>
      </c>
      <c r="P26" s="447"/>
      <c r="Q26" s="447"/>
      <c r="R26" s="447"/>
      <c r="S26" s="450" t="s">
        <v>91</v>
      </c>
      <c r="T26" s="447"/>
      <c r="U26" s="447"/>
      <c r="V26" s="448"/>
      <c r="W26" s="440">
        <f>IF(A26="","",SUMIF(SK!B$3:B$78,ROW(),SK!D$3:D$78))</f>
        <v>4</v>
      </c>
      <c r="X26" s="43"/>
      <c r="Y26" s="441" t="str">
        <f>IF(IGRF!B25="","",IGRF!B25)</f>
        <v>90</v>
      </c>
      <c r="Z26" s="442" t="str">
        <f>IF(IGRF!C25="","",IGRF!C25)</f>
        <v>Wee Bonnie Bruiser</v>
      </c>
      <c r="AA26" s="443">
        <f>IF(Score!T26="", "",Score!T26 )</f>
        <v>22</v>
      </c>
      <c r="AB26" s="443"/>
      <c r="AC26" s="450" t="str">
        <f>IF(Score!U26="", "",Score!U26 )</f>
        <v>343</v>
      </c>
      <c r="AD26" s="447"/>
      <c r="AE26" s="447"/>
      <c r="AF26" s="447"/>
      <c r="AG26" s="450" t="s">
        <v>97</v>
      </c>
      <c r="AH26" s="447" t="s">
        <v>264</v>
      </c>
      <c r="AI26" s="447"/>
      <c r="AJ26" s="447"/>
      <c r="AK26" s="450" t="s">
        <v>73</v>
      </c>
      <c r="AL26" s="447"/>
      <c r="AM26" s="447"/>
      <c r="AN26" s="447"/>
      <c r="AO26" s="450" t="s">
        <v>89</v>
      </c>
      <c r="AP26" s="447" t="s">
        <v>264</v>
      </c>
      <c r="AQ26" s="447"/>
      <c r="AR26" s="447"/>
      <c r="AS26" s="450" t="s">
        <v>93</v>
      </c>
      <c r="AT26" s="447"/>
      <c r="AU26" s="447"/>
      <c r="AV26" s="448"/>
      <c r="AW26" s="440">
        <f>IF(AA26="","",SUMIF(SK!R$3:R$78,ROW(),SK!T$3:T$78))</f>
        <v>0</v>
      </c>
      <c r="AX26" s="43"/>
      <c r="AY26" s="441" t="str">
        <f>IF(IGRF!I25="","",IGRF!I25)</f>
        <v>700</v>
      </c>
      <c r="AZ26" s="442" t="str">
        <f>IF(IGRF!J25="","",IGRF!J25)</f>
        <v>Springroll</v>
      </c>
    </row>
    <row r="27" ht="31.5" customHeight="1">
      <c r="A27" s="444">
        <f>IF(Score!A27="", "",Score!A27 )</f>
        <v>23</v>
      </c>
      <c r="B27" s="445"/>
      <c r="C27" s="446" t="str">
        <f>IF(Score!B27="", "",Score!B27 )</f>
        <v>40</v>
      </c>
      <c r="D27" s="447"/>
      <c r="E27" s="447"/>
      <c r="F27" s="447"/>
      <c r="G27" s="446" t="s">
        <v>71</v>
      </c>
      <c r="H27" s="447"/>
      <c r="I27" s="447"/>
      <c r="J27" s="447"/>
      <c r="K27" s="446" t="s">
        <v>56</v>
      </c>
      <c r="L27" s="447"/>
      <c r="M27" s="447"/>
      <c r="N27" s="447"/>
      <c r="O27" s="446" t="s">
        <v>68</v>
      </c>
      <c r="P27" s="447"/>
      <c r="Q27" s="447"/>
      <c r="R27" s="447"/>
      <c r="S27" s="446" t="s">
        <v>64</v>
      </c>
      <c r="T27" s="447"/>
      <c r="U27" s="447"/>
      <c r="V27" s="448"/>
      <c r="W27" s="440">
        <f>IF(A27="","",SUMIF(SK!B$3:B$78,ROW(),SK!D$3:D$78))</f>
        <v>4</v>
      </c>
      <c r="X27" s="43"/>
      <c r="Y27" s="43"/>
      <c r="Z27" s="43"/>
      <c r="AA27" s="445">
        <f>IF(Score!T27="", "",Score!T27 )</f>
        <v>23</v>
      </c>
      <c r="AB27" s="445"/>
      <c r="AC27" s="446" t="str">
        <f>IF(Score!U27="", "",Score!U27 )</f>
        <v>316</v>
      </c>
      <c r="AD27" s="447"/>
      <c r="AE27" s="447"/>
      <c r="AF27" s="447"/>
      <c r="AG27" s="446" t="s">
        <v>97</v>
      </c>
      <c r="AH27" s="447" t="s">
        <v>265</v>
      </c>
      <c r="AI27" s="447"/>
      <c r="AJ27" s="447"/>
      <c r="AK27" s="446" t="s">
        <v>85</v>
      </c>
      <c r="AL27" s="447"/>
      <c r="AM27" s="447"/>
      <c r="AN27" s="447"/>
      <c r="AO27" s="446" t="s">
        <v>89</v>
      </c>
      <c r="AP27" s="447" t="s">
        <v>267</v>
      </c>
      <c r="AQ27" s="447"/>
      <c r="AR27" s="447"/>
      <c r="AS27" s="446" t="s">
        <v>113</v>
      </c>
      <c r="AT27" s="447"/>
      <c r="AU27" s="447"/>
      <c r="AV27" s="448"/>
      <c r="AW27" s="440">
        <f>IF(AA27="","",SUMIF(SK!R$3:R$78,ROW(),SK!T$3:T$78))</f>
        <v>0</v>
      </c>
      <c r="AX27" s="43"/>
      <c r="AY27" s="43"/>
      <c r="AZ27" s="43"/>
    </row>
    <row r="28" ht="31.5" customHeight="1">
      <c r="A28" s="449">
        <f>IF(Score!A28="", "",Score!A28 )</f>
        <v>24</v>
      </c>
      <c r="B28" s="443"/>
      <c r="C28" s="450" t="str">
        <f>IF(Score!B28="", "",Score!B28 )</f>
        <v>1706</v>
      </c>
      <c r="D28" s="447"/>
      <c r="E28" s="447"/>
      <c r="F28" s="447"/>
      <c r="G28" s="450" t="s">
        <v>95</v>
      </c>
      <c r="H28" s="447"/>
      <c r="I28" s="447"/>
      <c r="J28" s="447"/>
      <c r="K28" s="450" t="s">
        <v>91</v>
      </c>
      <c r="L28" s="447"/>
      <c r="M28" s="447"/>
      <c r="N28" s="447"/>
      <c r="O28" s="450" t="s">
        <v>111</v>
      </c>
      <c r="P28" s="447"/>
      <c r="Q28" s="447"/>
      <c r="R28" s="447"/>
      <c r="S28" s="450" t="s">
        <v>103</v>
      </c>
      <c r="T28" s="447" t="s">
        <v>266</v>
      </c>
      <c r="U28" s="447"/>
      <c r="V28" s="448"/>
      <c r="W28" s="440">
        <f>IF(A28="","",SUMIF(SK!B$3:B$78,ROW(),SK!D$3:D$78))</f>
        <v>8</v>
      </c>
      <c r="X28" s="43"/>
      <c r="Y28" s="441" t="str">
        <f>IF(IGRF!B26="","",IGRF!B26)</f>
        <v>919</v>
      </c>
      <c r="Z28" s="442" t="str">
        <f>IF(IGRF!C26="","",IGRF!C26)</f>
        <v>Grizz</v>
      </c>
      <c r="AA28" s="443">
        <f>IF(Score!T28="", "",Score!T28 )</f>
        <v>24</v>
      </c>
      <c r="AB28" s="443"/>
      <c r="AC28" s="450" t="str">
        <f>IF(Score!U28="", "",Score!U28 )</f>
        <v>79</v>
      </c>
      <c r="AD28" s="447" t="s">
        <v>264</v>
      </c>
      <c r="AE28" s="447"/>
      <c r="AF28" s="447"/>
      <c r="AG28" s="450" t="s">
        <v>97</v>
      </c>
      <c r="AH28" s="447" t="s">
        <v>266</v>
      </c>
      <c r="AI28" s="447"/>
      <c r="AJ28" s="447"/>
      <c r="AK28" s="450" t="s">
        <v>73</v>
      </c>
      <c r="AL28" s="447"/>
      <c r="AM28" s="447"/>
      <c r="AN28" s="447"/>
      <c r="AO28" s="450" t="s">
        <v>89</v>
      </c>
      <c r="AP28" s="447" t="s">
        <v>265</v>
      </c>
      <c r="AQ28" s="447"/>
      <c r="AR28" s="447"/>
      <c r="AS28" s="450" t="s">
        <v>93</v>
      </c>
      <c r="AT28" s="447"/>
      <c r="AU28" s="447"/>
      <c r="AV28" s="448"/>
      <c r="AW28" s="440">
        <f>IF(AA28="","",SUMIF(SK!R$3:R$78,ROW(),SK!T$3:T$78))</f>
        <v>11</v>
      </c>
      <c r="AX28" s="43"/>
      <c r="AY28" s="441" t="str">
        <f>IF(IGRF!I26="","",IGRF!I26)</f>
        <v>71</v>
      </c>
      <c r="AZ28" s="442" t="str">
        <f>IF(IGRF!J26="","",IGRF!J26)</f>
        <v>Danger Potato</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949</v>
      </c>
      <c r="Z30" s="442" t="str">
        <f>IF(IGRF!C27="","",IGRF!C27)</f>
        <v>Coyote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79</v>
      </c>
      <c r="AZ30" s="442" t="str">
        <f>IF(IGRF!J27="","",IGRF!J27)</f>
        <v>Lil RegulateHer</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Chinaski</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89</v>
      </c>
      <c r="AZ32" s="442" t="str">
        <f>IF(IGRF!J28="","",IGRF!J28)</f>
        <v>High Roller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Denver roller Derby / Mile High Club</v>
      </c>
      <c r="B43" s="205"/>
      <c r="C43" s="205"/>
      <c r="D43" s="205"/>
      <c r="E43" s="205"/>
      <c r="F43" s="205"/>
      <c r="G43" s="206"/>
      <c r="H43" s="207" t="str">
        <f>H1</f>
        <v>Blue</v>
      </c>
      <c r="I43" s="151"/>
      <c r="J43" s="151"/>
      <c r="K43" s="151"/>
      <c r="L43" s="422">
        <f>L1</f>
        <v>45108</v>
      </c>
      <c r="M43" s="168"/>
      <c r="N43" s="168"/>
      <c r="O43" s="211"/>
      <c r="P43" s="423"/>
      <c r="Q43" s="151"/>
      <c r="R43" s="151"/>
      <c r="S43" s="151"/>
      <c r="T43" s="151"/>
      <c r="U43" s="151"/>
      <c r="V43" s="151"/>
      <c r="W43" s="151"/>
      <c r="X43" s="151"/>
      <c r="Y43" s="151"/>
      <c r="Z43" s="424">
        <v>2.0</v>
      </c>
      <c r="AA43" s="421" t="str">
        <f>AA1</f>
        <v>Rose City Rollers / Rose City Rollers: Axles of Annihilation</v>
      </c>
      <c r="AB43" s="205"/>
      <c r="AC43" s="205"/>
      <c r="AD43" s="205"/>
      <c r="AE43" s="205"/>
      <c r="AF43" s="205"/>
      <c r="AG43" s="206"/>
      <c r="AH43" s="207" t="str">
        <f>AH1</f>
        <v>White</v>
      </c>
      <c r="AI43" s="151"/>
      <c r="AJ43" s="151"/>
      <c r="AK43" s="151"/>
      <c r="AL43" s="422">
        <f>AL1</f>
        <v>45108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179</v>
      </c>
      <c r="I44" s="71"/>
      <c r="J44" s="71"/>
      <c r="K44" s="71"/>
      <c r="L44" s="426" t="s">
        <v>180</v>
      </c>
      <c r="M44" s="71"/>
      <c r="N44" s="71"/>
      <c r="O44" s="72"/>
      <c r="P44" s="427" t="s">
        <v>161</v>
      </c>
      <c r="Q44" s="20"/>
      <c r="R44" s="20"/>
      <c r="S44" s="20"/>
      <c r="T44" s="20"/>
      <c r="U44" s="20"/>
      <c r="V44" s="20"/>
      <c r="W44" s="20"/>
      <c r="X44" s="20"/>
      <c r="Y44" s="20"/>
      <c r="Z44" s="428" t="str">
        <f>Z2</f>
        <v>GAME 1</v>
      </c>
      <c r="AA44" s="214"/>
      <c r="AB44" s="20"/>
      <c r="AC44" s="20"/>
      <c r="AD44" s="20"/>
      <c r="AE44" s="20"/>
      <c r="AF44" s="20"/>
      <c r="AG44" s="156"/>
      <c r="AH44" s="425" t="s">
        <v>179</v>
      </c>
      <c r="AI44" s="71"/>
      <c r="AJ44" s="71"/>
      <c r="AK44" s="71"/>
      <c r="AL44" s="426" t="s">
        <v>180</v>
      </c>
      <c r="AM44" s="71"/>
      <c r="AN44" s="71"/>
      <c r="AO44" s="72"/>
      <c r="AP44" s="427" t="s">
        <v>161</v>
      </c>
      <c r="AQ44" s="20"/>
      <c r="AR44" s="20"/>
      <c r="AS44" s="20"/>
      <c r="AT44" s="20"/>
      <c r="AU44" s="20"/>
      <c r="AV44" s="20"/>
      <c r="AW44" s="20"/>
      <c r="AX44" s="20"/>
      <c r="AY44" s="20"/>
      <c r="AZ44" s="428" t="str">
        <f>AZ2</f>
        <v>GAME 1</v>
      </c>
    </row>
    <row r="45" ht="13.5" customHeight="1">
      <c r="A45" s="429" t="s">
        <v>257</v>
      </c>
      <c r="B45" s="430" t="s">
        <v>258</v>
      </c>
      <c r="C45" s="431" t="s">
        <v>259</v>
      </c>
      <c r="D45" s="432" t="s">
        <v>260</v>
      </c>
      <c r="E45" s="45"/>
      <c r="F45" s="433"/>
      <c r="G45" s="431" t="s">
        <v>261</v>
      </c>
      <c r="H45" s="432" t="s">
        <v>260</v>
      </c>
      <c r="I45" s="45"/>
      <c r="J45" s="433"/>
      <c r="K45" s="431" t="s">
        <v>262</v>
      </c>
      <c r="L45" s="432" t="s">
        <v>260</v>
      </c>
      <c r="M45" s="45"/>
      <c r="N45" s="433"/>
      <c r="O45" s="431" t="s">
        <v>262</v>
      </c>
      <c r="P45" s="432" t="s">
        <v>260</v>
      </c>
      <c r="Q45" s="45"/>
      <c r="R45" s="433"/>
      <c r="S45" s="431" t="s">
        <v>262</v>
      </c>
      <c r="T45" s="432" t="s">
        <v>260</v>
      </c>
      <c r="U45" s="45"/>
      <c r="V45" s="433"/>
      <c r="W45" s="434"/>
      <c r="X45" s="461" t="s">
        <v>263</v>
      </c>
      <c r="Y45" s="14"/>
      <c r="Z45" s="15"/>
      <c r="AA45" s="429" t="s">
        <v>257</v>
      </c>
      <c r="AB45" s="430" t="s">
        <v>258</v>
      </c>
      <c r="AC45" s="431" t="s">
        <v>259</v>
      </c>
      <c r="AD45" s="432" t="s">
        <v>260</v>
      </c>
      <c r="AE45" s="45"/>
      <c r="AF45" s="433"/>
      <c r="AG45" s="431" t="s">
        <v>261</v>
      </c>
      <c r="AH45" s="432" t="s">
        <v>260</v>
      </c>
      <c r="AI45" s="45"/>
      <c r="AJ45" s="433"/>
      <c r="AK45" s="431" t="s">
        <v>262</v>
      </c>
      <c r="AL45" s="432" t="s">
        <v>260</v>
      </c>
      <c r="AM45" s="45"/>
      <c r="AN45" s="433"/>
      <c r="AO45" s="431" t="s">
        <v>262</v>
      </c>
      <c r="AP45" s="432" t="s">
        <v>260</v>
      </c>
      <c r="AQ45" s="45"/>
      <c r="AR45" s="433"/>
      <c r="AS45" s="431" t="s">
        <v>262</v>
      </c>
      <c r="AT45" s="432" t="s">
        <v>260</v>
      </c>
      <c r="AU45" s="45"/>
      <c r="AV45" s="433"/>
      <c r="AW45" s="434"/>
      <c r="AX45" s="432" t="s">
        <v>263</v>
      </c>
      <c r="AY45" s="45"/>
      <c r="AZ45" s="46"/>
    </row>
    <row r="46" ht="31.5" customHeight="1">
      <c r="A46" s="449">
        <f>IF(Score!A46="", "",Score!A46 )</f>
        <v>1</v>
      </c>
      <c r="B46" s="443"/>
      <c r="C46" s="450" t="str">
        <f>IF(Score!B46="", "",Score!B46 )</f>
        <v>50</v>
      </c>
      <c r="D46" s="447"/>
      <c r="E46" s="447"/>
      <c r="F46" s="447"/>
      <c r="G46" s="450" t="s">
        <v>71</v>
      </c>
      <c r="H46" s="447"/>
      <c r="I46" s="447"/>
      <c r="J46" s="447"/>
      <c r="K46" s="450" t="s">
        <v>107</v>
      </c>
      <c r="L46" s="447"/>
      <c r="M46" s="447"/>
      <c r="N46" s="447"/>
      <c r="O46" s="450" t="s">
        <v>68</v>
      </c>
      <c r="P46" s="447"/>
      <c r="Q46" s="447"/>
      <c r="R46" s="447"/>
      <c r="S46" s="450" t="s">
        <v>64</v>
      </c>
      <c r="T46" s="447"/>
      <c r="U46" s="447"/>
      <c r="V46" s="448"/>
      <c r="W46" s="440">
        <f>IF(A46="","",SUMIF(SK!B$88:B$163,ROW(),SK!D$88:D$163))</f>
        <v>4</v>
      </c>
      <c r="X46" s="43"/>
      <c r="Y46" s="441" t="str">
        <f t="shared" ref="Y46:Z46" si="1">Y4</f>
        <v>10</v>
      </c>
      <c r="Z46" s="442" t="str">
        <f t="shared" si="1"/>
        <v>Unprotected Lex</v>
      </c>
      <c r="AA46" s="462">
        <f>IF(Score!T46="", "",Score!T46 )</f>
        <v>1</v>
      </c>
      <c r="AB46" s="443"/>
      <c r="AC46" s="450" t="str">
        <f>IF(Score!U46="", "",Score!U46 )</f>
        <v>79</v>
      </c>
      <c r="AD46" s="447" t="s">
        <v>265</v>
      </c>
      <c r="AE46" s="447"/>
      <c r="AF46" s="447"/>
      <c r="AG46" s="450" t="s">
        <v>68</v>
      </c>
      <c r="AH46" s="447"/>
      <c r="AI46" s="447"/>
      <c r="AJ46" s="447"/>
      <c r="AK46" s="450" t="s">
        <v>85</v>
      </c>
      <c r="AL46" s="447"/>
      <c r="AM46" s="447"/>
      <c r="AN46" s="447"/>
      <c r="AO46" s="450" t="s">
        <v>113</v>
      </c>
      <c r="AP46" s="447"/>
      <c r="AQ46" s="447"/>
      <c r="AR46" s="447"/>
      <c r="AS46" s="450" t="s">
        <v>58</v>
      </c>
      <c r="AT46" s="447"/>
      <c r="AU46" s="447"/>
      <c r="AV46" s="448"/>
      <c r="AW46" s="440">
        <f>IF(AA46="","",SUMIF(SK!R$88:R$163,ROW(),SK!T$88:T$163))</f>
        <v>0</v>
      </c>
      <c r="AX46" s="43"/>
      <c r="AY46" s="441" t="str">
        <f t="shared" ref="AY46:AZ46" si="2">AY4</f>
        <v>11</v>
      </c>
      <c r="AZ46" s="463" t="str">
        <f t="shared" si="2"/>
        <v>Bertha Beatdown</v>
      </c>
    </row>
    <row r="47" ht="31.5" customHeight="1">
      <c r="A47" s="444">
        <f>IF(Score!A47="", "",Score!A47 )</f>
        <v>2</v>
      </c>
      <c r="B47" s="445"/>
      <c r="C47" s="446" t="str">
        <f>IF(Score!B47="", "",Score!B47 )</f>
        <v>1706</v>
      </c>
      <c r="D47" s="447" t="s">
        <v>266</v>
      </c>
      <c r="E47" s="447"/>
      <c r="F47" s="447"/>
      <c r="G47" s="446" t="s">
        <v>95</v>
      </c>
      <c r="H47" s="447"/>
      <c r="I47" s="447"/>
      <c r="J47" s="447"/>
      <c r="K47" s="446" t="s">
        <v>91</v>
      </c>
      <c r="L47" s="447"/>
      <c r="M47" s="447"/>
      <c r="N47" s="447"/>
      <c r="O47" s="446" t="s">
        <v>111</v>
      </c>
      <c r="P47" s="447"/>
      <c r="Q47" s="447"/>
      <c r="R47" s="447"/>
      <c r="S47" s="446" t="s">
        <v>103</v>
      </c>
      <c r="T47" s="447"/>
      <c r="U47" s="447"/>
      <c r="V47" s="448"/>
      <c r="W47" s="440">
        <f>IF(A47="","",SUMIF(SK!B$88:B$163,ROW(),SK!D$88:D$163))</f>
        <v>4</v>
      </c>
      <c r="X47" s="43"/>
      <c r="Y47" s="43"/>
      <c r="Z47" s="442"/>
      <c r="AA47" s="464">
        <f>IF(Score!T47="", "",Score!T47 )</f>
        <v>2</v>
      </c>
      <c r="AB47" s="445"/>
      <c r="AC47" s="446" t="str">
        <f>IF(Score!U47="", "",Score!U47 )</f>
        <v>700</v>
      </c>
      <c r="AD47" s="447"/>
      <c r="AE47" s="447"/>
      <c r="AF47" s="447"/>
      <c r="AG47" s="446" t="s">
        <v>97</v>
      </c>
      <c r="AH47" s="447"/>
      <c r="AI47" s="447"/>
      <c r="AJ47" s="447"/>
      <c r="AK47" s="446" t="s">
        <v>73</v>
      </c>
      <c r="AL47" s="447" t="s">
        <v>264</v>
      </c>
      <c r="AM47" s="447"/>
      <c r="AN47" s="447"/>
      <c r="AO47" s="446" t="s">
        <v>89</v>
      </c>
      <c r="AP47" s="447"/>
      <c r="AQ47" s="447"/>
      <c r="AR47" s="447"/>
      <c r="AS47" s="446" t="s">
        <v>93</v>
      </c>
      <c r="AT47" s="447"/>
      <c r="AU47" s="447"/>
      <c r="AV47" s="448"/>
      <c r="AW47" s="440">
        <f>IF(AA47="","",SUMIF(SK!R$88:R$163,ROW(),SK!T$88:T$163))</f>
        <v>11</v>
      </c>
      <c r="AX47" s="43"/>
      <c r="AY47" s="43"/>
      <c r="AZ47" s="442"/>
    </row>
    <row r="48" ht="31.5" customHeight="1">
      <c r="A48" s="449">
        <f>IF(Score!A48="", "",Score!A48 )</f>
        <v>3</v>
      </c>
      <c r="B48" s="443"/>
      <c r="C48" s="450" t="str">
        <f>IF(Score!B48="", "",Score!B48 )</f>
        <v>33</v>
      </c>
      <c r="D48" s="447"/>
      <c r="E48" s="447"/>
      <c r="F48" s="447"/>
      <c r="G48" s="450" t="s">
        <v>71</v>
      </c>
      <c r="H48" s="447"/>
      <c r="I48" s="447"/>
      <c r="J48" s="447"/>
      <c r="K48" s="450" t="s">
        <v>68</v>
      </c>
      <c r="L48" s="447"/>
      <c r="M48" s="447"/>
      <c r="N48" s="447"/>
      <c r="O48" s="450" t="s">
        <v>107</v>
      </c>
      <c r="P48" s="447"/>
      <c r="Q48" s="447"/>
      <c r="R48" s="447"/>
      <c r="S48" s="450" t="s">
        <v>64</v>
      </c>
      <c r="T48" s="447"/>
      <c r="U48" s="447"/>
      <c r="V48" s="448"/>
      <c r="W48" s="440">
        <f>IF(A48="","",SUMIF(SK!B$88:B$163,ROW(),SK!D$88:D$163))</f>
        <v>12</v>
      </c>
      <c r="X48" s="43"/>
      <c r="Y48" s="441" t="str">
        <f t="shared" ref="Y48:Z48" si="3">Y6</f>
        <v>1706</v>
      </c>
      <c r="Z48" s="442" t="str">
        <f t="shared" si="3"/>
        <v>Maven</v>
      </c>
      <c r="AA48" s="462">
        <f>IF(Score!T48="", "",Score!T48 )</f>
        <v>3</v>
      </c>
      <c r="AB48" s="443"/>
      <c r="AC48" s="450" t="str">
        <f>IF(Score!U48="", "",Score!U48 )</f>
        <v>343</v>
      </c>
      <c r="AD48" s="447"/>
      <c r="AE48" s="447"/>
      <c r="AF48" s="447"/>
      <c r="AG48" s="450" t="s">
        <v>68</v>
      </c>
      <c r="AH48" s="447" t="s">
        <v>264</v>
      </c>
      <c r="AI48" s="447"/>
      <c r="AJ48" s="447"/>
      <c r="AK48" s="450" t="s">
        <v>73</v>
      </c>
      <c r="AL48" s="447" t="s">
        <v>265</v>
      </c>
      <c r="AM48" s="447"/>
      <c r="AN48" s="447"/>
      <c r="AO48" s="450" t="s">
        <v>85</v>
      </c>
      <c r="AP48" s="447"/>
      <c r="AQ48" s="447"/>
      <c r="AR48" s="447"/>
      <c r="AS48" s="450" t="s">
        <v>113</v>
      </c>
      <c r="AT48" s="447"/>
      <c r="AU48" s="447"/>
      <c r="AV48" s="448"/>
      <c r="AW48" s="440">
        <f>IF(AA48="","",SUMIF(SK!R$88:R$163,ROW(),SK!T$88:T$163))</f>
        <v>0</v>
      </c>
      <c r="AX48" s="43"/>
      <c r="AY48" s="441" t="str">
        <f t="shared" ref="AY48:AZ48" si="4">AY6</f>
        <v>128</v>
      </c>
      <c r="AZ48" s="442" t="str">
        <f t="shared" si="4"/>
        <v>Carl</v>
      </c>
    </row>
    <row r="49" ht="31.5" customHeight="1">
      <c r="A49" s="444">
        <f>IF(Score!A49="", "",Score!A49 )</f>
        <v>4</v>
      </c>
      <c r="B49" s="445"/>
      <c r="C49" s="446" t="str">
        <f>IF(Score!B49="", "",Score!B49 )</f>
        <v>50</v>
      </c>
      <c r="D49" s="447"/>
      <c r="E49" s="447"/>
      <c r="F49" s="447"/>
      <c r="G49" s="446" t="s">
        <v>95</v>
      </c>
      <c r="H49" s="447"/>
      <c r="I49" s="447"/>
      <c r="J49" s="447"/>
      <c r="K49" s="446" t="s">
        <v>91</v>
      </c>
      <c r="L49" s="447"/>
      <c r="M49" s="447"/>
      <c r="N49" s="447"/>
      <c r="O49" s="446" t="s">
        <v>111</v>
      </c>
      <c r="P49" s="447" t="s">
        <v>264</v>
      </c>
      <c r="Q49" s="447"/>
      <c r="R49" s="447"/>
      <c r="S49" s="446" t="s">
        <v>91</v>
      </c>
      <c r="T49" s="447"/>
      <c r="U49" s="447"/>
      <c r="V49" s="448"/>
      <c r="W49" s="440">
        <f>IF(A49="","",SUMIF(SK!B$88:B$163,ROW(),SK!D$88:D$163))</f>
        <v>4</v>
      </c>
      <c r="X49" s="43"/>
      <c r="Y49" s="43"/>
      <c r="Z49" s="442"/>
      <c r="AA49" s="464">
        <f>IF(Score!T49="", "",Score!T49 )</f>
        <v>4</v>
      </c>
      <c r="AB49" s="445"/>
      <c r="AC49" s="446" t="str">
        <f>IF(Score!U49="", "",Score!U49 )</f>
        <v>316</v>
      </c>
      <c r="AD49" s="447"/>
      <c r="AE49" s="447"/>
      <c r="AF49" s="447"/>
      <c r="AG49" s="446" t="s">
        <v>68</v>
      </c>
      <c r="AH49" s="447" t="s">
        <v>265</v>
      </c>
      <c r="AI49" s="447"/>
      <c r="AJ49" s="447"/>
      <c r="AK49" s="446" t="s">
        <v>73</v>
      </c>
      <c r="AL49" s="447"/>
      <c r="AM49" s="447"/>
      <c r="AN49" s="447"/>
      <c r="AO49" s="446" t="s">
        <v>97</v>
      </c>
      <c r="AP49" s="447"/>
      <c r="AQ49" s="447"/>
      <c r="AR49" s="447"/>
      <c r="AS49" s="446" t="s">
        <v>93</v>
      </c>
      <c r="AT49" s="447"/>
      <c r="AU49" s="447"/>
      <c r="AV49" s="448"/>
      <c r="AW49" s="440">
        <f>IF(AA49="","",SUMIF(SK!R$88:R$163,ROW(),SK!T$88:T$163))</f>
        <v>2</v>
      </c>
      <c r="AX49" s="43"/>
      <c r="AY49" s="43"/>
      <c r="AZ49" s="442"/>
    </row>
    <row r="50" ht="31.5" customHeight="1">
      <c r="A50" s="449">
        <f>IF(Score!A50="", "",Score!A50 )</f>
        <v>5</v>
      </c>
      <c r="B50" s="443"/>
      <c r="C50" s="450" t="str">
        <f>IF(Score!B50="", "",Score!B50 )</f>
        <v>1706</v>
      </c>
      <c r="D50" s="447"/>
      <c r="E50" s="447"/>
      <c r="F50" s="447"/>
      <c r="G50" s="450" t="s">
        <v>71</v>
      </c>
      <c r="H50" s="447"/>
      <c r="I50" s="447"/>
      <c r="J50" s="447"/>
      <c r="K50" s="450" t="s">
        <v>64</v>
      </c>
      <c r="L50" s="447"/>
      <c r="M50" s="447"/>
      <c r="N50" s="447"/>
      <c r="O50" s="450" t="s">
        <v>111</v>
      </c>
      <c r="P50" s="447" t="s">
        <v>267</v>
      </c>
      <c r="Q50" s="447"/>
      <c r="R50" s="447"/>
      <c r="S50" s="450" t="s">
        <v>56</v>
      </c>
      <c r="T50" s="447"/>
      <c r="U50" s="447"/>
      <c r="V50" s="448"/>
      <c r="W50" s="440">
        <f>IF(A50="","",SUMIF(SK!B$88:B$163,ROW(),SK!D$88:D$163))</f>
        <v>2</v>
      </c>
      <c r="X50" s="43"/>
      <c r="Y50" s="441" t="str">
        <f t="shared" ref="Y50:Z50" si="5">Y8</f>
        <v>2</v>
      </c>
      <c r="Z50" s="442" t="str">
        <f t="shared" si="5"/>
        <v>Taryn</v>
      </c>
      <c r="AA50" s="462">
        <f>IF(Score!T50="", "",Score!T50 )</f>
        <v>5</v>
      </c>
      <c r="AB50" s="443"/>
      <c r="AC50" s="450" t="str">
        <f>IF(Score!U50="", "",Score!U50 )</f>
        <v>79</v>
      </c>
      <c r="AD50" s="447"/>
      <c r="AE50" s="447"/>
      <c r="AF50" s="447"/>
      <c r="AG50" s="450" t="s">
        <v>66</v>
      </c>
      <c r="AH50" s="447"/>
      <c r="AI50" s="447"/>
      <c r="AJ50" s="447"/>
      <c r="AK50" s="450" t="s">
        <v>85</v>
      </c>
      <c r="AL50" s="447"/>
      <c r="AM50" s="447"/>
      <c r="AN50" s="447"/>
      <c r="AO50" s="450" t="s">
        <v>58</v>
      </c>
      <c r="AP50" s="447"/>
      <c r="AQ50" s="447"/>
      <c r="AR50" s="447"/>
      <c r="AS50" s="450" t="s">
        <v>68</v>
      </c>
      <c r="AT50" s="447"/>
      <c r="AU50" s="447"/>
      <c r="AV50" s="448"/>
      <c r="AW50" s="440">
        <f>IF(AA50="","",SUMIF(SK!R$88:R$163,ROW(),SK!T$88:T$163))</f>
        <v>2</v>
      </c>
      <c r="AX50" s="43"/>
      <c r="AY50" s="441" t="str">
        <f t="shared" ref="AY50:AZ50" si="6">AY8</f>
        <v>139</v>
      </c>
      <c r="AZ50" s="442" t="str">
        <f t="shared" si="6"/>
        <v>Katie Postma</v>
      </c>
    </row>
    <row r="51" ht="31.5" customHeight="1">
      <c r="A51" s="444">
        <f>IF(Score!A51="", "",Score!A51 )</f>
        <v>6</v>
      </c>
      <c r="B51" s="445"/>
      <c r="C51" s="446" t="str">
        <f>IF(Score!B51="", "",Score!B51 )</f>
        <v>50</v>
      </c>
      <c r="D51" s="447"/>
      <c r="E51" s="447"/>
      <c r="F51" s="447"/>
      <c r="G51" s="446" t="s">
        <v>95</v>
      </c>
      <c r="H51" s="447"/>
      <c r="I51" s="447"/>
      <c r="J51" s="447"/>
      <c r="K51" s="446" t="s">
        <v>99</v>
      </c>
      <c r="L51" s="447"/>
      <c r="M51" s="447"/>
      <c r="N51" s="447"/>
      <c r="O51" s="446" t="s">
        <v>111</v>
      </c>
      <c r="P51" s="447" t="s">
        <v>265</v>
      </c>
      <c r="Q51" s="447"/>
      <c r="R51" s="447"/>
      <c r="S51" s="446" t="s">
        <v>91</v>
      </c>
      <c r="T51" s="447"/>
      <c r="U51" s="447"/>
      <c r="V51" s="448"/>
      <c r="W51" s="440">
        <f>IF(A51="","",SUMIF(SK!B$88:B$163,ROW(),SK!D$88:D$163))</f>
        <v>4</v>
      </c>
      <c r="X51" s="43"/>
      <c r="Y51" s="43"/>
      <c r="Z51" s="442"/>
      <c r="AA51" s="464">
        <f>IF(Score!T51="", "",Score!T51 )</f>
        <v>6</v>
      </c>
      <c r="AB51" s="445"/>
      <c r="AC51" s="446" t="str">
        <f>IF(Score!U51="", "",Score!U51 )</f>
        <v>700</v>
      </c>
      <c r="AD51" s="447"/>
      <c r="AE51" s="447"/>
      <c r="AF51" s="447"/>
      <c r="AG51" s="446" t="s">
        <v>97</v>
      </c>
      <c r="AH51" s="447"/>
      <c r="AI51" s="447"/>
      <c r="AJ51" s="447"/>
      <c r="AK51" s="446" t="s">
        <v>73</v>
      </c>
      <c r="AL51" s="447"/>
      <c r="AM51" s="447"/>
      <c r="AN51" s="447"/>
      <c r="AO51" s="446" t="s">
        <v>89</v>
      </c>
      <c r="AP51" s="447"/>
      <c r="AQ51" s="447"/>
      <c r="AR51" s="447"/>
      <c r="AS51" s="446" t="s">
        <v>109</v>
      </c>
      <c r="AT51" s="447"/>
      <c r="AU51" s="447"/>
      <c r="AV51" s="448"/>
      <c r="AW51" s="440">
        <f>IF(AA51="","",SUMIF(SK!R$88:R$163,ROW(),SK!T$88:T$163))</f>
        <v>0</v>
      </c>
      <c r="AX51" s="43"/>
      <c r="AY51" s="43"/>
      <c r="AZ51" s="442"/>
    </row>
    <row r="52" ht="31.5" customHeight="1">
      <c r="A52" s="449">
        <f>IF(Score!A52="", "",Score!A52 )</f>
        <v>7</v>
      </c>
      <c r="B52" s="443"/>
      <c r="C52" s="450" t="str">
        <f>IF(Score!B52="", "",Score!B52 )</f>
        <v>40</v>
      </c>
      <c r="D52" s="447"/>
      <c r="E52" s="447"/>
      <c r="F52" s="447"/>
      <c r="G52" s="450" t="s">
        <v>71</v>
      </c>
      <c r="H52" s="447"/>
      <c r="I52" s="447"/>
      <c r="J52" s="447"/>
      <c r="K52" s="450" t="s">
        <v>68</v>
      </c>
      <c r="L52" s="447"/>
      <c r="M52" s="447"/>
      <c r="N52" s="447"/>
      <c r="O52" s="450" t="s">
        <v>64</v>
      </c>
      <c r="P52" s="447"/>
      <c r="Q52" s="447"/>
      <c r="R52" s="447"/>
      <c r="S52" s="450" t="s">
        <v>107</v>
      </c>
      <c r="T52" s="447"/>
      <c r="U52" s="447"/>
      <c r="V52" s="448"/>
      <c r="W52" s="440">
        <f>IF(A52="","",SUMIF(SK!B$88:B$163,ROW(),SK!D$88:D$163))</f>
        <v>3</v>
      </c>
      <c r="X52" s="43"/>
      <c r="Y52" s="441" t="str">
        <f t="shared" ref="Y52:Z52" si="7">Y10</f>
        <v>22</v>
      </c>
      <c r="Z52" s="442" t="str">
        <f t="shared" si="7"/>
        <v>Scara to Death</v>
      </c>
      <c r="AA52" s="462">
        <f>IF(Score!T52="", "",Score!T52 )</f>
        <v>7</v>
      </c>
      <c r="AB52" s="443"/>
      <c r="AC52" s="450" t="str">
        <f>IF(Score!U52="", "",Score!U52 )</f>
        <v>343</v>
      </c>
      <c r="AD52" s="447"/>
      <c r="AE52" s="447"/>
      <c r="AF52" s="447"/>
      <c r="AG52" s="450" t="s">
        <v>68</v>
      </c>
      <c r="AH52" s="447" t="s">
        <v>266</v>
      </c>
      <c r="AI52" s="447"/>
      <c r="AJ52" s="447"/>
      <c r="AK52" s="450" t="s">
        <v>113</v>
      </c>
      <c r="AL52" s="447"/>
      <c r="AM52" s="447"/>
      <c r="AN52" s="447"/>
      <c r="AO52" s="450" t="s">
        <v>58</v>
      </c>
      <c r="AP52" s="447"/>
      <c r="AQ52" s="447"/>
      <c r="AR52" s="447"/>
      <c r="AS52" s="450" t="s">
        <v>85</v>
      </c>
      <c r="AT52" s="447"/>
      <c r="AU52" s="447"/>
      <c r="AV52" s="448"/>
      <c r="AW52" s="440">
        <f>IF(AA52="","",SUMIF(SK!R$88:R$163,ROW(),SK!T$88:T$163))</f>
        <v>0</v>
      </c>
      <c r="AX52" s="43"/>
      <c r="AY52" s="441" t="str">
        <f t="shared" ref="AY52:AZ52" si="8">AY10</f>
        <v>22</v>
      </c>
      <c r="AZ52" s="442" t="str">
        <f t="shared" si="8"/>
        <v>Habanero Romero</v>
      </c>
    </row>
    <row r="53" ht="31.5" customHeight="1">
      <c r="A53" s="444">
        <f>IF(Score!A53="", "",Score!A53 )</f>
        <v>8</v>
      </c>
      <c r="B53" s="445"/>
      <c r="C53" s="446" t="str">
        <f>IF(Score!B53="", "",Score!B53 )</f>
        <v>1706</v>
      </c>
      <c r="D53" s="447"/>
      <c r="E53" s="447"/>
      <c r="F53" s="447"/>
      <c r="G53" s="446" t="s">
        <v>95</v>
      </c>
      <c r="H53" s="447"/>
      <c r="I53" s="447"/>
      <c r="J53" s="447"/>
      <c r="K53" s="446" t="s">
        <v>111</v>
      </c>
      <c r="L53" s="447"/>
      <c r="M53" s="447"/>
      <c r="N53" s="447"/>
      <c r="O53" s="446" t="s">
        <v>99</v>
      </c>
      <c r="P53" s="447"/>
      <c r="Q53" s="447"/>
      <c r="R53" s="447"/>
      <c r="S53" s="446" t="s">
        <v>103</v>
      </c>
      <c r="T53" s="447"/>
      <c r="U53" s="447"/>
      <c r="V53" s="448"/>
      <c r="W53" s="440">
        <f>IF(A53="","",SUMIF(SK!B$88:B$163,ROW(),SK!D$88:D$163))</f>
        <v>8</v>
      </c>
      <c r="X53" s="43"/>
      <c r="Y53" s="43"/>
      <c r="Z53" s="442"/>
      <c r="AA53" s="464">
        <f>IF(Score!T53="", "",Score!T53 )</f>
        <v>8</v>
      </c>
      <c r="AB53" s="445"/>
      <c r="AC53" s="446" t="str">
        <f>IF(Score!U53="", "",Score!U53 )</f>
        <v>316</v>
      </c>
      <c r="AD53" s="447"/>
      <c r="AE53" s="447"/>
      <c r="AF53" s="447"/>
      <c r="AG53" s="446" t="s">
        <v>97</v>
      </c>
      <c r="AH53" s="447"/>
      <c r="AI53" s="447"/>
      <c r="AJ53" s="447"/>
      <c r="AK53" s="446" t="s">
        <v>73</v>
      </c>
      <c r="AL53" s="447" t="s">
        <v>264</v>
      </c>
      <c r="AM53" s="447"/>
      <c r="AN53" s="447"/>
      <c r="AO53" s="446" t="s">
        <v>62</v>
      </c>
      <c r="AP53" s="447" t="s">
        <v>264</v>
      </c>
      <c r="AQ53" s="447"/>
      <c r="AR53" s="447"/>
      <c r="AS53" s="446" t="s">
        <v>93</v>
      </c>
      <c r="AT53" s="447" t="s">
        <v>264</v>
      </c>
      <c r="AU53" s="447"/>
      <c r="AV53" s="448"/>
      <c r="AW53" s="440">
        <f>IF(AA53="","",SUMIF(SK!R$88:R$163,ROW(),SK!T$88:T$163))</f>
        <v>0</v>
      </c>
      <c r="AX53" s="43"/>
      <c r="AY53" s="43"/>
      <c r="AZ53" s="442"/>
    </row>
    <row r="54" ht="31.5" customHeight="1">
      <c r="A54" s="449">
        <f>IF(Score!A54="", "",Score!A54 )</f>
        <v>9</v>
      </c>
      <c r="B54" s="443"/>
      <c r="C54" s="450" t="str">
        <f>IF(Score!B54="", "",Score!B54 )</f>
        <v>33</v>
      </c>
      <c r="D54" s="447"/>
      <c r="E54" s="447"/>
      <c r="F54" s="447"/>
      <c r="G54" s="450" t="s">
        <v>71</v>
      </c>
      <c r="H54" s="447"/>
      <c r="I54" s="447"/>
      <c r="J54" s="447"/>
      <c r="K54" s="450" t="s">
        <v>56</v>
      </c>
      <c r="L54" s="447"/>
      <c r="M54" s="447"/>
      <c r="N54" s="447"/>
      <c r="O54" s="450" t="s">
        <v>107</v>
      </c>
      <c r="P54" s="447"/>
      <c r="Q54" s="447"/>
      <c r="R54" s="447"/>
      <c r="S54" s="450" t="s">
        <v>68</v>
      </c>
      <c r="T54" s="447"/>
      <c r="U54" s="447"/>
      <c r="V54" s="448"/>
      <c r="W54" s="440">
        <f>IF(A54="","",SUMIF(SK!B$88:B$163,ROW(),SK!D$88:D$163))</f>
        <v>4</v>
      </c>
      <c r="X54" s="43"/>
      <c r="Y54" s="441" t="str">
        <f t="shared" ref="Y54:Z54" si="9">Y12</f>
        <v>27</v>
      </c>
      <c r="Z54" s="442" t="str">
        <f t="shared" si="9"/>
        <v>Gobrecht</v>
      </c>
      <c r="AA54" s="462">
        <f>IF(Score!T54="", "",Score!T54 )</f>
        <v>9</v>
      </c>
      <c r="AB54" s="443"/>
      <c r="AC54" s="450" t="str">
        <f>IF(Score!U54="", "",Score!U54 )</f>
        <v>79</v>
      </c>
      <c r="AD54" s="447"/>
      <c r="AE54" s="447"/>
      <c r="AF54" s="447"/>
      <c r="AG54" s="450" t="s">
        <v>85</v>
      </c>
      <c r="AH54" s="447"/>
      <c r="AI54" s="447"/>
      <c r="AJ54" s="447"/>
      <c r="AK54" s="450" t="s">
        <v>73</v>
      </c>
      <c r="AL54" s="447" t="s">
        <v>265</v>
      </c>
      <c r="AM54" s="447"/>
      <c r="AN54" s="447"/>
      <c r="AO54" s="450" t="s">
        <v>62</v>
      </c>
      <c r="AP54" s="447" t="s">
        <v>265</v>
      </c>
      <c r="AQ54" s="447"/>
      <c r="AR54" s="447"/>
      <c r="AS54" s="450" t="s">
        <v>93</v>
      </c>
      <c r="AT54" s="447" t="s">
        <v>267</v>
      </c>
      <c r="AU54" s="447"/>
      <c r="AV54" s="448"/>
      <c r="AW54" s="440">
        <f>IF(AA54="","",SUMIF(SK!R$88:R$163,ROW(),SK!T$88:T$163))</f>
        <v>0</v>
      </c>
      <c r="AX54" s="43"/>
      <c r="AY54" s="441" t="str">
        <f t="shared" ref="AY54:AZ54" si="10">AY12</f>
        <v>241</v>
      </c>
      <c r="AZ54" s="442" t="str">
        <f t="shared" si="10"/>
        <v>Lilly Pate</v>
      </c>
    </row>
    <row r="55" ht="31.5" customHeight="1">
      <c r="A55" s="444">
        <f>IF(Score!A55="", "",Score!A55 )</f>
        <v>10</v>
      </c>
      <c r="B55" s="445"/>
      <c r="C55" s="446" t="str">
        <f>IF(Score!B55="", "",Score!B55 )</f>
        <v>50</v>
      </c>
      <c r="D55" s="447"/>
      <c r="E55" s="447"/>
      <c r="F55" s="447"/>
      <c r="G55" s="446" t="s">
        <v>95</v>
      </c>
      <c r="H55" s="447"/>
      <c r="I55" s="447"/>
      <c r="J55" s="447"/>
      <c r="K55" s="446" t="s">
        <v>91</v>
      </c>
      <c r="L55" s="447" t="s">
        <v>264</v>
      </c>
      <c r="M55" s="447"/>
      <c r="N55" s="447"/>
      <c r="O55" s="446" t="s">
        <v>99</v>
      </c>
      <c r="P55" s="447"/>
      <c r="Q55" s="447"/>
      <c r="R55" s="447"/>
      <c r="S55" s="446" t="s">
        <v>111</v>
      </c>
      <c r="T55" s="447"/>
      <c r="U55" s="447"/>
      <c r="V55" s="448"/>
      <c r="W55" s="440">
        <f>IF(A55="","",SUMIF(SK!B$88:B$163,ROW(),SK!D$88:D$163))</f>
        <v>11</v>
      </c>
      <c r="X55" s="43"/>
      <c r="Y55" s="43"/>
      <c r="Z55" s="442"/>
      <c r="AA55" s="464">
        <f>IF(Score!T55="", "",Score!T55 )</f>
        <v>10</v>
      </c>
      <c r="AB55" s="445"/>
      <c r="AC55" s="446" t="str">
        <f>IF(Score!U55="", "",Score!U55 )</f>
        <v>700</v>
      </c>
      <c r="AD55" s="447"/>
      <c r="AE55" s="447"/>
      <c r="AF55" s="447"/>
      <c r="AG55" s="446" t="s">
        <v>97</v>
      </c>
      <c r="AH55" s="447"/>
      <c r="AI55" s="447"/>
      <c r="AJ55" s="447"/>
      <c r="AK55" s="446" t="s">
        <v>73</v>
      </c>
      <c r="AL55" s="447"/>
      <c r="AM55" s="447"/>
      <c r="AN55" s="447"/>
      <c r="AO55" s="446" t="s">
        <v>85</v>
      </c>
      <c r="AP55" s="447"/>
      <c r="AQ55" s="447"/>
      <c r="AR55" s="447"/>
      <c r="AS55" s="446" t="s">
        <v>93</v>
      </c>
      <c r="AT55" s="447" t="s">
        <v>265</v>
      </c>
      <c r="AU55" s="447"/>
      <c r="AV55" s="448"/>
      <c r="AW55" s="440">
        <f>IF(AA55="","",SUMIF(SK!R$88:R$163,ROW(),SK!T$88:T$163))</f>
        <v>0</v>
      </c>
      <c r="AX55" s="43"/>
      <c r="AY55" s="43"/>
      <c r="AZ55" s="442"/>
    </row>
    <row r="56" ht="31.5" customHeight="1">
      <c r="A56" s="449">
        <f>IF(Score!A56="", "",Score!A56 )</f>
        <v>11</v>
      </c>
      <c r="B56" s="443"/>
      <c r="C56" s="450" t="str">
        <f>IF(Score!B56="", "",Score!B56 )</f>
        <v>1706</v>
      </c>
      <c r="D56" s="447"/>
      <c r="E56" s="447"/>
      <c r="F56" s="447"/>
      <c r="G56" s="450" t="s">
        <v>71</v>
      </c>
      <c r="H56" s="447" t="s">
        <v>266</v>
      </c>
      <c r="I56" s="447"/>
      <c r="J56" s="447"/>
      <c r="K56" s="450" t="s">
        <v>91</v>
      </c>
      <c r="L56" s="447" t="s">
        <v>265</v>
      </c>
      <c r="M56" s="447"/>
      <c r="N56" s="447"/>
      <c r="O56" s="450" t="s">
        <v>56</v>
      </c>
      <c r="P56" s="447"/>
      <c r="Q56" s="447"/>
      <c r="R56" s="447"/>
      <c r="S56" s="450" t="s">
        <v>107</v>
      </c>
      <c r="T56" s="447"/>
      <c r="U56" s="447"/>
      <c r="V56" s="448"/>
      <c r="W56" s="440">
        <f>IF(A56="","",SUMIF(SK!B$88:B$163,ROW(),SK!D$88:D$163))</f>
        <v>8</v>
      </c>
      <c r="X56" s="43"/>
      <c r="Y56" s="441" t="str">
        <f t="shared" ref="Y56:Z56" si="11">Y14</f>
        <v>33</v>
      </c>
      <c r="Z56" s="442" t="str">
        <f t="shared" si="11"/>
        <v>Klein</v>
      </c>
      <c r="AA56" s="462">
        <f>IF(Score!T56="", "",Score!T56 )</f>
        <v>11</v>
      </c>
      <c r="AB56" s="443"/>
      <c r="AC56" s="450" t="str">
        <f>IF(Score!U56="", "",Score!U56 )</f>
        <v>343</v>
      </c>
      <c r="AD56" s="447"/>
      <c r="AE56" s="447"/>
      <c r="AF56" s="447"/>
      <c r="AG56" s="450" t="s">
        <v>97</v>
      </c>
      <c r="AH56" s="447"/>
      <c r="AI56" s="447"/>
      <c r="AJ56" s="447"/>
      <c r="AK56" s="450" t="s">
        <v>62</v>
      </c>
      <c r="AL56" s="447"/>
      <c r="AM56" s="447"/>
      <c r="AN56" s="447"/>
      <c r="AO56" s="450" t="s">
        <v>73</v>
      </c>
      <c r="AP56" s="447" t="s">
        <v>266</v>
      </c>
      <c r="AQ56" s="447"/>
      <c r="AR56" s="447"/>
      <c r="AS56" s="450" t="s">
        <v>93</v>
      </c>
      <c r="AT56" s="447"/>
      <c r="AU56" s="447"/>
      <c r="AV56" s="448"/>
      <c r="AW56" s="440">
        <f>IF(AA56="","",SUMIF(SK!R$88:R$163,ROW(),SK!T$88:T$163))</f>
        <v>0</v>
      </c>
      <c r="AX56" s="43"/>
      <c r="AY56" s="441" t="str">
        <f t="shared" ref="AY56:AZ56" si="12">AY14</f>
        <v>316</v>
      </c>
      <c r="AZ56" s="442" t="str">
        <f t="shared" si="12"/>
        <v>Eve Anne Hellical</v>
      </c>
    </row>
    <row r="57" ht="31.5" customHeight="1">
      <c r="A57" s="444">
        <f>IF(Score!A57="", "",Score!A57 )</f>
        <v>12</v>
      </c>
      <c r="B57" s="445"/>
      <c r="C57" s="446" t="str">
        <f>IF(Score!B57="", "",Score!B57 )</f>
        <v>33</v>
      </c>
      <c r="D57" s="447"/>
      <c r="E57" s="447"/>
      <c r="F57" s="447"/>
      <c r="G57" s="446" t="s">
        <v>95</v>
      </c>
      <c r="H57" s="447"/>
      <c r="I57" s="447"/>
      <c r="J57" s="447"/>
      <c r="K57" s="446" t="s">
        <v>111</v>
      </c>
      <c r="L57" s="447"/>
      <c r="M57" s="447"/>
      <c r="N57" s="447"/>
      <c r="O57" s="446" t="s">
        <v>103</v>
      </c>
      <c r="P57" s="447"/>
      <c r="Q57" s="447"/>
      <c r="R57" s="447"/>
      <c r="S57" s="446" t="s">
        <v>99</v>
      </c>
      <c r="T57" s="447"/>
      <c r="U57" s="447"/>
      <c r="V57" s="448"/>
      <c r="W57" s="440">
        <f>IF(A57="","",SUMIF(SK!B$88:B$163,ROW(),SK!D$88:D$163))</f>
        <v>0</v>
      </c>
      <c r="X57" s="43"/>
      <c r="Y57" s="43"/>
      <c r="Z57" s="442"/>
      <c r="AA57" s="464">
        <f>IF(Score!T57="", "",Score!T57 )</f>
        <v>12</v>
      </c>
      <c r="AB57" s="445"/>
      <c r="AC57" s="446" t="str">
        <f>IF(Score!U57="", "",Score!U57 )</f>
        <v>316</v>
      </c>
      <c r="AD57" s="447"/>
      <c r="AE57" s="447"/>
      <c r="AF57" s="447"/>
      <c r="AG57" s="446" t="s">
        <v>68</v>
      </c>
      <c r="AH57" s="447"/>
      <c r="AI57" s="447"/>
      <c r="AJ57" s="447"/>
      <c r="AK57" s="446" t="s">
        <v>58</v>
      </c>
      <c r="AL57" s="447"/>
      <c r="AM57" s="447"/>
      <c r="AN57" s="447"/>
      <c r="AO57" s="446" t="s">
        <v>89</v>
      </c>
      <c r="AP57" s="447"/>
      <c r="AQ57" s="447"/>
      <c r="AR57" s="447"/>
      <c r="AS57" s="446" t="s">
        <v>85</v>
      </c>
      <c r="AT57" s="447"/>
      <c r="AU57" s="447"/>
      <c r="AV57" s="448"/>
      <c r="AW57" s="440">
        <f>IF(AA57="","",SUMIF(SK!R$88:R$163,ROW(),SK!T$88:T$163))</f>
        <v>3</v>
      </c>
      <c r="AX57" s="43"/>
      <c r="AY57" s="43"/>
      <c r="AZ57" s="442"/>
    </row>
    <row r="58" ht="31.5" customHeight="1">
      <c r="A58" s="449">
        <f>IF(Score!A58="", "",Score!A58 )</f>
        <v>13</v>
      </c>
      <c r="B58" s="443"/>
      <c r="C58" s="450" t="str">
        <f>IF(Score!B58="", "",Score!B58 )</f>
        <v>50</v>
      </c>
      <c r="D58" s="447"/>
      <c r="E58" s="447"/>
      <c r="F58" s="447"/>
      <c r="G58" s="450" t="s">
        <v>71</v>
      </c>
      <c r="H58" s="447"/>
      <c r="I58" s="447"/>
      <c r="J58" s="447"/>
      <c r="K58" s="450" t="s">
        <v>79</v>
      </c>
      <c r="L58" s="447"/>
      <c r="M58" s="447"/>
      <c r="N58" s="447"/>
      <c r="O58" s="450" t="s">
        <v>64</v>
      </c>
      <c r="P58" s="447"/>
      <c r="Q58" s="447"/>
      <c r="R58" s="447"/>
      <c r="S58" s="450" t="s">
        <v>68</v>
      </c>
      <c r="T58" s="447"/>
      <c r="U58" s="447"/>
      <c r="V58" s="448"/>
      <c r="W58" s="440">
        <f>IF(A58="","",SUMIF(SK!B$88:B$163,ROW(),SK!D$88:D$163))</f>
        <v>4</v>
      </c>
      <c r="X58" s="43"/>
      <c r="Y58" s="441" t="str">
        <f t="shared" ref="Y58:Z58" si="13">Y16</f>
        <v>357</v>
      </c>
      <c r="Z58" s="442" t="str">
        <f t="shared" si="13"/>
        <v>Bia Fraid</v>
      </c>
      <c r="AA58" s="462">
        <f>IF(Score!T58="", "",Score!T58 )</f>
        <v>1</v>
      </c>
      <c r="AB58" s="443"/>
      <c r="AC58" s="450" t="str">
        <f>IF(Score!U58="", "",Score!U58 )</f>
        <v>79</v>
      </c>
      <c r="AD58" s="447"/>
      <c r="AE58" s="447"/>
      <c r="AF58" s="447"/>
      <c r="AG58" s="450" t="s">
        <v>97</v>
      </c>
      <c r="AH58" s="447"/>
      <c r="AI58" s="447"/>
      <c r="AJ58" s="447"/>
      <c r="AK58" s="450" t="s">
        <v>62</v>
      </c>
      <c r="AL58" s="447"/>
      <c r="AM58" s="447"/>
      <c r="AN58" s="447"/>
      <c r="AO58" s="450" t="s">
        <v>93</v>
      </c>
      <c r="AP58" s="447"/>
      <c r="AQ58" s="447"/>
      <c r="AR58" s="447"/>
      <c r="AS58" s="450" t="s">
        <v>73</v>
      </c>
      <c r="AT58" s="447"/>
      <c r="AU58" s="447"/>
      <c r="AV58" s="448"/>
      <c r="AW58" s="440">
        <f>IF(AA58="","",SUMIF(SK!R$88:R$163,ROW(),SK!T$88:T$163))</f>
        <v>0</v>
      </c>
      <c r="AX58" s="43"/>
      <c r="AY58" s="441" t="str">
        <f t="shared" ref="AY58:AZ58" si="14">AY16</f>
        <v>343</v>
      </c>
      <c r="AZ58" s="442" t="str">
        <f t="shared" si="14"/>
        <v>Trinity</v>
      </c>
    </row>
    <row r="59" ht="31.5" customHeight="1">
      <c r="A59" s="444">
        <f>IF(Score!A59="", "",Score!A59 )</f>
        <v>14</v>
      </c>
      <c r="B59" s="445"/>
      <c r="C59" s="446" t="str">
        <f>IF(Score!B59="", "",Score!B59 )</f>
        <v>1706</v>
      </c>
      <c r="D59" s="447"/>
      <c r="E59" s="447"/>
      <c r="F59" s="447"/>
      <c r="G59" s="446" t="s">
        <v>95</v>
      </c>
      <c r="H59" s="447"/>
      <c r="I59" s="447"/>
      <c r="J59" s="447"/>
      <c r="K59" s="446" t="s">
        <v>111</v>
      </c>
      <c r="L59" s="447"/>
      <c r="M59" s="447"/>
      <c r="N59" s="447"/>
      <c r="O59" s="446" t="s">
        <v>103</v>
      </c>
      <c r="P59" s="447"/>
      <c r="Q59" s="447"/>
      <c r="R59" s="447"/>
      <c r="S59" s="446" t="s">
        <v>91</v>
      </c>
      <c r="T59" s="447"/>
      <c r="U59" s="447"/>
      <c r="V59" s="448"/>
      <c r="W59" s="440">
        <f>IF(A59="","",SUMIF(SK!B$88:B$163,ROW(),SK!D$88:D$163))</f>
        <v>0</v>
      </c>
      <c r="X59" s="43"/>
      <c r="Y59" s="43"/>
      <c r="Z59" s="442"/>
      <c r="AA59" s="464">
        <f>IF(Score!T59="", "",Score!T59 )</f>
        <v>14</v>
      </c>
      <c r="AB59" s="445"/>
      <c r="AC59" s="446" t="str">
        <f>IF(Score!U59="", "",Score!U59 )</f>
        <v>700</v>
      </c>
      <c r="AD59" s="447"/>
      <c r="AE59" s="447"/>
      <c r="AF59" s="447"/>
      <c r="AG59" s="446" t="s">
        <v>66</v>
      </c>
      <c r="AH59" s="447"/>
      <c r="AI59" s="447"/>
      <c r="AJ59" s="447"/>
      <c r="AK59" s="446" t="s">
        <v>68</v>
      </c>
      <c r="AL59" s="447"/>
      <c r="AM59" s="447"/>
      <c r="AN59" s="447"/>
      <c r="AO59" s="446" t="s">
        <v>58</v>
      </c>
      <c r="AP59" s="447" t="s">
        <v>264</v>
      </c>
      <c r="AQ59" s="447"/>
      <c r="AR59" s="447"/>
      <c r="AS59" s="446" t="s">
        <v>85</v>
      </c>
      <c r="AT59" s="447" t="s">
        <v>264</v>
      </c>
      <c r="AU59" s="447"/>
      <c r="AV59" s="448"/>
      <c r="AW59" s="440">
        <f>IF(AA59="","",SUMIF(SK!R$88:R$163,ROW(),SK!T$88:T$163))</f>
        <v>0</v>
      </c>
      <c r="AX59" s="43"/>
      <c r="AY59" s="43"/>
      <c r="AZ59" s="442"/>
    </row>
    <row r="60" ht="31.5" customHeight="1">
      <c r="A60" s="449">
        <f>IF(Score!A60="", "",Score!A60 )</f>
        <v>15</v>
      </c>
      <c r="B60" s="443"/>
      <c r="C60" s="450" t="str">
        <f>IF(Score!B60="", "",Score!B60 )</f>
        <v>33</v>
      </c>
      <c r="D60" s="447"/>
      <c r="E60" s="447"/>
      <c r="F60" s="447"/>
      <c r="G60" s="450" t="s">
        <v>68</v>
      </c>
      <c r="H60" s="447" t="s">
        <v>264</v>
      </c>
      <c r="I60" s="447"/>
      <c r="J60" s="447"/>
      <c r="K60" s="450" t="s">
        <v>56</v>
      </c>
      <c r="L60" s="447"/>
      <c r="M60" s="447"/>
      <c r="N60" s="447"/>
      <c r="O60" s="450" t="s">
        <v>64</v>
      </c>
      <c r="P60" s="447"/>
      <c r="Q60" s="447"/>
      <c r="R60" s="447"/>
      <c r="S60" s="450" t="s">
        <v>107</v>
      </c>
      <c r="T60" s="447"/>
      <c r="U60" s="447"/>
      <c r="V60" s="448"/>
      <c r="W60" s="440">
        <f>IF(A60="","",SUMIF(SK!B$88:B$163,ROW(),SK!D$88:D$163))</f>
        <v>4</v>
      </c>
      <c r="X60" s="43"/>
      <c r="Y60" s="441" t="str">
        <f t="shared" ref="Y60:Z60" si="15">Y18</f>
        <v>40</v>
      </c>
      <c r="Z60" s="442" t="str">
        <f t="shared" si="15"/>
        <v>speedlejuice</v>
      </c>
      <c r="AA60" s="462">
        <f>IF(Score!T60="", "",Score!T60 )</f>
        <v>15</v>
      </c>
      <c r="AB60" s="443"/>
      <c r="AC60" s="450" t="str">
        <f>IF(Score!U60="", "",Score!U60 )</f>
        <v>316</v>
      </c>
      <c r="AD60" s="447"/>
      <c r="AE60" s="447"/>
      <c r="AF60" s="447"/>
      <c r="AG60" s="450" t="s">
        <v>97</v>
      </c>
      <c r="AH60" s="447"/>
      <c r="AI60" s="447"/>
      <c r="AJ60" s="447"/>
      <c r="AK60" s="450" t="s">
        <v>73</v>
      </c>
      <c r="AL60" s="447"/>
      <c r="AM60" s="447"/>
      <c r="AN60" s="447"/>
      <c r="AO60" s="450" t="s">
        <v>58</v>
      </c>
      <c r="AP60" s="447" t="s">
        <v>265</v>
      </c>
      <c r="AQ60" s="447"/>
      <c r="AR60" s="447"/>
      <c r="AS60" s="450" t="s">
        <v>85</v>
      </c>
      <c r="AT60" s="447" t="s">
        <v>267</v>
      </c>
      <c r="AU60" s="447"/>
      <c r="AV60" s="448"/>
      <c r="AW60" s="440">
        <f>IF(AA60="","",SUMIF(SK!R$88:R$163,ROW(),SK!T$88:T$163))</f>
        <v>0</v>
      </c>
      <c r="AX60" s="43"/>
      <c r="AY60" s="441" t="str">
        <f t="shared" ref="AY60:AZ60" si="16">AY18</f>
        <v>360</v>
      </c>
      <c r="AZ60" s="442" t="str">
        <f t="shared" si="16"/>
        <v>Big Bang Fury</v>
      </c>
    </row>
    <row r="61" ht="31.5" customHeight="1">
      <c r="A61" s="444">
        <f>IF(Score!A61="", "",Score!A61 )</f>
        <v>16</v>
      </c>
      <c r="B61" s="445"/>
      <c r="C61" s="446" t="str">
        <f>IF(Score!B61="", "",Score!B61 )</f>
        <v>50</v>
      </c>
      <c r="D61" s="447"/>
      <c r="E61" s="447"/>
      <c r="F61" s="447"/>
      <c r="G61" s="446" t="s">
        <v>68</v>
      </c>
      <c r="H61" s="447" t="s">
        <v>267</v>
      </c>
      <c r="I61" s="447"/>
      <c r="J61" s="447"/>
      <c r="K61" s="446" t="s">
        <v>111</v>
      </c>
      <c r="L61" s="447"/>
      <c r="M61" s="447"/>
      <c r="N61" s="447"/>
      <c r="O61" s="446" t="s">
        <v>95</v>
      </c>
      <c r="P61" s="447"/>
      <c r="Q61" s="447"/>
      <c r="R61" s="447"/>
      <c r="S61" s="446" t="s">
        <v>103</v>
      </c>
      <c r="T61" s="447"/>
      <c r="U61" s="447"/>
      <c r="V61" s="448"/>
      <c r="W61" s="440">
        <f>IF(A61="","",SUMIF(SK!B$88:B$163,ROW(),SK!D$88:D$163))</f>
        <v>3</v>
      </c>
      <c r="X61" s="43"/>
      <c r="Y61" s="43"/>
      <c r="Z61" s="442"/>
      <c r="AA61" s="464">
        <f>IF(Score!T61="", "",Score!T61 )</f>
        <v>16</v>
      </c>
      <c r="AB61" s="445"/>
      <c r="AC61" s="446" t="str">
        <f>IF(Score!U61="", "",Score!U61 )</f>
        <v>343</v>
      </c>
      <c r="AD61" s="447"/>
      <c r="AE61" s="447"/>
      <c r="AF61" s="447"/>
      <c r="AG61" s="446" t="s">
        <v>66</v>
      </c>
      <c r="AH61" s="447"/>
      <c r="AI61" s="447"/>
      <c r="AJ61" s="447"/>
      <c r="AK61" s="446" t="s">
        <v>68</v>
      </c>
      <c r="AL61" s="447"/>
      <c r="AM61" s="447"/>
      <c r="AN61" s="447"/>
      <c r="AO61" s="446" t="s">
        <v>58</v>
      </c>
      <c r="AP61" s="447"/>
      <c r="AQ61" s="447"/>
      <c r="AR61" s="447"/>
      <c r="AS61" s="446" t="s">
        <v>85</v>
      </c>
      <c r="AT61" s="447" t="s">
        <v>265</v>
      </c>
      <c r="AU61" s="447"/>
      <c r="AV61" s="448"/>
      <c r="AW61" s="440">
        <f>IF(AA61="","",SUMIF(SK!R$88:R$163,ROW(),SK!T$88:T$163))</f>
        <v>2</v>
      </c>
      <c r="AX61" s="43"/>
      <c r="AY61" s="43"/>
      <c r="AZ61" s="442"/>
    </row>
    <row r="62" ht="31.5" customHeight="1">
      <c r="A62" s="449">
        <f>IF(Score!A62="", "",Score!A62 )</f>
        <v>17</v>
      </c>
      <c r="B62" s="443"/>
      <c r="C62" s="450" t="str">
        <f>IF(Score!B62="", "",Score!B62 )</f>
        <v>1706</v>
      </c>
      <c r="D62" s="447"/>
      <c r="E62" s="447"/>
      <c r="F62" s="447"/>
      <c r="G62" s="450" t="s">
        <v>68</v>
      </c>
      <c r="H62" s="447" t="s">
        <v>265</v>
      </c>
      <c r="I62" s="447"/>
      <c r="J62" s="447"/>
      <c r="K62" s="450" t="s">
        <v>107</v>
      </c>
      <c r="L62" s="447"/>
      <c r="M62" s="447"/>
      <c r="N62" s="447"/>
      <c r="O62" s="450" t="s">
        <v>71</v>
      </c>
      <c r="P62" s="447"/>
      <c r="Q62" s="447"/>
      <c r="R62" s="447"/>
      <c r="S62" s="450" t="s">
        <v>64</v>
      </c>
      <c r="T62" s="447"/>
      <c r="U62" s="447"/>
      <c r="V62" s="448"/>
      <c r="W62" s="440">
        <f>IF(A62="","",SUMIF(SK!B$88:B$163,ROW(),SK!D$88:D$163))</f>
        <v>4</v>
      </c>
      <c r="X62" s="43"/>
      <c r="Y62" s="441" t="str">
        <f t="shared" ref="Y62:Z62" si="17">Y20</f>
        <v>50</v>
      </c>
      <c r="Z62" s="442" t="str">
        <f t="shared" si="17"/>
        <v>Scald Eagle</v>
      </c>
      <c r="AA62" s="462">
        <f>IF(Score!T62="", "",Score!T62 )</f>
        <v>17</v>
      </c>
      <c r="AB62" s="443"/>
      <c r="AC62" s="450" t="str">
        <f>IF(Score!U62="", "",Score!U62 )</f>
        <v>79</v>
      </c>
      <c r="AD62" s="447"/>
      <c r="AE62" s="447"/>
      <c r="AF62" s="447"/>
      <c r="AG62" s="450" t="s">
        <v>97</v>
      </c>
      <c r="AH62" s="447"/>
      <c r="AI62" s="447"/>
      <c r="AJ62" s="447"/>
      <c r="AK62" s="450" t="s">
        <v>73</v>
      </c>
      <c r="AL62" s="447"/>
      <c r="AM62" s="447"/>
      <c r="AN62" s="447"/>
      <c r="AO62" s="450" t="s">
        <v>93</v>
      </c>
      <c r="AP62" s="447"/>
      <c r="AQ62" s="447"/>
      <c r="AR62" s="447"/>
      <c r="AS62" s="450" t="s">
        <v>89</v>
      </c>
      <c r="AT62" s="447"/>
      <c r="AU62" s="447"/>
      <c r="AV62" s="448"/>
      <c r="AW62" s="440">
        <f>IF(AA62="","",SUMIF(SK!R$88:R$163,ROW(),SK!T$88:T$163))</f>
        <v>1</v>
      </c>
      <c r="AX62" s="43"/>
      <c r="AY62" s="441" t="str">
        <f t="shared" ref="AY62:AZ62" si="18">AY20</f>
        <v>37</v>
      </c>
      <c r="AZ62" s="442" t="str">
        <f t="shared" si="18"/>
        <v>Swagetha</v>
      </c>
    </row>
    <row r="63" ht="31.5" customHeight="1">
      <c r="A63" s="444">
        <f>IF(Score!A63="", "",Score!A63 )</f>
        <v>18</v>
      </c>
      <c r="B63" s="445"/>
      <c r="C63" s="446" t="str">
        <f>IF(Score!B63="", "",Score!B63 )</f>
        <v>33</v>
      </c>
      <c r="D63" s="447"/>
      <c r="E63" s="447"/>
      <c r="F63" s="447"/>
      <c r="G63" s="446" t="s">
        <v>95</v>
      </c>
      <c r="H63" s="447"/>
      <c r="I63" s="447"/>
      <c r="J63" s="447"/>
      <c r="K63" s="446" t="s">
        <v>103</v>
      </c>
      <c r="L63" s="447"/>
      <c r="M63" s="447"/>
      <c r="N63" s="447"/>
      <c r="O63" s="446" t="s">
        <v>111</v>
      </c>
      <c r="P63" s="447"/>
      <c r="Q63" s="447"/>
      <c r="R63" s="447"/>
      <c r="S63" s="446" t="s">
        <v>91</v>
      </c>
      <c r="T63" s="447"/>
      <c r="U63" s="447"/>
      <c r="V63" s="448"/>
      <c r="W63" s="440">
        <f>IF(A63="","",SUMIF(SK!B$88:B$163,ROW(),SK!D$88:D$163))</f>
        <v>4</v>
      </c>
      <c r="X63" s="43"/>
      <c r="Y63" s="43"/>
      <c r="Z63" s="442"/>
      <c r="AA63" s="464">
        <f>IF(Score!T63="", "",Score!T63 )</f>
        <v>18</v>
      </c>
      <c r="AB63" s="445"/>
      <c r="AC63" s="446" t="str">
        <f>IF(Score!U63="", "",Score!U63 )</f>
        <v>700</v>
      </c>
      <c r="AD63" s="447"/>
      <c r="AE63" s="447"/>
      <c r="AF63" s="447"/>
      <c r="AG63" s="446" t="s">
        <v>66</v>
      </c>
      <c r="AH63" s="447"/>
      <c r="AI63" s="447"/>
      <c r="AJ63" s="447"/>
      <c r="AK63" s="446" t="s">
        <v>85</v>
      </c>
      <c r="AL63" s="447"/>
      <c r="AM63" s="447"/>
      <c r="AN63" s="447"/>
      <c r="AO63" s="446" t="s">
        <v>58</v>
      </c>
      <c r="AP63" s="447"/>
      <c r="AQ63" s="447"/>
      <c r="AR63" s="447"/>
      <c r="AS63" s="446" t="s">
        <v>68</v>
      </c>
      <c r="AT63" s="447"/>
      <c r="AU63" s="447"/>
      <c r="AV63" s="448"/>
      <c r="AW63" s="440">
        <f>IF(AA63="","",SUMIF(SK!R$88:R$163,ROW(),SK!T$88:T$163))</f>
        <v>0</v>
      </c>
      <c r="AX63" s="43"/>
      <c r="AY63" s="43"/>
      <c r="AZ63" s="442"/>
    </row>
    <row r="64" ht="31.5" customHeight="1">
      <c r="A64" s="449">
        <f>IF(Score!A64="", "",Score!A64 )</f>
        <v>19</v>
      </c>
      <c r="B64" s="443"/>
      <c r="C64" s="450" t="str">
        <f>IF(Score!B64="", "",Score!B64 )</f>
        <v>50</v>
      </c>
      <c r="D64" s="447"/>
      <c r="E64" s="447"/>
      <c r="F64" s="447"/>
      <c r="G64" s="450" t="s">
        <v>71</v>
      </c>
      <c r="H64" s="447"/>
      <c r="I64" s="447"/>
      <c r="J64" s="447"/>
      <c r="K64" s="450" t="s">
        <v>68</v>
      </c>
      <c r="L64" s="447" t="s">
        <v>264</v>
      </c>
      <c r="M64" s="447"/>
      <c r="N64" s="447"/>
      <c r="O64" s="450" t="s">
        <v>56</v>
      </c>
      <c r="P64" s="447"/>
      <c r="Q64" s="447"/>
      <c r="R64" s="447"/>
      <c r="S64" s="450" t="s">
        <v>79</v>
      </c>
      <c r="T64" s="447"/>
      <c r="U64" s="447"/>
      <c r="V64" s="448"/>
      <c r="W64" s="440">
        <f>IF(A64="","",SUMIF(SK!B$88:B$163,ROW(),SK!D$88:D$163))</f>
        <v>4</v>
      </c>
      <c r="X64" s="43"/>
      <c r="Y64" s="441" t="str">
        <f t="shared" ref="Y64:Z64" si="19">Y22</f>
        <v>505</v>
      </c>
      <c r="Z64" s="442" t="str">
        <f t="shared" si="19"/>
        <v>Elyse LeKraken</v>
      </c>
      <c r="AA64" s="462">
        <f>IF(Score!T64="", "",Score!T64 )</f>
        <v>19</v>
      </c>
      <c r="AB64" s="443"/>
      <c r="AC64" s="450" t="str">
        <f>IF(Score!U64="", "",Score!U64 )</f>
        <v>343</v>
      </c>
      <c r="AD64" s="447"/>
      <c r="AE64" s="447"/>
      <c r="AF64" s="447"/>
      <c r="AG64" s="450" t="s">
        <v>97</v>
      </c>
      <c r="AH64" s="447"/>
      <c r="AI64" s="447"/>
      <c r="AJ64" s="447"/>
      <c r="AK64" s="450" t="s">
        <v>73</v>
      </c>
      <c r="AL64" s="447"/>
      <c r="AM64" s="447"/>
      <c r="AN64" s="447"/>
      <c r="AO64" s="450" t="s">
        <v>93</v>
      </c>
      <c r="AP64" s="447"/>
      <c r="AQ64" s="447"/>
      <c r="AR64" s="447"/>
      <c r="AS64" s="450" t="s">
        <v>62</v>
      </c>
      <c r="AT64" s="447"/>
      <c r="AU64" s="447"/>
      <c r="AV64" s="448"/>
      <c r="AW64" s="440">
        <f>IF(AA64="","",SUMIF(SK!R$88:R$163,ROW(),SK!T$88:T$163))</f>
        <v>0</v>
      </c>
      <c r="AX64" s="43"/>
      <c r="AY64" s="441" t="str">
        <f t="shared" ref="AY64:AZ64" si="20">AY22</f>
        <v>39</v>
      </c>
      <c r="AZ64" s="442" t="str">
        <f t="shared" si="20"/>
        <v>Gaffney</v>
      </c>
    </row>
    <row r="65" ht="31.5" customHeight="1">
      <c r="A65" s="444">
        <f>IF(Score!A65="", "",Score!A65 )</f>
        <v>20</v>
      </c>
      <c r="B65" s="445"/>
      <c r="C65" s="446" t="str">
        <f>IF(Score!B65="", "",Score!B65 )</f>
        <v>1706</v>
      </c>
      <c r="D65" s="447"/>
      <c r="E65" s="447"/>
      <c r="F65" s="447"/>
      <c r="G65" s="446" t="s">
        <v>95</v>
      </c>
      <c r="H65" s="447"/>
      <c r="I65" s="447"/>
      <c r="J65" s="447"/>
      <c r="K65" s="446" t="s">
        <v>68</v>
      </c>
      <c r="L65" s="447" t="s">
        <v>265</v>
      </c>
      <c r="M65" s="447"/>
      <c r="N65" s="447"/>
      <c r="O65" s="446" t="s">
        <v>103</v>
      </c>
      <c r="P65" s="447"/>
      <c r="Q65" s="447"/>
      <c r="R65" s="447"/>
      <c r="S65" s="446" t="s">
        <v>111</v>
      </c>
      <c r="T65" s="447"/>
      <c r="U65" s="447"/>
      <c r="V65" s="448"/>
      <c r="W65" s="440">
        <f>IF(A65="","",SUMIF(SK!B$88:B$163,ROW(),SK!D$88:D$163))</f>
        <v>12</v>
      </c>
      <c r="X65" s="43"/>
      <c r="Y65" s="43"/>
      <c r="Z65" s="442"/>
      <c r="AA65" s="464">
        <f>IF(Score!T65="", "",Score!T65 )</f>
        <v>20</v>
      </c>
      <c r="AB65" s="445"/>
      <c r="AC65" s="446" t="str">
        <f>IF(Score!U65="", "",Score!U65 )</f>
        <v>316</v>
      </c>
      <c r="AD65" s="447"/>
      <c r="AE65" s="447"/>
      <c r="AF65" s="447"/>
      <c r="AG65" s="446" t="s">
        <v>66</v>
      </c>
      <c r="AH65" s="447"/>
      <c r="AI65" s="447"/>
      <c r="AJ65" s="447"/>
      <c r="AK65" s="446" t="s">
        <v>58</v>
      </c>
      <c r="AL65" s="447"/>
      <c r="AM65" s="447"/>
      <c r="AN65" s="447"/>
      <c r="AO65" s="446" t="s">
        <v>85</v>
      </c>
      <c r="AP65" s="447"/>
      <c r="AQ65" s="447"/>
      <c r="AR65" s="447"/>
      <c r="AS65" s="446" t="s">
        <v>68</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8000</v>
      </c>
      <c r="Z66" s="442" t="str">
        <f t="shared" si="21"/>
        <v>Killifornia</v>
      </c>
      <c r="AA66" s="462" t="str">
        <f>IF(Score!T66="", "",Score!T66 )</f>
        <v>SP</v>
      </c>
      <c r="AB66" s="443"/>
      <c r="AC66" s="450" t="str">
        <f>IF(Score!U66="", "",Score!U66 )</f>
        <v>139</v>
      </c>
      <c r="AD66" s="447"/>
      <c r="AE66" s="447"/>
      <c r="AF66" s="447"/>
      <c r="AG66" s="450" t="s">
        <v>77</v>
      </c>
      <c r="AH66" s="447"/>
      <c r="AI66" s="447"/>
      <c r="AJ66" s="447"/>
      <c r="AK66" s="450" t="s">
        <v>58</v>
      </c>
      <c r="AL66" s="447"/>
      <c r="AM66" s="447"/>
      <c r="AN66" s="447"/>
      <c r="AO66" s="450" t="s">
        <v>85</v>
      </c>
      <c r="AP66" s="447"/>
      <c r="AQ66" s="447"/>
      <c r="AR66" s="447"/>
      <c r="AS66" s="450" t="s">
        <v>68</v>
      </c>
      <c r="AT66" s="447"/>
      <c r="AU66" s="447"/>
      <c r="AV66" s="448"/>
      <c r="AW66" s="440">
        <f>IF(AA66="","",SUMIF(SK!R$88:R$163,ROW(),SK!T$88:T$163))</f>
        <v>0</v>
      </c>
      <c r="AX66" s="43"/>
      <c r="AY66" s="441" t="str">
        <f t="shared" ref="AY66:AZ66" si="22">AY24</f>
        <v>48</v>
      </c>
      <c r="AZ66" s="442" t="str">
        <f t="shared" si="22"/>
        <v>Brute</v>
      </c>
    </row>
    <row r="67" ht="31.5" customHeight="1">
      <c r="A67" s="444">
        <f>IF(Score!A67="", "",Score!A67 )</f>
        <v>21</v>
      </c>
      <c r="B67" s="445"/>
      <c r="C67" s="446" t="str">
        <f>IF(Score!B67="", "",Score!B67 )</f>
        <v>33</v>
      </c>
      <c r="D67" s="447"/>
      <c r="E67" s="447"/>
      <c r="F67" s="447"/>
      <c r="G67" s="446" t="s">
        <v>71</v>
      </c>
      <c r="H67" s="447"/>
      <c r="I67" s="447"/>
      <c r="J67" s="447"/>
      <c r="K67" s="446" t="s">
        <v>56</v>
      </c>
      <c r="L67" s="447"/>
      <c r="M67" s="447"/>
      <c r="N67" s="447"/>
      <c r="O67" s="446" t="s">
        <v>107</v>
      </c>
      <c r="P67" s="447"/>
      <c r="Q67" s="447"/>
      <c r="R67" s="447"/>
      <c r="S67" s="446" t="s">
        <v>64</v>
      </c>
      <c r="T67" s="447"/>
      <c r="U67" s="447"/>
      <c r="V67" s="448"/>
      <c r="W67" s="440">
        <f>IF(A67="","",SUMIF(SK!B$88:B$163,ROW(),SK!D$88:D$163))</f>
        <v>8</v>
      </c>
      <c r="X67" s="43"/>
      <c r="Y67" s="43"/>
      <c r="Z67" s="442"/>
      <c r="AA67" s="464">
        <f>IF(Score!T67="", "",Score!T67 )</f>
        <v>21</v>
      </c>
      <c r="AB67" s="445"/>
      <c r="AC67" s="446" t="str">
        <f>IF(Score!U67="", "",Score!U67 )</f>
        <v>79</v>
      </c>
      <c r="AD67" s="447"/>
      <c r="AE67" s="447"/>
      <c r="AF67" s="447"/>
      <c r="AG67" s="446" t="s">
        <v>97</v>
      </c>
      <c r="AH67" s="447"/>
      <c r="AI67" s="447"/>
      <c r="AJ67" s="447"/>
      <c r="AK67" s="446" t="s">
        <v>89</v>
      </c>
      <c r="AL67" s="447" t="s">
        <v>266</v>
      </c>
      <c r="AM67" s="447"/>
      <c r="AN67" s="447"/>
      <c r="AO67" s="446" t="s">
        <v>73</v>
      </c>
      <c r="AP67" s="447" t="s">
        <v>266</v>
      </c>
      <c r="AQ67" s="447"/>
      <c r="AR67" s="447"/>
      <c r="AS67" s="446" t="s">
        <v>93</v>
      </c>
      <c r="AT67" s="447"/>
      <c r="AU67" s="447"/>
      <c r="AV67" s="448"/>
      <c r="AW67" s="440">
        <f>IF(AA67="","",SUMIF(SK!R$88:R$163,ROW(),SK!T$88:T$163))</f>
        <v>4</v>
      </c>
      <c r="AX67" s="43"/>
      <c r="AY67" s="43"/>
      <c r="AZ67" s="442"/>
    </row>
    <row r="68" ht="31.5" customHeight="1">
      <c r="A68" s="449">
        <f>IF(Score!A68="", "",Score!A68 )</f>
        <v>22</v>
      </c>
      <c r="B68" s="443"/>
      <c r="C68" s="450" t="str">
        <f>IF(Score!B68="", "",Score!B68 )</f>
        <v>50</v>
      </c>
      <c r="D68" s="447"/>
      <c r="E68" s="447"/>
      <c r="F68" s="447"/>
      <c r="G68" s="450" t="s">
        <v>95</v>
      </c>
      <c r="H68" s="447" t="s">
        <v>264</v>
      </c>
      <c r="I68" s="447"/>
      <c r="J68" s="447"/>
      <c r="K68" s="450" t="s">
        <v>111</v>
      </c>
      <c r="L68" s="447"/>
      <c r="M68" s="447"/>
      <c r="N68" s="447"/>
      <c r="O68" s="450" t="s">
        <v>79</v>
      </c>
      <c r="P68" s="447"/>
      <c r="Q68" s="447"/>
      <c r="R68" s="447"/>
      <c r="S68" s="450" t="s">
        <v>91</v>
      </c>
      <c r="T68" s="447"/>
      <c r="U68" s="447"/>
      <c r="V68" s="448"/>
      <c r="W68" s="440">
        <f>IF(A68="","",SUMIF(SK!B$88:B$163,ROW(),SK!D$88:D$163))</f>
        <v>2</v>
      </c>
      <c r="X68" s="43"/>
      <c r="Y68" s="441" t="str">
        <f t="shared" ref="Y68:Z68" si="23">Y26</f>
        <v>90</v>
      </c>
      <c r="Z68" s="442" t="str">
        <f t="shared" si="23"/>
        <v>Wee Bonnie Bruiser</v>
      </c>
      <c r="AA68" s="462">
        <f>IF(Score!T68="", "",Score!T68 )</f>
        <v>22</v>
      </c>
      <c r="AB68" s="443"/>
      <c r="AC68" s="450" t="str">
        <f>IF(Score!U68="", "",Score!U68 )</f>
        <v>700</v>
      </c>
      <c r="AD68" s="447"/>
      <c r="AE68" s="447"/>
      <c r="AF68" s="447"/>
      <c r="AG68" s="450" t="s">
        <v>66</v>
      </c>
      <c r="AH68" s="447"/>
      <c r="AI68" s="447"/>
      <c r="AJ68" s="447"/>
      <c r="AK68" s="450" t="s">
        <v>68</v>
      </c>
      <c r="AL68" s="447"/>
      <c r="AM68" s="447"/>
      <c r="AN68" s="447"/>
      <c r="AO68" s="450" t="s">
        <v>85</v>
      </c>
      <c r="AP68" s="447"/>
      <c r="AQ68" s="447"/>
      <c r="AR68" s="447"/>
      <c r="AS68" s="450" t="s">
        <v>68</v>
      </c>
      <c r="AT68" s="447"/>
      <c r="AU68" s="447"/>
      <c r="AV68" s="448"/>
      <c r="AW68" s="440">
        <f>IF(AA68="","",SUMIF(SK!R$88:R$163,ROW(),SK!T$88:T$163))</f>
        <v>4</v>
      </c>
      <c r="AX68" s="43"/>
      <c r="AY68" s="441" t="str">
        <f t="shared" ref="AY68:AZ68" si="24">AY26</f>
        <v>700</v>
      </c>
      <c r="AZ68" s="442" t="str">
        <f t="shared" si="24"/>
        <v>Springroll</v>
      </c>
    </row>
    <row r="69" ht="31.5" customHeight="1">
      <c r="A69" s="444">
        <f>IF(Score!A69="", "",Score!A69 )</f>
        <v>23</v>
      </c>
      <c r="B69" s="445"/>
      <c r="C69" s="446" t="str">
        <f>IF(Score!B69="", "",Score!B69 )</f>
        <v>1706</v>
      </c>
      <c r="D69" s="447"/>
      <c r="E69" s="447"/>
      <c r="F69" s="447"/>
      <c r="G69" s="446" t="s">
        <v>95</v>
      </c>
      <c r="H69" s="447" t="s">
        <v>265</v>
      </c>
      <c r="I69" s="447"/>
      <c r="J69" s="447"/>
      <c r="K69" s="446" t="s">
        <v>107</v>
      </c>
      <c r="L69" s="447" t="s">
        <v>264</v>
      </c>
      <c r="M69" s="447"/>
      <c r="N69" s="447"/>
      <c r="O69" s="446" t="s">
        <v>68</v>
      </c>
      <c r="P69" s="447"/>
      <c r="Q69" s="447"/>
      <c r="R69" s="447"/>
      <c r="S69" s="446" t="s">
        <v>64</v>
      </c>
      <c r="T69" s="447"/>
      <c r="U69" s="447"/>
      <c r="V69" s="448"/>
      <c r="W69" s="440">
        <f>IF(A69="","",SUMIF(SK!B$88:B$163,ROW(),SK!D$88:D$163))</f>
        <v>5</v>
      </c>
      <c r="X69" s="43"/>
      <c r="Y69" s="43"/>
      <c r="Z69" s="442"/>
      <c r="AA69" s="464">
        <f>IF(Score!T69="", "",Score!T69 )</f>
        <v>23</v>
      </c>
      <c r="AB69" s="445"/>
      <c r="AC69" s="446" t="str">
        <f>IF(Score!U69="", "",Score!U69 )</f>
        <v>343</v>
      </c>
      <c r="AD69" s="447"/>
      <c r="AE69" s="447"/>
      <c r="AF69" s="447"/>
      <c r="AG69" s="446" t="s">
        <v>97</v>
      </c>
      <c r="AH69" s="447"/>
      <c r="AI69" s="447"/>
      <c r="AJ69" s="447"/>
      <c r="AK69" s="446" t="s">
        <v>73</v>
      </c>
      <c r="AL69" s="447"/>
      <c r="AM69" s="447"/>
      <c r="AN69" s="447"/>
      <c r="AO69" s="446" t="s">
        <v>93</v>
      </c>
      <c r="AP69" s="447"/>
      <c r="AQ69" s="447"/>
      <c r="AR69" s="447"/>
      <c r="AS69" s="446" t="s">
        <v>62</v>
      </c>
      <c r="AT69" s="447"/>
      <c r="AU69" s="447"/>
      <c r="AV69" s="448"/>
      <c r="AW69" s="440">
        <f>IF(AA69="","",SUMIF(SK!R$88:R$163,ROW(),SK!T$88:T$163))</f>
        <v>0</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919</v>
      </c>
      <c r="Z70" s="442" t="str">
        <f t="shared" si="25"/>
        <v>Grizz</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71</v>
      </c>
      <c r="AZ70" s="442" t="str">
        <f t="shared" si="26"/>
        <v>Danger Potato</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949</v>
      </c>
      <c r="Z72" s="442" t="str">
        <f t="shared" si="27"/>
        <v>Coyote</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79</v>
      </c>
      <c r="AZ72" s="442" t="str">
        <f t="shared" si="28"/>
        <v>Lil RegulateHer</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99</v>
      </c>
      <c r="Z74" s="442" t="str">
        <f t="shared" si="29"/>
        <v>Chinaski</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89</v>
      </c>
      <c r="AZ74" s="442" t="str">
        <f t="shared" si="30"/>
        <v>High Roller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Denver roller Derby / Mile High Club</v>
      </c>
      <c r="B1" s="205"/>
      <c r="C1" s="205"/>
      <c r="D1" s="205"/>
      <c r="E1" s="205"/>
      <c r="F1" s="205"/>
      <c r="G1" s="205"/>
      <c r="H1" s="205"/>
      <c r="I1" s="205"/>
      <c r="J1" s="206"/>
      <c r="K1" s="467" t="str">
        <f>IF(ISBLANK(IGRF!$B$12), "", IGRF!$B$12)</f>
        <v>Blue</v>
      </c>
      <c r="L1" s="151"/>
      <c r="M1" s="151"/>
      <c r="N1" s="151"/>
      <c r="O1" s="151"/>
      <c r="P1" s="468">
        <f>IF(ISBLANK(IGRF!$B$7), "", IGRF!$B$7)</f>
        <v>45108</v>
      </c>
      <c r="Q1" s="168"/>
      <c r="R1" s="168"/>
      <c r="S1" s="211"/>
      <c r="T1" s="469"/>
      <c r="U1" s="151"/>
      <c r="V1" s="151"/>
      <c r="W1" s="151"/>
      <c r="X1" s="151"/>
      <c r="Y1" s="151"/>
      <c r="Z1" s="151"/>
      <c r="AA1" s="151"/>
      <c r="AB1" s="151"/>
      <c r="AC1" s="151"/>
      <c r="AD1" s="151"/>
      <c r="AE1" s="151"/>
      <c r="AF1" s="470">
        <v>1.0</v>
      </c>
      <c r="AG1" s="8"/>
      <c r="AH1" s="8"/>
      <c r="AI1" s="9"/>
      <c r="AJ1" s="466" t="str">
        <f>Score!T1</f>
        <v>Rose City Rollers / Rose City Rollers: Axles of Annihilation</v>
      </c>
      <c r="AK1" s="205"/>
      <c r="AL1" s="205"/>
      <c r="AM1" s="205"/>
      <c r="AN1" s="205"/>
      <c r="AO1" s="205"/>
      <c r="AP1" s="205"/>
      <c r="AQ1" s="205"/>
      <c r="AR1" s="205"/>
      <c r="AS1" s="206"/>
      <c r="AT1" s="467" t="str">
        <f>IF(ISBLANK(IGRF!$I$12), "", IGRF!$I$12)</f>
        <v>White</v>
      </c>
      <c r="AU1" s="151"/>
      <c r="AV1" s="151"/>
      <c r="AW1" s="151"/>
      <c r="AX1" s="151"/>
      <c r="AY1" s="468">
        <f>P1</f>
        <v>45108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179</v>
      </c>
      <c r="L2" s="20"/>
      <c r="M2" s="20"/>
      <c r="N2" s="20"/>
      <c r="O2" s="20"/>
      <c r="P2" s="471" t="s">
        <v>180</v>
      </c>
      <c r="Q2" s="39"/>
      <c r="R2" s="39"/>
      <c r="S2" s="40"/>
      <c r="T2" s="427" t="s">
        <v>272</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179</v>
      </c>
      <c r="AU2" s="71"/>
      <c r="AV2" s="71"/>
      <c r="AW2" s="71"/>
      <c r="AX2" s="71"/>
      <c r="AY2" s="473" t="s">
        <v>180</v>
      </c>
      <c r="AZ2" s="71"/>
      <c r="BA2" s="71"/>
      <c r="BB2" s="72"/>
      <c r="BC2" s="425" t="s">
        <v>272</v>
      </c>
      <c r="BD2" s="71"/>
      <c r="BE2" s="71"/>
      <c r="BF2" s="71"/>
      <c r="BG2" s="71"/>
      <c r="BH2" s="71"/>
      <c r="BI2" s="71"/>
      <c r="BJ2" s="71"/>
      <c r="BK2" s="71"/>
      <c r="BL2" s="71"/>
      <c r="BM2" s="71"/>
      <c r="BN2" s="71"/>
      <c r="BO2" s="472" t="str">
        <f>AF2</f>
        <v>GAME 1</v>
      </c>
      <c r="BP2" s="39"/>
      <c r="BQ2" s="39"/>
      <c r="BR2" s="40"/>
      <c r="BS2" s="43"/>
    </row>
    <row r="3" ht="13.5" customHeight="1">
      <c r="A3" s="429" t="s">
        <v>257</v>
      </c>
      <c r="B3" s="474"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75" t="s">
        <v>273</v>
      </c>
      <c r="Y3" s="476" t="s">
        <v>120</v>
      </c>
      <c r="Z3" s="14"/>
      <c r="AA3" s="14"/>
      <c r="AB3" s="14"/>
      <c r="AC3" s="14"/>
      <c r="AD3" s="14"/>
      <c r="AE3" s="14"/>
      <c r="AF3" s="14"/>
      <c r="AG3" s="42"/>
      <c r="AH3" s="476" t="s">
        <v>207</v>
      </c>
      <c r="AI3" s="15"/>
      <c r="AJ3" s="429" t="s">
        <v>257</v>
      </c>
      <c r="AK3" s="474" t="s">
        <v>258</v>
      </c>
      <c r="AL3" s="431" t="s">
        <v>259</v>
      </c>
      <c r="AM3" s="432" t="s">
        <v>260</v>
      </c>
      <c r="AN3" s="45"/>
      <c r="AO3" s="433"/>
      <c r="AP3" s="431" t="s">
        <v>261</v>
      </c>
      <c r="AQ3" s="432" t="s">
        <v>260</v>
      </c>
      <c r="AR3" s="45"/>
      <c r="AS3" s="433"/>
      <c r="AT3" s="431" t="s">
        <v>262</v>
      </c>
      <c r="AU3" s="432" t="s">
        <v>260</v>
      </c>
      <c r="AV3" s="45"/>
      <c r="AW3" s="433"/>
      <c r="AX3" s="431" t="s">
        <v>262</v>
      </c>
      <c r="AY3" s="432" t="s">
        <v>260</v>
      </c>
      <c r="AZ3" s="45"/>
      <c r="BA3" s="433"/>
      <c r="BB3" s="431" t="s">
        <v>262</v>
      </c>
      <c r="BC3" s="432" t="s">
        <v>260</v>
      </c>
      <c r="BD3" s="45"/>
      <c r="BE3" s="433"/>
      <c r="BF3" s="434"/>
      <c r="BG3" s="434" t="s">
        <v>273</v>
      </c>
      <c r="BH3" s="476" t="s">
        <v>120</v>
      </c>
      <c r="BI3" s="14"/>
      <c r="BJ3" s="14"/>
      <c r="BK3" s="14"/>
      <c r="BL3" s="14"/>
      <c r="BM3" s="14"/>
      <c r="BN3" s="14"/>
      <c r="BO3" s="14"/>
      <c r="BP3" s="42"/>
      <c r="BQ3" s="476" t="s">
        <v>207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11</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1706</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128</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139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241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316</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357</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343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40</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360</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50</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37</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505</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39</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8000</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48</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90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700</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919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949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79</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274</v>
      </c>
      <c r="B42" s="345"/>
      <c r="C42" s="345"/>
      <c r="D42" s="345"/>
      <c r="E42" s="345"/>
      <c r="F42" s="345"/>
      <c r="G42" s="345"/>
      <c r="H42" s="345"/>
      <c r="I42" s="345"/>
      <c r="J42" s="345"/>
      <c r="K42" s="345"/>
      <c r="L42" s="345"/>
      <c r="M42" s="345"/>
      <c r="N42" s="345"/>
      <c r="O42" s="345"/>
      <c r="P42" s="345"/>
      <c r="Q42" s="345"/>
      <c r="R42" s="345"/>
      <c r="S42" s="518" t="s">
        <v>275</v>
      </c>
      <c r="T42" s="519"/>
      <c r="U42" s="520"/>
      <c r="V42" s="521"/>
      <c r="W42" s="43"/>
      <c r="X42" s="515" t="str">
        <f>IF(IGRF!B33="","",IGRF!B33)</f>
        <v/>
      </c>
      <c r="Y42" s="500"/>
      <c r="Z42" s="501"/>
      <c r="AA42" s="502"/>
      <c r="AB42" s="502"/>
      <c r="AC42" s="502"/>
      <c r="AD42" s="503"/>
      <c r="AE42" s="504"/>
      <c r="AF42" s="505"/>
      <c r="AG42" s="506"/>
      <c r="AH42" s="507"/>
      <c r="AI42" s="487"/>
      <c r="AJ42" s="517" t="s">
        <v>276</v>
      </c>
      <c r="AK42" s="345"/>
      <c r="AL42" s="345"/>
      <c r="AM42" s="345"/>
      <c r="AN42" s="345"/>
      <c r="AO42" s="345"/>
      <c r="AP42" s="345"/>
      <c r="AQ42" s="345"/>
      <c r="AR42" s="345"/>
      <c r="AS42" s="345"/>
      <c r="AT42" s="345"/>
      <c r="AU42" s="345"/>
      <c r="AV42" s="345"/>
      <c r="AW42" s="345"/>
      <c r="AX42" s="345"/>
      <c r="AY42" s="345"/>
      <c r="AZ42" s="345"/>
      <c r="BA42" s="345"/>
      <c r="BB42" s="518" t="s">
        <v>275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277</v>
      </c>
      <c r="AD44" s="8"/>
      <c r="AE44" s="8"/>
      <c r="AF44" s="8"/>
      <c r="AG44" s="8"/>
      <c r="AH44" s="8"/>
      <c r="AI44" s="9"/>
      <c r="BB44" s="522"/>
      <c r="BC44" s="522"/>
      <c r="BD44" s="522"/>
      <c r="BE44" s="522"/>
      <c r="BF44" s="43"/>
      <c r="BG44" s="526"/>
      <c r="BH44" s="526"/>
      <c r="BI44" s="527"/>
      <c r="BJ44" s="527"/>
      <c r="BK44" s="527"/>
      <c r="BL44" s="528" t="s">
        <v>277</v>
      </c>
      <c r="BM44" s="8"/>
      <c r="BN44" s="8"/>
      <c r="BO44" s="8"/>
      <c r="BP44" s="8"/>
      <c r="BQ44" s="8"/>
      <c r="BR44" s="9"/>
      <c r="BS44" s="529"/>
    </row>
    <row r="45" ht="28.5" customHeight="1">
      <c r="A45" s="466" t="str">
        <f>A1</f>
        <v>Denver roller Derby / Mile High Club</v>
      </c>
      <c r="B45" s="205"/>
      <c r="C45" s="205"/>
      <c r="D45" s="205"/>
      <c r="E45" s="205"/>
      <c r="F45" s="205"/>
      <c r="G45" s="205"/>
      <c r="H45" s="205"/>
      <c r="I45" s="205"/>
      <c r="J45" s="206"/>
      <c r="K45" s="467" t="str">
        <f>K1</f>
        <v>Blue</v>
      </c>
      <c r="L45" s="151"/>
      <c r="M45" s="151"/>
      <c r="N45" s="151"/>
      <c r="O45" s="151"/>
      <c r="P45" s="468">
        <f>P1</f>
        <v>45108</v>
      </c>
      <c r="Q45" s="168"/>
      <c r="R45" s="168"/>
      <c r="S45" s="211"/>
      <c r="T45" s="469"/>
      <c r="U45" s="151"/>
      <c r="V45" s="151"/>
      <c r="W45" s="151"/>
      <c r="X45" s="151"/>
      <c r="Y45" s="151"/>
      <c r="Z45" s="151"/>
      <c r="AA45" s="151"/>
      <c r="AB45" s="151"/>
      <c r="AC45" s="151"/>
      <c r="AD45" s="151"/>
      <c r="AE45" s="151"/>
      <c r="AF45" s="470">
        <v>2.0</v>
      </c>
      <c r="AG45" s="8"/>
      <c r="AH45" s="8"/>
      <c r="AI45" s="9"/>
      <c r="AJ45" s="466" t="str">
        <f>AJ1</f>
        <v>Rose City Rollers / Rose City Rollers: Axles of Annihilation</v>
      </c>
      <c r="AK45" s="205"/>
      <c r="AL45" s="205"/>
      <c r="AM45" s="205"/>
      <c r="AN45" s="205"/>
      <c r="AO45" s="205"/>
      <c r="AP45" s="205"/>
      <c r="AQ45" s="205"/>
      <c r="AR45" s="205"/>
      <c r="AS45" s="206"/>
      <c r="AT45" s="467" t="str">
        <f>AT1</f>
        <v>White</v>
      </c>
      <c r="AU45" s="151"/>
      <c r="AV45" s="151"/>
      <c r="AW45" s="151"/>
      <c r="AX45" s="151"/>
      <c r="AY45" s="468">
        <f>AY1</f>
        <v>45108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179</v>
      </c>
      <c r="L46" s="71"/>
      <c r="M46" s="71"/>
      <c r="N46" s="71"/>
      <c r="O46" s="71"/>
      <c r="P46" s="473" t="s">
        <v>180</v>
      </c>
      <c r="Q46" s="71"/>
      <c r="R46" s="71"/>
      <c r="S46" s="72"/>
      <c r="T46" s="425" t="s">
        <v>272</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179</v>
      </c>
      <c r="AU46" s="71"/>
      <c r="AV46" s="71"/>
      <c r="AW46" s="71"/>
      <c r="AX46" s="71"/>
      <c r="AY46" s="473" t="s">
        <v>180</v>
      </c>
      <c r="AZ46" s="71"/>
      <c r="BA46" s="71"/>
      <c r="BB46" s="72"/>
      <c r="BC46" s="425" t="s">
        <v>272</v>
      </c>
      <c r="BD46" s="71"/>
      <c r="BE46" s="71"/>
      <c r="BF46" s="71"/>
      <c r="BG46" s="71"/>
      <c r="BH46" s="71"/>
      <c r="BI46" s="71"/>
      <c r="BJ46" s="71"/>
      <c r="BK46" s="71"/>
      <c r="BL46" s="71"/>
      <c r="BM46" s="71"/>
      <c r="BN46" s="71"/>
      <c r="BO46" s="472" t="str">
        <f>BO2</f>
        <v>GAME 1</v>
      </c>
      <c r="BP46" s="39"/>
      <c r="BQ46" s="39"/>
      <c r="BR46" s="40"/>
      <c r="BS46" s="43"/>
    </row>
    <row r="47" ht="13.5" customHeight="1">
      <c r="A47" s="429" t="s">
        <v>257</v>
      </c>
      <c r="B47" s="474" t="s">
        <v>258</v>
      </c>
      <c r="C47" s="431" t="s">
        <v>259</v>
      </c>
      <c r="D47" s="432" t="s">
        <v>260</v>
      </c>
      <c r="E47" s="45"/>
      <c r="F47" s="433"/>
      <c r="G47" s="431" t="s">
        <v>261</v>
      </c>
      <c r="H47" s="432" t="s">
        <v>260</v>
      </c>
      <c r="I47" s="45"/>
      <c r="J47" s="433"/>
      <c r="K47" s="431" t="s">
        <v>262</v>
      </c>
      <c r="L47" s="432" t="s">
        <v>260</v>
      </c>
      <c r="M47" s="45"/>
      <c r="N47" s="433"/>
      <c r="O47" s="431" t="s">
        <v>262</v>
      </c>
      <c r="P47" s="432" t="s">
        <v>260</v>
      </c>
      <c r="Q47" s="45"/>
      <c r="R47" s="433"/>
      <c r="S47" s="431" t="s">
        <v>262</v>
      </c>
      <c r="T47" s="432" t="s">
        <v>260</v>
      </c>
      <c r="U47" s="45"/>
      <c r="V47" s="433"/>
      <c r="W47" s="434"/>
      <c r="X47" s="434" t="s">
        <v>273</v>
      </c>
      <c r="Y47" s="476" t="s">
        <v>120</v>
      </c>
      <c r="Z47" s="14"/>
      <c r="AA47" s="14"/>
      <c r="AB47" s="14"/>
      <c r="AC47" s="14"/>
      <c r="AD47" s="14"/>
      <c r="AE47" s="14"/>
      <c r="AF47" s="14"/>
      <c r="AG47" s="42"/>
      <c r="AH47" s="476" t="s">
        <v>207</v>
      </c>
      <c r="AI47" s="15"/>
      <c r="AJ47" s="429" t="s">
        <v>257</v>
      </c>
      <c r="AK47" s="474" t="s">
        <v>258</v>
      </c>
      <c r="AL47" s="431" t="s">
        <v>259</v>
      </c>
      <c r="AM47" s="432" t="s">
        <v>260</v>
      </c>
      <c r="AN47" s="45"/>
      <c r="AO47" s="433"/>
      <c r="AP47" s="431" t="s">
        <v>261</v>
      </c>
      <c r="AQ47" s="432" t="s">
        <v>260</v>
      </c>
      <c r="AR47" s="45"/>
      <c r="AS47" s="433"/>
      <c r="AT47" s="431" t="s">
        <v>262</v>
      </c>
      <c r="AU47" s="432" t="s">
        <v>260</v>
      </c>
      <c r="AV47" s="45"/>
      <c r="AW47" s="433"/>
      <c r="AX47" s="431" t="s">
        <v>262</v>
      </c>
      <c r="AY47" s="432" t="s">
        <v>260</v>
      </c>
      <c r="AZ47" s="45"/>
      <c r="BA47" s="433"/>
      <c r="BB47" s="431" t="s">
        <v>262</v>
      </c>
      <c r="BC47" s="432" t="s">
        <v>260</v>
      </c>
      <c r="BD47" s="45"/>
      <c r="BE47" s="433"/>
      <c r="BF47" s="434"/>
      <c r="BG47" s="434" t="s">
        <v>273</v>
      </c>
      <c r="BH47" s="476" t="s">
        <v>120</v>
      </c>
      <c r="BI47" s="14"/>
      <c r="BJ47" s="14"/>
      <c r="BK47" s="14"/>
      <c r="BL47" s="14"/>
      <c r="BM47" s="14"/>
      <c r="BN47" s="14"/>
      <c r="BO47" s="14"/>
      <c r="BP47" s="42"/>
      <c r="BQ47" s="476" t="s">
        <v>207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1706</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128</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241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316</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357</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343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40</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360</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50</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37</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505</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39</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8000</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48</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90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700</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919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949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79</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278</v>
      </c>
      <c r="B86" s="345"/>
      <c r="C86" s="345"/>
      <c r="D86" s="345"/>
      <c r="E86" s="345"/>
      <c r="F86" s="345"/>
      <c r="G86" s="345"/>
      <c r="H86" s="345"/>
      <c r="I86" s="345"/>
      <c r="J86" s="345"/>
      <c r="K86" s="345"/>
      <c r="L86" s="345"/>
      <c r="M86" s="345"/>
      <c r="N86" s="345"/>
      <c r="O86" s="345"/>
      <c r="P86" s="345"/>
      <c r="Q86" s="345"/>
      <c r="R86" s="345"/>
      <c r="S86" s="518" t="s">
        <v>275</v>
      </c>
      <c r="T86" s="519"/>
      <c r="U86" s="520"/>
      <c r="V86" s="521"/>
      <c r="W86" s="43"/>
      <c r="X86" s="515" t="str">
        <f>X42</f>
        <v/>
      </c>
      <c r="Y86" s="500"/>
      <c r="Z86" s="501"/>
      <c r="AA86" s="502"/>
      <c r="AB86" s="502"/>
      <c r="AC86" s="502"/>
      <c r="AD86" s="503"/>
      <c r="AE86" s="504"/>
      <c r="AF86" s="505"/>
      <c r="AG86" s="506"/>
      <c r="AH86" s="507"/>
      <c r="AI86" s="487"/>
      <c r="AJ86" s="517" t="s">
        <v>279</v>
      </c>
      <c r="AK86" s="345"/>
      <c r="AL86" s="345"/>
      <c r="AM86" s="345"/>
      <c r="AN86" s="345"/>
      <c r="AO86" s="345"/>
      <c r="AP86" s="345"/>
      <c r="AQ86" s="345"/>
      <c r="AR86" s="345"/>
      <c r="AS86" s="345"/>
      <c r="AT86" s="345"/>
      <c r="AU86" s="345"/>
      <c r="AV86" s="345"/>
      <c r="AW86" s="345"/>
      <c r="AX86" s="345"/>
      <c r="AY86" s="345"/>
      <c r="AZ86" s="345"/>
      <c r="BA86" s="345"/>
      <c r="BB86" s="518" t="s">
        <v>275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280</v>
      </c>
      <c r="AD88" s="8"/>
      <c r="AE88" s="8"/>
      <c r="AF88" s="8"/>
      <c r="AG88" s="8"/>
      <c r="AH88" s="8"/>
      <c r="AI88" s="9"/>
      <c r="BB88" s="522"/>
      <c r="BC88" s="522"/>
      <c r="BD88" s="522"/>
      <c r="BE88" s="522"/>
      <c r="BF88" s="43"/>
      <c r="BG88" s="526"/>
      <c r="BH88" s="527"/>
      <c r="BI88" s="527"/>
      <c r="BJ88" s="527"/>
      <c r="BK88" s="527"/>
      <c r="BL88" s="528" t="s">
        <v>280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281</v>
      </c>
    </row>
    <row r="2" ht="15.0" customHeight="1">
      <c r="A2" s="5" t="str">
        <f>IF(IGRF!B10="","PLEASE FILL IN THE IGRF TAB!",IGRF!$B$10&amp;" / "&amp;IGRF!$B$11&amp;" vs. "&amp;IGRF!$I$10&amp;" / "&amp;IGRF!$I$11&amp;IF(IGRF!$L$3="",""," Game "&amp;IGRF!$L$3))</f>
        <v>Denver roller Derby / Mile High Club vs. Rose City Rollers / Rose City Rollers: Axles of Annihilation Game 1</v>
      </c>
    </row>
    <row r="3" ht="15.0" customHeight="1">
      <c r="A3" s="533">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282</v>
      </c>
      <c r="B4" s="46"/>
      <c r="C4" s="534" t="s">
        <v>283</v>
      </c>
      <c r="D4" s="45"/>
      <c r="E4" s="45"/>
      <c r="F4" s="46"/>
      <c r="G4" s="535"/>
      <c r="H4" s="536"/>
      <c r="I4" s="537"/>
      <c r="J4" s="538" t="s">
        <v>284</v>
      </c>
      <c r="K4" s="45"/>
      <c r="L4" s="45"/>
      <c r="M4" s="45"/>
      <c r="N4" s="45"/>
      <c r="O4" s="45"/>
      <c r="P4" s="46"/>
      <c r="Q4" s="537"/>
      <c r="R4" s="538" t="s">
        <v>285</v>
      </c>
      <c r="S4" s="45"/>
      <c r="T4" s="45"/>
      <c r="U4" s="45"/>
      <c r="V4" s="45"/>
      <c r="W4" s="45"/>
      <c r="X4" s="45"/>
      <c r="Y4" s="45"/>
      <c r="Z4" s="45"/>
      <c r="AA4" s="45"/>
      <c r="AB4" s="45"/>
      <c r="AC4" s="46"/>
      <c r="AD4" s="538" t="s">
        <v>286</v>
      </c>
      <c r="AE4" s="45"/>
      <c r="AF4" s="45"/>
      <c r="AG4" s="45"/>
      <c r="AH4" s="45"/>
      <c r="AI4" s="45"/>
      <c r="AJ4" s="45"/>
      <c r="AK4" s="46"/>
      <c r="AL4" s="538" t="s">
        <v>287</v>
      </c>
      <c r="AM4" s="46"/>
    </row>
    <row r="5" ht="63.75" customHeight="1">
      <c r="A5" s="539" t="s">
        <v>205</v>
      </c>
      <c r="B5" s="540" t="str">
        <f>Score!$A$1</f>
        <v>Denver roller Derby / Mile High Club</v>
      </c>
      <c r="C5" s="541" t="s">
        <v>288</v>
      </c>
      <c r="D5" s="542" t="s">
        <v>289</v>
      </c>
      <c r="E5" s="542" t="s">
        <v>290</v>
      </c>
      <c r="F5" s="543" t="s">
        <v>208</v>
      </c>
      <c r="G5" s="544" t="s">
        <v>291</v>
      </c>
      <c r="H5" s="545" t="s">
        <v>292</v>
      </c>
      <c r="I5" s="546" t="s">
        <v>293</v>
      </c>
      <c r="J5" s="547" t="s">
        <v>184</v>
      </c>
      <c r="K5" s="548" t="s">
        <v>185</v>
      </c>
      <c r="L5" s="548" t="s">
        <v>294</v>
      </c>
      <c r="M5" s="548" t="s">
        <v>295</v>
      </c>
      <c r="N5" s="548" t="s">
        <v>296</v>
      </c>
      <c r="O5" s="548" t="s">
        <v>297</v>
      </c>
      <c r="P5" s="548" t="s">
        <v>298</v>
      </c>
      <c r="Q5" s="549" t="s">
        <v>299</v>
      </c>
      <c r="R5" s="541" t="s">
        <v>300</v>
      </c>
      <c r="S5" s="548" t="s">
        <v>301</v>
      </c>
      <c r="T5" s="545" t="s">
        <v>302</v>
      </c>
      <c r="U5" s="541" t="s">
        <v>303</v>
      </c>
      <c r="V5" s="541" t="s">
        <v>304</v>
      </c>
      <c r="W5" s="550" t="s">
        <v>305</v>
      </c>
      <c r="X5" s="542" t="s">
        <v>306</v>
      </c>
      <c r="Y5" s="551" t="s">
        <v>307</v>
      </c>
      <c r="Z5" s="542" t="s">
        <v>308</v>
      </c>
      <c r="AA5" s="551" t="s">
        <v>309</v>
      </c>
      <c r="AB5" s="542" t="s">
        <v>310</v>
      </c>
      <c r="AC5" s="552" t="s">
        <v>311</v>
      </c>
      <c r="AD5" s="553" t="s">
        <v>312</v>
      </c>
      <c r="AE5" s="553" t="s">
        <v>313</v>
      </c>
      <c r="AF5" s="554" t="s">
        <v>314</v>
      </c>
      <c r="AG5" s="555" t="s">
        <v>315</v>
      </c>
      <c r="AH5" s="555" t="s">
        <v>316</v>
      </c>
      <c r="AI5" s="555" t="s">
        <v>317</v>
      </c>
      <c r="AJ5" s="555" t="s">
        <v>318</v>
      </c>
      <c r="AK5" s="556" t="s">
        <v>319</v>
      </c>
      <c r="AL5" s="557" t="s">
        <v>320</v>
      </c>
      <c r="AM5" s="46"/>
    </row>
    <row r="6" ht="19.5" customHeight="1">
      <c r="A6" s="558" t="str">
        <f>IF(ISBLANK(IGRF!$B14),"",IGRF!$B14)</f>
        <v>10</v>
      </c>
      <c r="B6" s="559" t="str">
        <f>IF(ISBLANK(IGRF!$C14),"",IGRF!$C14)</f>
        <v>Unprotected Lex</v>
      </c>
      <c r="C6" s="560">
        <f>IF(A6="","",SUM(LU!O9,LU!O108))</f>
        <v>0</v>
      </c>
      <c r="D6" s="560">
        <f>IF(A6="","",SUM(LU!D9,LU!D108))</f>
        <v>0</v>
      </c>
      <c r="E6" s="560">
        <f>IF(A6="","",SUM(LU!J9,LU!J108))</f>
        <v>10</v>
      </c>
      <c r="F6" s="561">
        <f>IF(A6="","",(SUM(C6:E6)-(SUMPRODUCT(--(Lineups!C$4:C$41=A6),--(Lineups!A$4:A$41="SP"))+SUMPRODUCT(--(Lineups!G$4:G$41=A6),--(Lineups!A$4:A$41="SP"))+SUMPRODUCT(--(Lineups!C$46:C$83=A6),--(Lineups!A$46:A$83="SP"))+SUMPRODUCT(--(Lineups!G$46:G$83=A6),--(Lineups!A$46:A$83="SP")))))</f>
        <v>10</v>
      </c>
      <c r="G6" s="562">
        <f>IF(OR(A6="",F6=0,LU!D$3+LU!D$102=0),"",F6/(LU!D$3+LU!D$102))</f>
        <v>0.2127659574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68</v>
      </c>
      <c r="S6" s="560">
        <f>IF(OR(A6="",F6=0),"",SUM(LU!Q78,LU!Q177))</f>
        <v>6</v>
      </c>
      <c r="T6" s="563">
        <f>IF(OR(A6="",F6=0),"",SUM(LU!Q32,LU!Q131))</f>
        <v>62</v>
      </c>
      <c r="U6" s="560" t="str">
        <f>IF(OR(A6="",C6=0),"",SUM(LU!O32,LU!O131))</f>
        <v/>
      </c>
      <c r="V6" s="572" t="str">
        <f t="shared" ref="V6:V25" si="3">IF(OR(A6="",C6=0),"",U6/C6)</f>
        <v/>
      </c>
      <c r="W6" s="573" t="str">
        <f>IF(OR(A6="",D6=0),"",SUM(LU!D32,LU!D131))</f>
        <v/>
      </c>
      <c r="X6" s="572" t="str">
        <f t="shared" ref="X6:X25" si="4">IF(OR(A6="",D6=0),"",W6/D6)</f>
        <v/>
      </c>
      <c r="Y6" s="573">
        <f>IF(OR(A6="",E6=0),"",SUM(LU!J32,LU!J131))</f>
        <v>62</v>
      </c>
      <c r="Z6" s="572">
        <f t="shared" ref="Z6:Z25" si="5">IF(OR(A6="",E6=0),"",Y6/E6)</f>
        <v>6.2</v>
      </c>
      <c r="AA6" s="574">
        <f>IF(OR(A6="",AND(D6=0, E6=0)),"",SUM(LU!L32,LU!L131))</f>
        <v>62</v>
      </c>
      <c r="AB6" s="575">
        <f t="shared" ref="AB6:AB25" si="6">IF(OR(A6="",AND(D6=0, E6=0)),"",AA6/(D6+E6))</f>
        <v>6.2</v>
      </c>
      <c r="AC6" s="570">
        <f>IF(OR(A6="",F6=0),"",T6/F6)</f>
        <v>6.2</v>
      </c>
      <c r="AD6" s="576">
        <f>IF(OR(A6="",F6=0,R$26="-",LU!$D$5=0),"",R6-R$26)</f>
        <v>-8</v>
      </c>
      <c r="AE6" s="577">
        <f>IF(OR(A6="",F6=0,S$26="-",LU!$D$5=0),"",S6-S$26)</f>
        <v>-13</v>
      </c>
      <c r="AF6" s="578">
        <f t="shared" ref="AF6:AF25" si="7">IF(OR(A6="",F6=0,AD6=""),"",AD6-AE6)</f>
        <v>5</v>
      </c>
      <c r="AG6" s="579" t="str">
        <f t="shared" ref="AG6:AG25" si="8">IF(OR($A6="",C6=0),"",V6-V$26)</f>
        <v/>
      </c>
      <c r="AH6" s="579" t="str">
        <f t="shared" ref="AH6:AH25" si="9">IF(OR($A6="",D6=0),"",X6-X$26)</f>
        <v/>
      </c>
      <c r="AI6" s="580">
        <f t="shared" ref="AI6:AI25" si="10">IF(OR($A6="",E6=0),"",Z6-Z$26)</f>
        <v>2.523883573</v>
      </c>
      <c r="AJ6" s="581">
        <f t="shared" ref="AJ6:AJ25" si="11">IF(OR($A6="",AND(D6=0, E6=0)),"",AB6-AB$26)</f>
        <v>2.46417818</v>
      </c>
      <c r="AK6" s="582">
        <f>IF(OR($A6="",AC6="",AC$26="-",LU!$D$5=0),"",AC6-AC$26)</f>
        <v>2.511999896</v>
      </c>
      <c r="AL6" s="583">
        <f>IF(OR(A6="",F6=0),"",SUM(PT!U3,PT!U4))</f>
        <v>0</v>
      </c>
      <c r="AM6" s="50"/>
    </row>
    <row r="7" ht="19.5" customHeight="1">
      <c r="A7" s="584" t="str">
        <f>IF(ISBLANK(IGRF!$B15),"",IGRF!$B15)</f>
        <v>1706</v>
      </c>
      <c r="B7" s="585" t="str">
        <f>IF(ISBLANK(IGRF!$C15),"",IGRF!$C15)</f>
        <v>Maven</v>
      </c>
      <c r="C7" s="586">
        <f>IF(A7="","",SUM(LU!O10,LU!O109))</f>
        <v>16</v>
      </c>
      <c r="D7" s="586">
        <f>IF(A7="","",SUM(LU!D10,LU!D109))</f>
        <v>0</v>
      </c>
      <c r="E7" s="587">
        <f>IF(A7="","",SUM(LU!J10,LU!J109))</f>
        <v>0</v>
      </c>
      <c r="F7" s="588">
        <f>IF(A7="","",(SUM(C7:E7)-(SUMPRODUCT(--(Lineups!C$4:C$41=A7),--(Lineups!A$4:A$41="SP"))+SUMPRODUCT(--(Lineups!G$4:G$41=A7),--(Lineups!A$4:A$41="SP"))+SUMPRODUCT(--(Lineups!C$46:C$83=A7),--(Lineups!A$46:A$83="SP"))+SUMPRODUCT(--(Lineups!G$46:G$83=A7),--(Lineups!A$46:A$83="SP")))))</f>
        <v>16</v>
      </c>
      <c r="G7" s="589">
        <f>IF(OR(A7="",F7=0,LU!D$3+LU!D$102=0),"",F7/(LU!D$3+LU!D$102))</f>
        <v>0.3404255319</v>
      </c>
      <c r="H7" s="590">
        <f>IF(OR(C7=0,A7=""),"",SK!D177)</f>
        <v>96</v>
      </c>
      <c r="I7" s="591">
        <f>IF(OR(A7="",SK!E177="",SK!E177=0),"",H7/SK!E177)</f>
        <v>6</v>
      </c>
      <c r="J7" s="592">
        <f>IF(OR(A7="",C7=0),"",SK!G177)</f>
        <v>2</v>
      </c>
      <c r="K7" s="593">
        <f>IF(OR(A7="",C7=0),"",SK!H177)</f>
        <v>11</v>
      </c>
      <c r="L7" s="594">
        <f>IF(OR(A7="",C7=0),"",SK!J177)</f>
        <v>9</v>
      </c>
      <c r="M7" s="594">
        <f>IF(OR(A7="",C7=0),"",SK!L177)</f>
        <v>0</v>
      </c>
      <c r="N7" s="594">
        <f>IF(OR(A7="",C7=0),"",SUMPRODUCT(--(Lineups!$A$4:$A$41="SP"),--(Lineups!$C$4:$C$41=A7))+SUMPRODUCT(--(Lineups!$A$46:$A$83="SP"),--(Lineups!$C$46:$C$83=A7)))</f>
        <v>0</v>
      </c>
      <c r="O7" s="595">
        <f t="shared" si="1"/>
        <v>0.6875</v>
      </c>
      <c r="P7" s="596">
        <f>IF(OR(A7="",C7=0),"",SK!I177)</f>
        <v>70</v>
      </c>
      <c r="Q7" s="597">
        <f t="shared" si="2"/>
        <v>6.363636364</v>
      </c>
      <c r="R7" s="598">
        <f>IF(OR(A7="",F7=0),"",SUM(LU!Q56,LU!Q155))</f>
        <v>96</v>
      </c>
      <c r="S7" s="586">
        <f>IF(OR(A7="",F7=0),"",SUM(LU!Q79,LU!Q178))</f>
        <v>29</v>
      </c>
      <c r="T7" s="590">
        <f>IF(OR(A7="",F7=0),"",SUM(LU!Q33,LU!Q132))</f>
        <v>67</v>
      </c>
      <c r="U7" s="586">
        <f>IF(OR(A7="",C7=0),"",SUM(LU!O33,LU!O132))</f>
        <v>67</v>
      </c>
      <c r="V7" s="599">
        <f t="shared" si="3"/>
        <v>4.1875</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4.1875</v>
      </c>
      <c r="AD7" s="603">
        <f>IF(OR(A7="",F7=0,R$26="-",LU!$D$5=0),"",R7-R$26)</f>
        <v>20</v>
      </c>
      <c r="AE7" s="604">
        <f>IF(OR(A7="",F7=0,S$26="-",LU!$D$5=0),"",S7-S$26)</f>
        <v>10</v>
      </c>
      <c r="AF7" s="605">
        <f t="shared" si="7"/>
        <v>10</v>
      </c>
      <c r="AG7" s="606">
        <f t="shared" si="8"/>
        <v>0.6898331448</v>
      </c>
      <c r="AH7" s="606" t="str">
        <f t="shared" si="9"/>
        <v/>
      </c>
      <c r="AI7" s="607" t="str">
        <f t="shared" si="10"/>
        <v/>
      </c>
      <c r="AJ7" s="606" t="str">
        <f t="shared" si="11"/>
        <v/>
      </c>
      <c r="AK7" s="608">
        <f>IF(OR($A7="",AC7="",AC$26="-",LU!$D$5=0),"",AC7-AC$26)</f>
        <v>0.4994998958</v>
      </c>
      <c r="AL7" s="609">
        <f>IF(OR(A7="",F7=0),"",SUM(PT!U5,PT!U6))</f>
        <v>2</v>
      </c>
      <c r="AM7" s="87"/>
    </row>
    <row r="8" ht="19.5" customHeight="1">
      <c r="A8" s="584" t="str">
        <f>IF(ISBLANK(IGRF!$B16),"",IGRF!$B16)</f>
        <v>2</v>
      </c>
      <c r="B8" s="585" t="str">
        <f>IF(ISBLANK(IGRF!$C16),"",IGRF!$C16)</f>
        <v>Taryn</v>
      </c>
      <c r="C8" s="586">
        <f>IF(A8="","",SUM(LU!O11,LU!O110))</f>
        <v>0</v>
      </c>
      <c r="D8" s="586">
        <f>IF(A8="","",SUM(LU!D11,LU!D110))</f>
        <v>2</v>
      </c>
      <c r="E8" s="587">
        <f>IF(A8="","",SUM(LU!J11,LU!J110))</f>
        <v>18</v>
      </c>
      <c r="F8" s="588">
        <f>IF(A8="","",(SUM(C8:E8)-(SUMPRODUCT(--(Lineups!C$4:C$41=A8),--(Lineups!A$4:A$41="SP"))+SUMPRODUCT(--(Lineups!G$4:G$41=A8),--(Lineups!A$4:A$41="SP"))+SUMPRODUCT(--(Lineups!C$46:C$83=A8),--(Lineups!A$46:A$83="SP"))+SUMPRODUCT(--(Lineups!G$46:G$83=A8),--(Lineups!A$46:A$83="SP")))))</f>
        <v>20</v>
      </c>
      <c r="G8" s="589">
        <f>IF(OR(A8="",F8=0,LU!D$3+LU!D$102=0),"",F8/(LU!D$3+LU!D$102))</f>
        <v>0.4255319149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82</v>
      </c>
      <c r="S8" s="586">
        <f>IF(OR(A8="",F8=0),"",SUM(LU!Q80,LU!Q179))</f>
        <v>15</v>
      </c>
      <c r="T8" s="590">
        <f>IF(OR(A8="",F8=0),"",SUM(LU!Q34,LU!Q133))</f>
        <v>67</v>
      </c>
      <c r="U8" s="586" t="str">
        <f>IF(OR(A8="",C8=0),"",SUM(LU!O34,LU!O133))</f>
        <v/>
      </c>
      <c r="V8" s="599" t="str">
        <f t="shared" si="3"/>
        <v/>
      </c>
      <c r="W8" s="600">
        <f>IF(OR(A8="",D8=0),"",SUM(LU!D34,LU!D133))</f>
        <v>-1</v>
      </c>
      <c r="X8" s="599">
        <f t="shared" si="4"/>
        <v>-0.5</v>
      </c>
      <c r="Y8" s="600">
        <f>IF(OR(A8="",E8=0),"",SUM(LU!J34,LU!J133))</f>
        <v>68</v>
      </c>
      <c r="Z8" s="599">
        <f t="shared" si="5"/>
        <v>3.777777778</v>
      </c>
      <c r="AA8" s="600">
        <f>IF(OR(A8="",AND(D8=0, E8=0)),"",SUM(LU!L34,LU!L133))</f>
        <v>67</v>
      </c>
      <c r="AB8" s="599">
        <f t="shared" si="6"/>
        <v>3.35</v>
      </c>
      <c r="AC8" s="597">
        <f t="shared" si="12"/>
        <v>3.35</v>
      </c>
      <c r="AD8" s="603">
        <f>IF(OR(A8="",F8=0,R$26="-",LU!$D$5=0),"",R8-R$26)</f>
        <v>6</v>
      </c>
      <c r="AE8" s="604">
        <f>IF(OR(A8="",F8=0,S$26="-",LU!$D$5=0),"",S8-S$26)</f>
        <v>-4</v>
      </c>
      <c r="AF8" s="605">
        <f t="shared" si="7"/>
        <v>10</v>
      </c>
      <c r="AG8" s="606" t="str">
        <f t="shared" si="8"/>
        <v/>
      </c>
      <c r="AH8" s="606">
        <f t="shared" si="9"/>
        <v>-3.521111111</v>
      </c>
      <c r="AI8" s="607">
        <f t="shared" si="10"/>
        <v>0.1016613503</v>
      </c>
      <c r="AJ8" s="606">
        <f t="shared" si="11"/>
        <v>-0.3858218204</v>
      </c>
      <c r="AK8" s="610">
        <f>IF(OR($A8="",AC8="",AC$26="-",LU!$D$5=0),"",AC8-AC$26)</f>
        <v>-0.3380001042</v>
      </c>
      <c r="AL8" s="609">
        <f>IF(OR(A8="",F8=0),"",SUM(PT!U7,PT!U8))</f>
        <v>1</v>
      </c>
      <c r="AM8" s="87"/>
    </row>
    <row r="9" ht="19.5" customHeight="1">
      <c r="A9" s="584" t="str">
        <f>IF(ISBLANK(IGRF!$B17),"",IGRF!$B17)</f>
        <v>22</v>
      </c>
      <c r="B9" s="585" t="str">
        <f>IF(ISBLANK(IGRF!$C17),"",IGRF!$C17)</f>
        <v>Scara to Death</v>
      </c>
      <c r="C9" s="586">
        <f>IF(A9="","",SUM(LU!O12,LU!O111))</f>
        <v>0</v>
      </c>
      <c r="D9" s="586">
        <f>IF(A9="","",SUM(LU!D12,LU!D111))</f>
        <v>3</v>
      </c>
      <c r="E9" s="587">
        <f>IF(A9="","",SUM(LU!J12,LU!J111))</f>
        <v>19</v>
      </c>
      <c r="F9" s="588">
        <f>IF(A9="","",(SUM(C9:E9)-(SUMPRODUCT(--(Lineups!C$4:C$41=A9),--(Lineups!A$4:A$41="SP"))+SUMPRODUCT(--(Lineups!G$4:G$41=A9),--(Lineups!A$4:A$41="SP"))+SUMPRODUCT(--(Lineups!C$46:C$83=A9),--(Lineups!A$46:A$83="SP"))+SUMPRODUCT(--(Lineups!G$46:G$83=A9),--(Lineups!A$46:A$83="SP")))))</f>
        <v>22</v>
      </c>
      <c r="G9" s="589">
        <f>IF(OR(A9="",F9=0,LU!D$3+LU!D$102=0),"",F9/(LU!D$3+LU!D$102))</f>
        <v>0.4680851064</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100</v>
      </c>
      <c r="S9" s="586">
        <f>IF(OR(A9="",F9=0),"",SUM(LU!Q81,LU!Q180))</f>
        <v>9</v>
      </c>
      <c r="T9" s="590">
        <f>IF(OR(A9="",F9=0),"",SUM(LU!Q35,LU!Q134))</f>
        <v>91</v>
      </c>
      <c r="U9" s="586" t="str">
        <f>IF(OR(A9="",C9=0),"",SUM(LU!O35,LU!O134))</f>
        <v/>
      </c>
      <c r="V9" s="599" t="str">
        <f t="shared" si="3"/>
        <v/>
      </c>
      <c r="W9" s="600">
        <f>IF(OR(A9="",D9=0),"",SUM(LU!D35,LU!D134))</f>
        <v>8</v>
      </c>
      <c r="X9" s="599">
        <f t="shared" si="4"/>
        <v>2.666666667</v>
      </c>
      <c r="Y9" s="600">
        <f>IF(OR(A9="",E9=0),"",SUM(LU!J35,LU!J134))</f>
        <v>83</v>
      </c>
      <c r="Z9" s="599">
        <f t="shared" si="5"/>
        <v>4.368421053</v>
      </c>
      <c r="AA9" s="600">
        <f>IF(OR(A9="",AND(D9=0, E9=0)),"",SUM(LU!L35,LU!L134))</f>
        <v>91</v>
      </c>
      <c r="AB9" s="599">
        <f t="shared" si="6"/>
        <v>4.136363636</v>
      </c>
      <c r="AC9" s="597">
        <f t="shared" si="12"/>
        <v>4.136363636</v>
      </c>
      <c r="AD9" s="603">
        <f>IF(OR(A9="",F9=0,R$26="-",LU!$D$5=0),"",R9-R$26)</f>
        <v>24</v>
      </c>
      <c r="AE9" s="604">
        <f>IF(OR(A9="",F9=0,S$26="-",LU!$D$5=0),"",S9-S$26)</f>
        <v>-10</v>
      </c>
      <c r="AF9" s="605">
        <f t="shared" si="7"/>
        <v>34</v>
      </c>
      <c r="AG9" s="606" t="str">
        <f t="shared" si="8"/>
        <v/>
      </c>
      <c r="AH9" s="606">
        <f t="shared" si="9"/>
        <v>-0.3544444444</v>
      </c>
      <c r="AI9" s="607">
        <f t="shared" si="10"/>
        <v>0.6923046252</v>
      </c>
      <c r="AJ9" s="606">
        <f t="shared" si="11"/>
        <v>0.400541816</v>
      </c>
      <c r="AK9" s="610">
        <f>IF(OR($A9="",AC9="",AC$26="-",LU!$D$5=0),"",AC9-AC$26)</f>
        <v>0.4483635322</v>
      </c>
      <c r="AL9" s="609">
        <f>IF(OR(A9="",F9=0),"",SUM(PT!U9,PT!U10))</f>
        <v>3</v>
      </c>
      <c r="AM9" s="87"/>
    </row>
    <row r="10" ht="19.5" customHeight="1">
      <c r="A10" s="584" t="str">
        <f>IF(ISBLANK(IGRF!$B18),"",IGRF!$B18)</f>
        <v>27</v>
      </c>
      <c r="B10" s="585" t="str">
        <f>IF(ISBLANK(IGRF!$C18),"",IGRF!$C18)</f>
        <v>Gobrecht</v>
      </c>
      <c r="C10" s="586">
        <f>IF(A10="","",SUM(LU!O13,LU!O112))</f>
        <v>0</v>
      </c>
      <c r="D10" s="586">
        <f>IF(A10="","",SUM(LU!D13,LU!D112))</f>
        <v>18</v>
      </c>
      <c r="E10" s="587">
        <f>IF(A10="","",SUM(LU!J13,LU!J112))</f>
        <v>3</v>
      </c>
      <c r="F10" s="588">
        <f>IF(A10="","",(SUM(C10:E10)-(SUMPRODUCT(--(Lineups!C$4:C$41=A10),--(Lineups!A$4:A$41="SP"))+SUMPRODUCT(--(Lineups!G$4:G$41=A10),--(Lineups!A$4:A$41="SP"))+SUMPRODUCT(--(Lineups!C$46:C$83=A10),--(Lineups!A$46:A$83="SP"))+SUMPRODUCT(--(Lineups!G$46:G$83=A10),--(Lineups!A$46:A$83="SP")))))</f>
        <v>21</v>
      </c>
      <c r="G10" s="589">
        <f>IF(OR(A10="",F10=0,LU!D$3+LU!D$102=0),"",F10/(LU!D$3+LU!D$102))</f>
        <v>0.4468085106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119</v>
      </c>
      <c r="S10" s="586">
        <f>IF(OR(A10="",F10=0),"",SUM(LU!Q82,LU!Q181))</f>
        <v>11</v>
      </c>
      <c r="T10" s="590">
        <f>IF(OR(A10="",F10=0),"",SUM(LU!Q36,LU!Q135))</f>
        <v>108</v>
      </c>
      <c r="U10" s="586" t="str">
        <f>IF(OR(A10="",C10=0),"",SUM(LU!O36,LU!O135))</f>
        <v/>
      </c>
      <c r="V10" s="599" t="str">
        <f t="shared" si="3"/>
        <v/>
      </c>
      <c r="W10" s="600">
        <f>IF(OR(A10="",D10=0),"",SUM(LU!D36,LU!D135))</f>
        <v>97</v>
      </c>
      <c r="X10" s="599">
        <f t="shared" si="4"/>
        <v>5.388888889</v>
      </c>
      <c r="Y10" s="600">
        <f>IF(OR(A10="",E10=0),"",SUM(LU!J36,LU!J135))</f>
        <v>11</v>
      </c>
      <c r="Z10" s="599">
        <f t="shared" si="5"/>
        <v>3.666666667</v>
      </c>
      <c r="AA10" s="600">
        <f>IF(OR(A10="",AND(D10=0, E10=0)),"",SUM(LU!L36,LU!L135))</f>
        <v>108</v>
      </c>
      <c r="AB10" s="599">
        <f t="shared" si="6"/>
        <v>5.142857143</v>
      </c>
      <c r="AC10" s="597">
        <f t="shared" si="12"/>
        <v>5.142857143</v>
      </c>
      <c r="AD10" s="603">
        <f>IF(OR(A10="",F10=0,R$26="-",LU!$D$5=0),"",R10-R$26)</f>
        <v>43</v>
      </c>
      <c r="AE10" s="604">
        <f>IF(OR(A10="",F10=0,S$26="-",LU!$D$5=0),"",S10-S$26)</f>
        <v>-8</v>
      </c>
      <c r="AF10" s="605">
        <f t="shared" si="7"/>
        <v>51</v>
      </c>
      <c r="AG10" s="606" t="str">
        <f t="shared" si="8"/>
        <v/>
      </c>
      <c r="AH10" s="606">
        <f t="shared" si="9"/>
        <v>2.367777778</v>
      </c>
      <c r="AI10" s="607">
        <f t="shared" si="10"/>
        <v>-0.009449760766</v>
      </c>
      <c r="AJ10" s="606">
        <f t="shared" si="11"/>
        <v>1.407035322</v>
      </c>
      <c r="AK10" s="610">
        <f>IF(OR($A10="",AC10="",AC$26="-",LU!$D$5=0),"",AC10-AC$26)</f>
        <v>1.454857039</v>
      </c>
      <c r="AL10" s="609">
        <f>IF(OR(A10="",F10=0),"",SUM(PT!U11,PT!U12))</f>
        <v>1</v>
      </c>
      <c r="AM10" s="87"/>
    </row>
    <row r="11" ht="19.5" customHeight="1">
      <c r="A11" s="584" t="str">
        <f>IF(ISBLANK(IGRF!$B19),"",IGRF!$B19)</f>
        <v>33</v>
      </c>
      <c r="B11" s="585" t="str">
        <f>IF(ISBLANK(IGRF!$C19),"",IGRF!$C19)</f>
        <v>Klein</v>
      </c>
      <c r="C11" s="586">
        <f>IF(A11="","",SUM(LU!O14,LU!O113))</f>
        <v>13</v>
      </c>
      <c r="D11" s="586">
        <f>IF(A11="","",SUM(LU!D14,LU!D113))</f>
        <v>0</v>
      </c>
      <c r="E11" s="587">
        <f>IF(A11="","",SUM(LU!J14,LU!J113))</f>
        <v>0</v>
      </c>
      <c r="F11" s="588">
        <f>IF(A11="","",(SUM(C11:E11)-(SUMPRODUCT(--(Lineups!C$4:C$41=A11),--(Lineups!A$4:A$41="SP"))+SUMPRODUCT(--(Lineups!G$4:G$41=A11),--(Lineups!A$4:A$41="SP"))+SUMPRODUCT(--(Lineups!C$46:C$83=A11),--(Lineups!A$46:A$83="SP"))+SUMPRODUCT(--(Lineups!G$46:G$83=A11),--(Lineups!A$46:A$83="SP")))))</f>
        <v>13</v>
      </c>
      <c r="G11" s="589">
        <f>IF(OR(A11="",F11=0,LU!D$3+LU!D$102=0),"",F11/(LU!D$3+LU!D$102))</f>
        <v>0.2765957447</v>
      </c>
      <c r="H11" s="590">
        <f>IF(OR(C11=0,A11=""),"",SK!D189)</f>
        <v>48</v>
      </c>
      <c r="I11" s="591">
        <f>IF(OR(A11="",SK!E189="",SK!E189=0),"",H11/SK!E189)</f>
        <v>3.692307692</v>
      </c>
      <c r="J11" s="592">
        <f>IF(OR(A11="",C11=0),"",SK!G189)</f>
        <v>0</v>
      </c>
      <c r="K11" s="593">
        <f>IF(OR(A11="",C11=0),"",SK!H189)</f>
        <v>9</v>
      </c>
      <c r="L11" s="594">
        <f>IF(OR(A11="",C11=0),"",SK!J189)</f>
        <v>9</v>
      </c>
      <c r="M11" s="594">
        <f>IF(OR(A11="",C11=0),"",SK!L189)</f>
        <v>0</v>
      </c>
      <c r="N11" s="594">
        <f>IF(OR(A11="",C11=0),"",SUMPRODUCT(--(Lineups!$A$4:$A$41="SP"),--(Lineups!$C$4:$C$41=A11))+SUMPRODUCT(--(Lineups!$A$46:$A$83="SP"),--(Lineups!$C$46:$C$83=A11)))</f>
        <v>0</v>
      </c>
      <c r="O11" s="595">
        <f t="shared" si="1"/>
        <v>0.6923076923</v>
      </c>
      <c r="P11" s="596">
        <f>IF(OR(A11="",C11=0),"",SK!I189)</f>
        <v>40</v>
      </c>
      <c r="Q11" s="597">
        <f t="shared" si="2"/>
        <v>4.444444444</v>
      </c>
      <c r="R11" s="598">
        <f>IF(OR(A11="",F11=0),"",SUM(LU!Q60,LU!Q159))</f>
        <v>48</v>
      </c>
      <c r="S11" s="586">
        <f>IF(OR(A11="",F11=0),"",SUM(LU!Q83,LU!Q182))</f>
        <v>15</v>
      </c>
      <c r="T11" s="590">
        <f>IF(OR(A11="",F11=0),"",SUM(LU!Q37,LU!Q136))</f>
        <v>33</v>
      </c>
      <c r="U11" s="586">
        <f>IF(OR(A11="",C11=0),"",SUM(LU!O37,LU!O136))</f>
        <v>33</v>
      </c>
      <c r="V11" s="599">
        <f t="shared" si="3"/>
        <v>2.538461538</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2.538461538</v>
      </c>
      <c r="AD11" s="603">
        <f>IF(OR(A11="",F11=0,R$26="-",LU!$D$5=0),"",R11-R$26)</f>
        <v>-28</v>
      </c>
      <c r="AE11" s="604">
        <f>IF(OR(A11="",F11=0,S$26="-",LU!$D$5=0),"",S11-S$26)</f>
        <v>-4</v>
      </c>
      <c r="AF11" s="605">
        <f t="shared" si="7"/>
        <v>-24</v>
      </c>
      <c r="AG11" s="606">
        <f t="shared" si="8"/>
        <v>-0.9592053167</v>
      </c>
      <c r="AH11" s="606" t="str">
        <f t="shared" si="9"/>
        <v/>
      </c>
      <c r="AI11" s="607" t="str">
        <f t="shared" si="10"/>
        <v/>
      </c>
      <c r="AJ11" s="606" t="str">
        <f t="shared" si="11"/>
        <v/>
      </c>
      <c r="AK11" s="610">
        <f>IF(OR($A11="",AC11="",AC$26="-",LU!$D$5=0),"",AC11-AC$26)</f>
        <v>-1.149538566</v>
      </c>
      <c r="AL11" s="609">
        <f>IF(OR(A11="",F11=0),"",SUM(PT!U13,PT!U14))</f>
        <v>1</v>
      </c>
      <c r="AM11" s="87"/>
    </row>
    <row r="12" ht="19.5" customHeight="1">
      <c r="A12" s="584" t="str">
        <f>IF(ISBLANK(IGRF!$B20),"",IGRF!$B20)</f>
        <v>357</v>
      </c>
      <c r="B12" s="585" t="str">
        <f>IF(ISBLANK(IGRF!$C20),"",IGRF!$C20)</f>
        <v>Bia Fraid</v>
      </c>
      <c r="C12" s="586">
        <f>IF(A12="","",SUM(LU!O15,LU!O114))</f>
        <v>0</v>
      </c>
      <c r="D12" s="586">
        <f>IF(A12="","",SUM(LU!D15,LU!D114))</f>
        <v>0</v>
      </c>
      <c r="E12" s="587">
        <f>IF(A12="","",SUM(LU!J15,LU!J114))</f>
        <v>3</v>
      </c>
      <c r="F12" s="588">
        <f>IF(A12="","",(SUM(C12:E12)-(SUMPRODUCT(--(Lineups!C$4:C$41=A12),--(Lineups!A$4:A$41="SP"))+SUMPRODUCT(--(Lineups!G$4:G$41=A12),--(Lineups!A$4:A$41="SP"))+SUMPRODUCT(--(Lineups!C$46:C$83=A12),--(Lineups!A$46:A$83="SP"))+SUMPRODUCT(--(Lineups!G$46:G$83=A12),--(Lineups!A$46:A$83="SP")))))</f>
        <v>3</v>
      </c>
      <c r="G12" s="589">
        <f>IF(OR(A12="",F12=0,LU!D$3+LU!D$102=0),"",F12/(LU!D$3+LU!D$102))</f>
        <v>0.06382978723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10</v>
      </c>
      <c r="S12" s="586">
        <f>IF(OR(A12="",F12=0),"",SUM(LU!Q84,LU!Q183))</f>
        <v>4</v>
      </c>
      <c r="T12" s="590">
        <f>IF(OR(A12="",F12=0),"",SUM(LU!Q38,LU!Q137))</f>
        <v>6</v>
      </c>
      <c r="U12" s="586" t="str">
        <f>IF(OR(A12="",C12=0),"",SUM(LU!O38,LU!O137))</f>
        <v/>
      </c>
      <c r="V12" s="599" t="str">
        <f t="shared" si="3"/>
        <v/>
      </c>
      <c r="W12" s="600" t="str">
        <f>IF(OR(A12="",D12=0),"",SUM(LU!D38,LU!D137))</f>
        <v/>
      </c>
      <c r="X12" s="599" t="str">
        <f t="shared" si="4"/>
        <v/>
      </c>
      <c r="Y12" s="600">
        <f>IF(OR(A12="",E12=0),"",SUM(LU!J38,LU!J137))</f>
        <v>6</v>
      </c>
      <c r="Z12" s="599">
        <f t="shared" si="5"/>
        <v>2</v>
      </c>
      <c r="AA12" s="600">
        <f>IF(OR(A12="",AND(D12=0, E12=0)),"",SUM(LU!L38,LU!L137))</f>
        <v>6</v>
      </c>
      <c r="AB12" s="599">
        <f t="shared" si="6"/>
        <v>2</v>
      </c>
      <c r="AC12" s="597">
        <f t="shared" si="12"/>
        <v>2</v>
      </c>
      <c r="AD12" s="603">
        <f>IF(OR(A12="",F12=0,R$26="-",LU!$D$5=0),"",R12-R$26)</f>
        <v>-66</v>
      </c>
      <c r="AE12" s="604">
        <f>IF(OR(A12="",F12=0,S$26="-",LU!$D$5=0),"",S12-S$26)</f>
        <v>-15</v>
      </c>
      <c r="AF12" s="605">
        <f t="shared" si="7"/>
        <v>-51</v>
      </c>
      <c r="AG12" s="606" t="str">
        <f t="shared" si="8"/>
        <v/>
      </c>
      <c r="AH12" s="606" t="str">
        <f t="shared" si="9"/>
        <v/>
      </c>
      <c r="AI12" s="607">
        <f t="shared" si="10"/>
        <v>-1.676116427</v>
      </c>
      <c r="AJ12" s="606">
        <f t="shared" si="11"/>
        <v>-1.73582182</v>
      </c>
      <c r="AK12" s="610">
        <f>IF(OR($A12="",AC12="",AC$26="-",LU!$D$5=0),"",AC12-AC$26)</f>
        <v>-1.688000104</v>
      </c>
      <c r="AL12" s="609">
        <f>IF(OR(A12="",F12=0),"",SUM(PT!U15,PT!U16))</f>
        <v>0</v>
      </c>
      <c r="AM12" s="87"/>
    </row>
    <row r="13" ht="19.5" customHeight="1">
      <c r="A13" s="584" t="str">
        <f>IF(ISBLANK(IGRF!$B21),"",IGRF!$B21)</f>
        <v>40</v>
      </c>
      <c r="B13" s="585" t="str">
        <f>IF(ISBLANK(IGRF!$C21),"",IGRF!$C21)</f>
        <v>speedlejuice</v>
      </c>
      <c r="C13" s="586">
        <f>IF(A13="","",SUM(LU!O16,LU!O115))</f>
        <v>2</v>
      </c>
      <c r="D13" s="586">
        <f>IF(A13="","",SUM(LU!D16,LU!D115))</f>
        <v>0</v>
      </c>
      <c r="E13" s="587">
        <f>IF(A13="","",SUM(LU!J16,LU!J115))</f>
        <v>0</v>
      </c>
      <c r="F13" s="588">
        <f>IF(A13="","",(SUM(C13:E13)-(SUMPRODUCT(--(Lineups!C$4:C$41=A13),--(Lineups!A$4:A$41="SP"))+SUMPRODUCT(--(Lineups!G$4:G$41=A13),--(Lineups!A$4:A$41="SP"))+SUMPRODUCT(--(Lineups!C$46:C$83=A13),--(Lineups!A$46:A$83="SP"))+SUMPRODUCT(--(Lineups!G$46:G$83=A13),--(Lineups!A$46:A$83="SP")))))</f>
        <v>2</v>
      </c>
      <c r="G13" s="589">
        <f>IF(OR(A13="",F13=0,LU!D$3+LU!D$102=0),"",F13/(LU!D$3+LU!D$102))</f>
        <v>0.04255319149</v>
      </c>
      <c r="H13" s="590">
        <f>IF(OR(C13=0,A13=""),"",SK!D195)</f>
        <v>7</v>
      </c>
      <c r="I13" s="591">
        <f>IF(OR(A13="",SK!E195="",SK!E195=0),"",H13/SK!E195)</f>
        <v>3.5</v>
      </c>
      <c r="J13" s="592">
        <f>IF(OR(A13="",C13=0),"",SK!G195)</f>
        <v>0</v>
      </c>
      <c r="K13" s="593">
        <f>IF(OR(A13="",C13=0),"",SK!H195)</f>
        <v>2</v>
      </c>
      <c r="L13" s="594">
        <f>IF(OR(A13="",C13=0),"",SK!J195)</f>
        <v>2</v>
      </c>
      <c r="M13" s="594">
        <f>IF(OR(A13="",C13=0),"",SK!L195)</f>
        <v>0</v>
      </c>
      <c r="N13" s="594">
        <f>IF(OR(A13="",C13=0),"",SUMPRODUCT(--(Lineups!$A$4:$A$41="SP"),--(Lineups!$C$4:$C$41=A13))+SUMPRODUCT(--(Lineups!$A$46:$A$83="SP"),--(Lineups!$C$46:$C$83=A13)))</f>
        <v>0</v>
      </c>
      <c r="O13" s="595">
        <f t="shared" si="1"/>
        <v>1</v>
      </c>
      <c r="P13" s="596">
        <f>IF(OR(A13="",C13=0),"",SK!I195)</f>
        <v>7</v>
      </c>
      <c r="Q13" s="597">
        <f t="shared" si="2"/>
        <v>3.5</v>
      </c>
      <c r="R13" s="598">
        <f>IF(OR(A13="",F13=0),"",SUM(LU!Q62,LU!Q161))</f>
        <v>7</v>
      </c>
      <c r="S13" s="586">
        <f>IF(OR(A13="",F13=0),"",SUM(LU!Q85,LU!Q184))</f>
        <v>0</v>
      </c>
      <c r="T13" s="590">
        <f>IF(OR(A13="",F13=0),"",SUM(LU!Q39,LU!Q138))</f>
        <v>7</v>
      </c>
      <c r="U13" s="586">
        <f>IF(OR(A13="",C13=0),"",SUM(LU!O39,LU!O138))</f>
        <v>7</v>
      </c>
      <c r="V13" s="599">
        <f t="shared" si="3"/>
        <v>3.5</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3.5</v>
      </c>
      <c r="AD13" s="603">
        <f>IF(OR(A13="",F13=0,R$26="-",LU!$D$5=0),"",R13-R$26)</f>
        <v>-69</v>
      </c>
      <c r="AE13" s="604">
        <f>IF(OR(A13="",F13=0,S$26="-",LU!$D$5=0),"",S13-S$26)</f>
        <v>-19</v>
      </c>
      <c r="AF13" s="605">
        <f t="shared" si="7"/>
        <v>-50</v>
      </c>
      <c r="AG13" s="606">
        <f t="shared" si="8"/>
        <v>0.002333144796</v>
      </c>
      <c r="AH13" s="606" t="str">
        <f t="shared" si="9"/>
        <v/>
      </c>
      <c r="AI13" s="607" t="str">
        <f t="shared" si="10"/>
        <v/>
      </c>
      <c r="AJ13" s="606" t="str">
        <f t="shared" si="11"/>
        <v/>
      </c>
      <c r="AK13" s="610">
        <f>IF(OR($A13="",AC13="",AC$26="-",LU!$D$5=0),"",AC13-AC$26)</f>
        <v>-0.1880001042</v>
      </c>
      <c r="AL13" s="609">
        <f>IF(OR(A13="",F13=0),"",SUM(PT!U17,PT!U18))</f>
        <v>0</v>
      </c>
      <c r="AM13" s="87"/>
    </row>
    <row r="14" ht="19.5" customHeight="1">
      <c r="A14" s="584" t="str">
        <f>IF(ISBLANK(IGRF!$B22),"",IGRF!$B22)</f>
        <v>50</v>
      </c>
      <c r="B14" s="585" t="str">
        <f>IF(ISBLANK(IGRF!$C22),"",IGRF!$C22)</f>
        <v>Scald Eagle</v>
      </c>
      <c r="C14" s="586">
        <f>IF(A14="","",SUM(LU!O17,LU!O116))</f>
        <v>17</v>
      </c>
      <c r="D14" s="586">
        <f>IF(A14="","",SUM(LU!D17,LU!D116))</f>
        <v>0</v>
      </c>
      <c r="E14" s="587">
        <f>IF(A14="","",SUM(LU!J17,LU!J116))</f>
        <v>0</v>
      </c>
      <c r="F14" s="588">
        <f>IF(A14="","",(SUM(C14:E14)-(SUMPRODUCT(--(Lineups!C$4:C$41=A14),--(Lineups!A$4:A$41="SP"))+SUMPRODUCT(--(Lineups!G$4:G$41=A14),--(Lineups!A$4:A$41="SP"))+SUMPRODUCT(--(Lineups!C$46:C$83=A14),--(Lineups!A$46:A$83="SP"))+SUMPRODUCT(--(Lineups!G$46:G$83=A14),--(Lineups!A$46:A$83="SP")))))</f>
        <v>16</v>
      </c>
      <c r="G14" s="589">
        <f>IF(OR(A14="",F14=0,LU!D$3+LU!D$102=0),"",F14/(LU!D$3+LU!D$102))</f>
        <v>0.3404255319</v>
      </c>
      <c r="H14" s="590">
        <f>IF(OR(C14=0,A14=""),"",SK!D198)</f>
        <v>77</v>
      </c>
      <c r="I14" s="591">
        <f>IF(OR(A14="",SK!E198="",SK!E198=0),"",H14/SK!E198)</f>
        <v>4.529411765</v>
      </c>
      <c r="J14" s="592">
        <f>IF(OR(A14="",C14=0),"",SK!G198)</f>
        <v>0</v>
      </c>
      <c r="K14" s="593">
        <f>IF(OR(A14="",C14=0),"",SK!H198)</f>
        <v>13</v>
      </c>
      <c r="L14" s="594">
        <f>IF(OR(A14="",C14=0),"",SK!J198)</f>
        <v>12</v>
      </c>
      <c r="M14" s="594">
        <f>IF(OR(A14="",C14=0),"",SK!L198)</f>
        <v>0</v>
      </c>
      <c r="N14" s="594">
        <f>IF(OR(A14="",C14=0),"",SUMPRODUCT(--(Lineups!$A$4:$A$41="SP"),--(Lineups!$C$4:$C$41=A14))+SUMPRODUCT(--(Lineups!$A$46:$A$83="SP"),--(Lineups!$C$46:$C$83=A14)))</f>
        <v>1</v>
      </c>
      <c r="O14" s="595">
        <f t="shared" si="1"/>
        <v>0.8125</v>
      </c>
      <c r="P14" s="596">
        <f>IF(OR(A14="",C14=0),"",SK!I198)</f>
        <v>68</v>
      </c>
      <c r="Q14" s="597">
        <f t="shared" si="2"/>
        <v>5.230769231</v>
      </c>
      <c r="R14" s="598">
        <f>IF(OR(A14="",F14=0),"",SUM(LU!Q63,LU!Q162))</f>
        <v>77</v>
      </c>
      <c r="S14" s="586">
        <f>IF(OR(A14="",F14=0),"",SUM(LU!Q86,LU!Q185))</f>
        <v>13</v>
      </c>
      <c r="T14" s="590">
        <f>IF(OR(A14="",F14=0),"",SUM(LU!Q40,LU!Q139))</f>
        <v>64</v>
      </c>
      <c r="U14" s="586">
        <f>IF(OR(A14="",C14=0),"",SUM(LU!O40,LU!O139))</f>
        <v>64</v>
      </c>
      <c r="V14" s="599">
        <f t="shared" si="3"/>
        <v>3.764705882</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4</v>
      </c>
      <c r="AD14" s="603">
        <f>IF(OR(A14="",F14=0,R$26="-",LU!$D$5=0),"",R14-R$26)</f>
        <v>1</v>
      </c>
      <c r="AE14" s="604">
        <f>IF(OR(A14="",F14=0,S$26="-",LU!$D$5=0),"",S14-S$26)</f>
        <v>-6</v>
      </c>
      <c r="AF14" s="605">
        <f t="shared" si="7"/>
        <v>7</v>
      </c>
      <c r="AG14" s="606">
        <f t="shared" si="8"/>
        <v>0.2670390271</v>
      </c>
      <c r="AH14" s="606" t="str">
        <f t="shared" si="9"/>
        <v/>
      </c>
      <c r="AI14" s="607" t="str">
        <f t="shared" si="10"/>
        <v/>
      </c>
      <c r="AJ14" s="606" t="str">
        <f t="shared" si="11"/>
        <v/>
      </c>
      <c r="AK14" s="610">
        <f>IF(OR($A14="",AC14="",AC$26="-",LU!$D$5=0),"",AC14-AC$26)</f>
        <v>0.3119998958</v>
      </c>
      <c r="AL14" s="609">
        <f>IF(OR(A14="",F14=0),"",SUM(PT!U19,PT!U20))</f>
        <v>1</v>
      </c>
      <c r="AM14" s="87"/>
    </row>
    <row r="15" ht="19.5" customHeight="1">
      <c r="A15" s="584" t="str">
        <f>IF(ISBLANK(IGRF!$B23),"",IGRF!$B23)</f>
        <v>505</v>
      </c>
      <c r="B15" s="585" t="str">
        <f>IF(ISBLANK(IGRF!$C23),"",IGRF!$C23)</f>
        <v>Elyse LeKraken</v>
      </c>
      <c r="C15" s="586">
        <f>IF(A15="","",SUM(LU!O18,LU!O117))</f>
        <v>0</v>
      </c>
      <c r="D15" s="586">
        <f>IF(A15="","",SUM(LU!D18,LU!D117))</f>
        <v>0</v>
      </c>
      <c r="E15" s="587">
        <f>IF(A15="","",SUM(LU!J18,LU!J117))</f>
        <v>20</v>
      </c>
      <c r="F15" s="588">
        <f>IF(A15="","",(SUM(C15:E15)-(SUMPRODUCT(--(Lineups!C$4:C$41=A15),--(Lineups!A$4:A$41="SP"))+SUMPRODUCT(--(Lineups!G$4:G$41=A15),--(Lineups!A$4:A$41="SP"))+SUMPRODUCT(--(Lineups!C$46:C$83=A15),--(Lineups!A$46:A$83="SP"))+SUMPRODUCT(--(Lineups!G$46:G$83=A15),--(Lineups!A$46:A$83="SP")))))</f>
        <v>20</v>
      </c>
      <c r="G15" s="589">
        <f>IF(OR(A15="",F15=0,LU!D$3+LU!D$102=0),"",F15/(LU!D$3+LU!D$102))</f>
        <v>0.4255319149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96</v>
      </c>
      <c r="S15" s="586">
        <f>IF(OR(A15="",F15=0),"",SUM(LU!Q87,LU!Q186))</f>
        <v>41</v>
      </c>
      <c r="T15" s="590">
        <f>IF(OR(A15="",F15=0),"",SUM(LU!Q41,LU!Q140))</f>
        <v>55</v>
      </c>
      <c r="U15" s="586" t="str">
        <f>IF(OR(A15="",C15=0),"",SUM(LU!O41,LU!O140))</f>
        <v/>
      </c>
      <c r="V15" s="599" t="str">
        <f t="shared" si="3"/>
        <v/>
      </c>
      <c r="W15" s="600" t="str">
        <f>IF(OR(A15="",D15=0),"",SUM(LU!D41,LU!D140))</f>
        <v/>
      </c>
      <c r="X15" s="599" t="str">
        <f t="shared" si="4"/>
        <v/>
      </c>
      <c r="Y15" s="600">
        <f>IF(OR(A15="",E15=0),"",SUM(LU!J41,LU!J140))</f>
        <v>55</v>
      </c>
      <c r="Z15" s="599">
        <f t="shared" si="5"/>
        <v>2.75</v>
      </c>
      <c r="AA15" s="600">
        <f>IF(OR(A15="",AND(D15=0, E15=0)),"",SUM(LU!L41,LU!L140))</f>
        <v>55</v>
      </c>
      <c r="AB15" s="599">
        <f t="shared" si="6"/>
        <v>2.75</v>
      </c>
      <c r="AC15" s="597">
        <f t="shared" si="12"/>
        <v>2.75</v>
      </c>
      <c r="AD15" s="603">
        <f>IF(OR(A15="",F15=0,R$26="-",LU!$D$5=0),"",R15-R$26)</f>
        <v>20</v>
      </c>
      <c r="AE15" s="604">
        <f>IF(OR(A15="",F15=0,S$26="-",LU!$D$5=0),"",S15-S$26)</f>
        <v>22</v>
      </c>
      <c r="AF15" s="605">
        <f t="shared" si="7"/>
        <v>-2</v>
      </c>
      <c r="AG15" s="606" t="str">
        <f t="shared" si="8"/>
        <v/>
      </c>
      <c r="AH15" s="606" t="str">
        <f t="shared" si="9"/>
        <v/>
      </c>
      <c r="AI15" s="607">
        <f t="shared" si="10"/>
        <v>-0.9261164274</v>
      </c>
      <c r="AJ15" s="606">
        <f t="shared" si="11"/>
        <v>-0.9858218204</v>
      </c>
      <c r="AK15" s="610">
        <f>IF(OR($A15="",AC15="",AC$26="-",LU!$D$5=0),"",AC15-AC$26)</f>
        <v>-0.9380001042</v>
      </c>
      <c r="AL15" s="609">
        <f>IF(OR(A15="",F15=0),"",SUM(PT!U21,PT!U22))</f>
        <v>2</v>
      </c>
      <c r="AM15" s="87"/>
    </row>
    <row r="16" ht="19.5" customHeight="1">
      <c r="A16" s="584" t="str">
        <f>IF(ISBLANK(IGRF!$B24),"",IGRF!$B24)</f>
        <v>8000</v>
      </c>
      <c r="B16" s="585" t="str">
        <f>IF(ISBLANK(IGRF!$C24),"",IGRF!$C24)</f>
        <v>Killifornia</v>
      </c>
      <c r="C16" s="586">
        <f>IF(A16="","",SUM(LU!O19,LU!O118))</f>
        <v>0</v>
      </c>
      <c r="D16" s="586">
        <f>IF(A16="","",SUM(LU!D19,LU!D118))</f>
        <v>20</v>
      </c>
      <c r="E16" s="587">
        <f>IF(A16="","",SUM(LU!J19,LU!J118))</f>
        <v>2</v>
      </c>
      <c r="F16" s="588">
        <f>IF(A16="","",(SUM(C16:E16)-(SUMPRODUCT(--(Lineups!C$4:C$41=A16),--(Lineups!A$4:A$41="SP"))+SUMPRODUCT(--(Lineups!G$4:G$41=A16),--(Lineups!A$4:A$41="SP"))+SUMPRODUCT(--(Lineups!C$46:C$83=A16),--(Lineups!A$46:A$83="SP"))+SUMPRODUCT(--(Lineups!G$46:G$83=A16),--(Lineups!A$46:A$83="SP")))))</f>
        <v>22</v>
      </c>
      <c r="G16" s="589">
        <f>IF(OR(A16="",F16=0,LU!D$3+LU!D$102=0),"",F16/(LU!D$3+LU!D$102))</f>
        <v>0.4680851064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95</v>
      </c>
      <c r="S16" s="586">
        <f>IF(OR(A16="",F16=0),"",SUM(LU!Q88,LU!Q187))</f>
        <v>44</v>
      </c>
      <c r="T16" s="590">
        <f>IF(OR(A16="",F16=0),"",SUM(LU!Q42,LU!Q141))</f>
        <v>51</v>
      </c>
      <c r="U16" s="586" t="str">
        <f>IF(OR(A16="",C16=0),"",SUM(LU!O42,LU!O141))</f>
        <v/>
      </c>
      <c r="V16" s="599" t="str">
        <f t="shared" si="3"/>
        <v/>
      </c>
      <c r="W16" s="600">
        <f>IF(OR(A16="",D16=0),"",SUM(LU!D42,LU!D141))</f>
        <v>46</v>
      </c>
      <c r="X16" s="599">
        <f t="shared" si="4"/>
        <v>2.3</v>
      </c>
      <c r="Y16" s="600">
        <f>IF(OR(A16="",E16=0),"",SUM(LU!J42,LU!J141))</f>
        <v>5</v>
      </c>
      <c r="Z16" s="599">
        <f t="shared" si="5"/>
        <v>2.5</v>
      </c>
      <c r="AA16" s="600">
        <f>IF(OR(A16="",AND(D16=0, E16=0)),"",SUM(LU!L42,LU!L141))</f>
        <v>51</v>
      </c>
      <c r="AB16" s="599">
        <f t="shared" si="6"/>
        <v>2.318181818</v>
      </c>
      <c r="AC16" s="597">
        <f t="shared" si="12"/>
        <v>2.318181818</v>
      </c>
      <c r="AD16" s="603">
        <f>IF(OR(A16="",F16=0,R$26="-",LU!$D$5=0),"",R16-R$26)</f>
        <v>19</v>
      </c>
      <c r="AE16" s="604">
        <f>IF(OR(A16="",F16=0,S$26="-",LU!$D$5=0),"",S16-S$26)</f>
        <v>25</v>
      </c>
      <c r="AF16" s="605">
        <f t="shared" si="7"/>
        <v>-6</v>
      </c>
      <c r="AG16" s="606" t="str">
        <f t="shared" si="8"/>
        <v/>
      </c>
      <c r="AH16" s="606">
        <f t="shared" si="9"/>
        <v>-0.7211111111</v>
      </c>
      <c r="AI16" s="607">
        <f t="shared" si="10"/>
        <v>-1.176116427</v>
      </c>
      <c r="AJ16" s="606">
        <f t="shared" si="11"/>
        <v>-1.417640002</v>
      </c>
      <c r="AK16" s="610">
        <f>IF(OR($A16="",AC16="",AC$26="-",LU!$D$5=0),"",AC16-AC$26)</f>
        <v>-1.369818286</v>
      </c>
      <c r="AL16" s="609">
        <f>IF(OR(A16="",F16=0),"",SUM(PT!U23,PT!U24))</f>
        <v>2</v>
      </c>
      <c r="AM16" s="87"/>
    </row>
    <row r="17" ht="19.5" customHeight="1">
      <c r="A17" s="584" t="str">
        <f>IF(ISBLANK(IGRF!$B25),"",IGRF!$B25)</f>
        <v>90</v>
      </c>
      <c r="B17" s="585" t="str">
        <f>IF(ISBLANK(IGRF!$C25),"",IGRF!$C25)</f>
        <v>Wee Bonnie Bruiser</v>
      </c>
      <c r="C17" s="586">
        <f>IF(A17="","",SUM(LU!O20,LU!O119))</f>
        <v>0</v>
      </c>
      <c r="D17" s="586">
        <f>IF(A17="","",SUM(LU!D20,LU!D119))</f>
        <v>4</v>
      </c>
      <c r="E17" s="587">
        <f>IF(A17="","",SUM(LU!J20,LU!J119))</f>
        <v>5</v>
      </c>
      <c r="F17" s="588">
        <f>IF(A17="","",(SUM(C17:E17)-(SUMPRODUCT(--(Lineups!C$4:C$41=A17),--(Lineups!A$4:A$41="SP"))+SUMPRODUCT(--(Lineups!G$4:G$41=A17),--(Lineups!A$4:A$41="SP"))+SUMPRODUCT(--(Lineups!C$46:C$83=A17),--(Lineups!A$46:A$83="SP"))+SUMPRODUCT(--(Lineups!G$46:G$83=A17),--(Lineups!A$46:A$83="SP")))))</f>
        <v>9</v>
      </c>
      <c r="G17" s="589">
        <f>IF(OR(A17="",F17=0,LU!D$3+LU!D$102=0),"",F17/(LU!D$3+LU!D$102))</f>
        <v>0.1914893617</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50</v>
      </c>
      <c r="S17" s="586">
        <f>IF(OR(A17="",F17=0),"",SUM(LU!Q89,LU!Q188))</f>
        <v>3</v>
      </c>
      <c r="T17" s="590">
        <f>IF(OR(A17="",F17=0),"",SUM(LU!Q43,LU!Q142))</f>
        <v>47</v>
      </c>
      <c r="U17" s="586" t="str">
        <f>IF(OR(A17="",C17=0),"",SUM(LU!O43,LU!O142))</f>
        <v/>
      </c>
      <c r="V17" s="599" t="str">
        <f t="shared" si="3"/>
        <v/>
      </c>
      <c r="W17" s="600">
        <f>IF(OR(A17="",D17=0),"",SUM(LU!D43,LU!D142))</f>
        <v>21</v>
      </c>
      <c r="X17" s="599">
        <f t="shared" si="4"/>
        <v>5.25</v>
      </c>
      <c r="Y17" s="600">
        <f>IF(OR(A17="",E17=0),"",SUM(LU!J43,LU!J142))</f>
        <v>26</v>
      </c>
      <c r="Z17" s="599">
        <f t="shared" si="5"/>
        <v>5.2</v>
      </c>
      <c r="AA17" s="600">
        <f>IF(OR(A17="",AND(D17=0, E17=0)),"",SUM(LU!L43,LU!L142))</f>
        <v>47</v>
      </c>
      <c r="AB17" s="599">
        <f t="shared" si="6"/>
        <v>5.222222222</v>
      </c>
      <c r="AC17" s="597">
        <f t="shared" si="12"/>
        <v>5.222222222</v>
      </c>
      <c r="AD17" s="603">
        <f>IF(OR(A17="",F17=0,R$26="-",LU!$D$5=0),"",R17-R$26)</f>
        <v>-26</v>
      </c>
      <c r="AE17" s="604">
        <f>IF(OR(A17="",F17=0,S$26="-",LU!$D$5=0),"",S17-S$26)</f>
        <v>-16</v>
      </c>
      <c r="AF17" s="605">
        <f t="shared" si="7"/>
        <v>-10</v>
      </c>
      <c r="AG17" s="606" t="str">
        <f t="shared" si="8"/>
        <v/>
      </c>
      <c r="AH17" s="606">
        <f t="shared" si="9"/>
        <v>2.228888889</v>
      </c>
      <c r="AI17" s="607">
        <f t="shared" si="10"/>
        <v>1.523883573</v>
      </c>
      <c r="AJ17" s="606">
        <f t="shared" si="11"/>
        <v>1.486400402</v>
      </c>
      <c r="AK17" s="610">
        <f>IF(OR($A17="",AC17="",AC$26="-",LU!$D$5=0),"",AC17-AC$26)</f>
        <v>1.534222118</v>
      </c>
      <c r="AL17" s="609">
        <f>IF(OR(A17="",F17=0),"",SUM(PT!U25,PT!U26))</f>
        <v>1</v>
      </c>
      <c r="AM17" s="87"/>
    </row>
    <row r="18" ht="19.5" customHeight="1">
      <c r="A18" s="584" t="str">
        <f>IF(ISBLANK(IGRF!$B26),"",IGRF!$B26)</f>
        <v>919</v>
      </c>
      <c r="B18" s="585" t="str">
        <f>IF(ISBLANK(IGRF!$C26),"",IGRF!$C26)</f>
        <v>Grizz</v>
      </c>
      <c r="C18" s="586">
        <f>IF(A18="","",SUM(LU!O21,LU!O120))</f>
        <v>0</v>
      </c>
      <c r="D18" s="586">
        <f>IF(A18="","",SUM(LU!D21,LU!D120))</f>
        <v>0</v>
      </c>
      <c r="E18" s="587">
        <f>IF(A18="","",SUM(LU!J21,LU!J120))</f>
        <v>19</v>
      </c>
      <c r="F18" s="588">
        <f>IF(A18="","",(SUM(C18:E18)-(SUMPRODUCT(--(Lineups!C$4:C$41=A18),--(Lineups!A$4:A$41="SP"))+SUMPRODUCT(--(Lineups!G$4:G$41=A18),--(Lineups!A$4:A$41="SP"))+SUMPRODUCT(--(Lineups!C$46:C$83=A18),--(Lineups!A$46:A$83="SP"))+SUMPRODUCT(--(Lineups!G$46:G$83=A18),--(Lineups!A$46:A$83="SP")))))</f>
        <v>19</v>
      </c>
      <c r="G18" s="589">
        <f>IF(OR(A18="",F18=0,LU!D$3+LU!D$102=0),"",F18/(LU!D$3+LU!D$102))</f>
        <v>0.4042553191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80</v>
      </c>
      <c r="S18" s="586">
        <f>IF(OR(A18="",F18=0),"",SUM(LU!Q90,LU!Q189))</f>
        <v>38</v>
      </c>
      <c r="T18" s="590">
        <f>IF(OR(A18="",F18=0),"",SUM(LU!Q44,LU!Q143))</f>
        <v>42</v>
      </c>
      <c r="U18" s="586" t="str">
        <f>IF(OR(A18="",C18=0),"",SUM(LU!O44,LU!O143))</f>
        <v/>
      </c>
      <c r="V18" s="599" t="str">
        <f t="shared" si="3"/>
        <v/>
      </c>
      <c r="W18" s="600" t="str">
        <f>IF(OR(A18="",D18=0),"",SUM(LU!D44,LU!D143))</f>
        <v/>
      </c>
      <c r="X18" s="599" t="str">
        <f t="shared" si="4"/>
        <v/>
      </c>
      <c r="Y18" s="600">
        <f>IF(OR(A18="",E18=0),"",SUM(LU!J44,LU!J143))</f>
        <v>42</v>
      </c>
      <c r="Z18" s="599">
        <f t="shared" si="5"/>
        <v>2.210526316</v>
      </c>
      <c r="AA18" s="600">
        <f>IF(OR(A18="",AND(D18=0, E18=0)),"",SUM(LU!L44,LU!L143))</f>
        <v>42</v>
      </c>
      <c r="AB18" s="599">
        <f t="shared" si="6"/>
        <v>2.210526316</v>
      </c>
      <c r="AC18" s="597">
        <f t="shared" si="12"/>
        <v>2.210526316</v>
      </c>
      <c r="AD18" s="603">
        <f>IF(OR(A18="",F18=0,R$26="-",LU!$D$5=0),"",R18-R$26)</f>
        <v>4</v>
      </c>
      <c r="AE18" s="604">
        <f>IF(OR(A18="",F18=0,S$26="-",LU!$D$5=0),"",S18-S$26)</f>
        <v>19</v>
      </c>
      <c r="AF18" s="605">
        <f t="shared" si="7"/>
        <v>-15</v>
      </c>
      <c r="AG18" s="606" t="str">
        <f t="shared" si="8"/>
        <v/>
      </c>
      <c r="AH18" s="606" t="str">
        <f t="shared" si="9"/>
        <v/>
      </c>
      <c r="AI18" s="607">
        <f t="shared" si="10"/>
        <v>-1.465590112</v>
      </c>
      <c r="AJ18" s="606">
        <f t="shared" si="11"/>
        <v>-1.525295505</v>
      </c>
      <c r="AK18" s="610">
        <f>IF(OR($A18="",AC18="",AC$26="-",LU!$D$5=0),"",AC18-AC$26)</f>
        <v>-1.477473788</v>
      </c>
      <c r="AL18" s="609">
        <f>IF(OR(A18="",F18=0),"",SUM(PT!U27,PT!U28))</f>
        <v>3</v>
      </c>
      <c r="AM18" s="87"/>
    </row>
    <row r="19" ht="19.5" customHeight="1">
      <c r="A19" s="584" t="str">
        <f>IF(ISBLANK(IGRF!$B27),"",IGRF!$B27)</f>
        <v>949</v>
      </c>
      <c r="B19" s="585" t="str">
        <f>IF(ISBLANK(IGRF!$C27),"",IGRF!$C27)</f>
        <v>Coyote</v>
      </c>
      <c r="C19" s="586">
        <f>IF(A19="","",SUM(LU!O22,LU!O121))</f>
        <v>0</v>
      </c>
      <c r="D19" s="586">
        <f>IF(A19="","",SUM(LU!D22,LU!D121))</f>
        <v>0</v>
      </c>
      <c r="E19" s="587">
        <f>IF(A19="","",SUM(LU!J22,LU!J121))</f>
        <v>18</v>
      </c>
      <c r="F19" s="588">
        <f>IF(A19="","",(SUM(C19:E19)-(SUMPRODUCT(--(Lineups!C$4:C$41=A19),--(Lineups!A$4:A$41="SP"))+SUMPRODUCT(--(Lineups!G$4:G$41=A19),--(Lineups!A$4:A$41="SP"))+SUMPRODUCT(--(Lineups!C$46:C$83=A19),--(Lineups!A$46:A$83="SP"))+SUMPRODUCT(--(Lineups!G$46:G$83=A19),--(Lineups!A$46:A$83="SP")))))</f>
        <v>18</v>
      </c>
      <c r="G19" s="589">
        <f>IF(OR(A19="",F19=0,LU!D$3+LU!D$102=0),"",F19/(LU!D$3+LU!D$102))</f>
        <v>0.3829787234</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105</v>
      </c>
      <c r="S19" s="586">
        <f>IF(OR(A19="",F19=0),"",SUM(LU!Q91,LU!Q190))</f>
        <v>11</v>
      </c>
      <c r="T19" s="590">
        <f>IF(OR(A19="",F19=0),"",SUM(LU!Q45,LU!Q144))</f>
        <v>94</v>
      </c>
      <c r="U19" s="586" t="str">
        <f>IF(OR(A19="",C19=0),"",SUM(LU!O45,LU!O144))</f>
        <v/>
      </c>
      <c r="V19" s="599" t="str">
        <f t="shared" si="3"/>
        <v/>
      </c>
      <c r="W19" s="600" t="str">
        <f>IF(OR(A19="",D19=0),"",SUM(LU!D45,LU!D144))</f>
        <v/>
      </c>
      <c r="X19" s="599" t="str">
        <f t="shared" si="4"/>
        <v/>
      </c>
      <c r="Y19" s="600">
        <f>IF(OR(A19="",E19=0),"",SUM(LU!J45,LU!J144))</f>
        <v>94</v>
      </c>
      <c r="Z19" s="599">
        <f t="shared" si="5"/>
        <v>5.222222222</v>
      </c>
      <c r="AA19" s="600">
        <f>IF(OR(A19="",AND(D19=0, E19=0)),"",SUM(LU!L45,LU!L144))</f>
        <v>94</v>
      </c>
      <c r="AB19" s="599">
        <f t="shared" si="6"/>
        <v>5.222222222</v>
      </c>
      <c r="AC19" s="597">
        <f t="shared" si="12"/>
        <v>5.222222222</v>
      </c>
      <c r="AD19" s="603">
        <f>IF(OR(A19="",F19=0,R$26="-",LU!$D$5=0),"",R19-R$26)</f>
        <v>29</v>
      </c>
      <c r="AE19" s="604">
        <f>IF(OR(A19="",F19=0,S$26="-",LU!$D$5=0),"",S19-S$26)</f>
        <v>-8</v>
      </c>
      <c r="AF19" s="605">
        <f t="shared" si="7"/>
        <v>37</v>
      </c>
      <c r="AG19" s="606" t="str">
        <f t="shared" si="8"/>
        <v/>
      </c>
      <c r="AH19" s="606" t="str">
        <f t="shared" si="9"/>
        <v/>
      </c>
      <c r="AI19" s="607">
        <f t="shared" si="10"/>
        <v>1.546105795</v>
      </c>
      <c r="AJ19" s="606">
        <f t="shared" si="11"/>
        <v>1.486400402</v>
      </c>
      <c r="AK19" s="610">
        <f>IF(OR($A19="",AC19="",AC$26="-",LU!$D$5=0),"",AC19-AC$26)</f>
        <v>1.534222118</v>
      </c>
      <c r="AL19" s="609">
        <f>IF(OR(A19="",F19=0),"",SUM(PT!U29,PT!U30))</f>
        <v>1</v>
      </c>
      <c r="AM19" s="87"/>
    </row>
    <row r="20" ht="19.5" customHeight="1">
      <c r="A20" s="584" t="str">
        <f>IF(ISBLANK(IGRF!$B28),"",IGRF!$B28)</f>
        <v>99</v>
      </c>
      <c r="B20" s="585" t="str">
        <f>IF(ISBLANK(IGRF!$C28),"",IGRF!$C28)</f>
        <v>Chinaski</v>
      </c>
      <c r="C20" s="586">
        <f>IF(A20="","",SUM(LU!O23,LU!O122))</f>
        <v>0</v>
      </c>
      <c r="D20" s="586">
        <f>IF(A20="","",SUM(LU!D23,LU!D122))</f>
        <v>0</v>
      </c>
      <c r="E20" s="587">
        <f>IF(A20="","",SUM(LU!J23,LU!J122))</f>
        <v>24</v>
      </c>
      <c r="F20" s="588">
        <f>IF(A20="","",(SUM(C20:E20)-(SUMPRODUCT(--(Lineups!C$4:C$41=A20),--(Lineups!A$4:A$41="SP"))+SUMPRODUCT(--(Lineups!G$4:G$41=A20),--(Lineups!A$4:A$41="SP"))+SUMPRODUCT(--(Lineups!C$46:C$83=A20),--(Lineups!A$46:A$83="SP"))+SUMPRODUCT(--(Lineups!G$46:G$83=A20),--(Lineups!A$46:A$83="SP")))))</f>
        <v>24</v>
      </c>
      <c r="G20" s="589">
        <f>IF(OR(A20="",F20=0,LU!D$3+LU!D$102=0),"",F20/(LU!D$3+LU!D$102))</f>
        <v>0.5106382979</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107</v>
      </c>
      <c r="S20" s="586">
        <f>IF(OR(A20="",F20=0),"",SUM(LU!Q92,LU!Q191))</f>
        <v>46</v>
      </c>
      <c r="T20" s="590">
        <f>IF(OR(A20="",F20=0),"",SUM(LU!Q46,LU!Q145))</f>
        <v>61</v>
      </c>
      <c r="U20" s="586" t="str">
        <f>IF(OR(A20="",C20=0),"",SUM(LU!O46,LU!O145))</f>
        <v/>
      </c>
      <c r="V20" s="599" t="str">
        <f t="shared" si="3"/>
        <v/>
      </c>
      <c r="W20" s="600" t="str">
        <f>IF(OR(A20="",D20=0),"",SUM(LU!D46,LU!D145))</f>
        <v/>
      </c>
      <c r="X20" s="599" t="str">
        <f t="shared" si="4"/>
        <v/>
      </c>
      <c r="Y20" s="600">
        <f>IF(OR(A20="",E20=0),"",SUM(LU!J46,LU!J145))</f>
        <v>61</v>
      </c>
      <c r="Z20" s="599">
        <f t="shared" si="5"/>
        <v>2.541666667</v>
      </c>
      <c r="AA20" s="600">
        <f>IF(OR(A20="",AND(D20=0, E20=0)),"",SUM(LU!L46,LU!L145))</f>
        <v>61</v>
      </c>
      <c r="AB20" s="599">
        <f t="shared" si="6"/>
        <v>2.541666667</v>
      </c>
      <c r="AC20" s="597">
        <f t="shared" si="12"/>
        <v>2.541666667</v>
      </c>
      <c r="AD20" s="603">
        <f>IF(OR(A20="",F20=0,R$26="-",LU!$D$5=0),"",R20-R$26)</f>
        <v>31</v>
      </c>
      <c r="AE20" s="604">
        <f>IF(OR(A20="",F20=0,S$26="-",LU!$D$5=0),"",S20-S$26)</f>
        <v>27</v>
      </c>
      <c r="AF20" s="605">
        <f t="shared" si="7"/>
        <v>4</v>
      </c>
      <c r="AG20" s="606" t="str">
        <f t="shared" si="8"/>
        <v/>
      </c>
      <c r="AH20" s="606" t="str">
        <f t="shared" si="9"/>
        <v/>
      </c>
      <c r="AI20" s="607">
        <f t="shared" si="10"/>
        <v>-1.134449761</v>
      </c>
      <c r="AJ20" s="606">
        <f t="shared" si="11"/>
        <v>-1.194155154</v>
      </c>
      <c r="AK20" s="610">
        <f>IF(OR($A20="",AC20="",AC$26="-",LU!$D$5=0),"",AC20-AC$26)</f>
        <v>-1.146333438</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321</v>
      </c>
      <c r="B26" s="433"/>
      <c r="C26" s="618">
        <f t="shared" ref="C26:F26" si="13">SUM(C6:C25)</f>
        <v>48</v>
      </c>
      <c r="D26" s="618">
        <f t="shared" si="13"/>
        <v>47</v>
      </c>
      <c r="E26" s="618">
        <f t="shared" si="13"/>
        <v>141</v>
      </c>
      <c r="F26" s="618">
        <f t="shared" si="13"/>
        <v>235</v>
      </c>
      <c r="G26" s="619">
        <f>IF(COUNT(G6:G25)=0,"-",AVERAGE(G6:G25))</f>
        <v>0.3333333333</v>
      </c>
      <c r="H26" s="618">
        <f>SUM(H6:H25)</f>
        <v>228</v>
      </c>
      <c r="I26" s="620">
        <f>IF(LU!D3+LU!D102=0,"-",H26/(LU!D3+LU!D102))</f>
        <v>4.85106383</v>
      </c>
      <c r="J26" s="621">
        <f t="shared" ref="J26:N26" si="14">SUM(J6:J25)</f>
        <v>2</v>
      </c>
      <c r="K26" s="618">
        <f t="shared" si="14"/>
        <v>35</v>
      </c>
      <c r="L26" s="618">
        <f t="shared" si="14"/>
        <v>32</v>
      </c>
      <c r="M26" s="618">
        <f t="shared" si="14"/>
        <v>0</v>
      </c>
      <c r="N26" s="618">
        <f t="shared" si="14"/>
        <v>1</v>
      </c>
      <c r="O26" s="622">
        <f>IF(C26=0,"-",K26/(C26-N26))</f>
        <v>0.7446808511</v>
      </c>
      <c r="P26" s="623">
        <f>SUM(P6:P25)</f>
        <v>185</v>
      </c>
      <c r="Q26" s="624">
        <f t="shared" ref="Q26:AC26" si="15">IF(COUNT(Q6:Q25)=0,"-",AVERAGE(Q6:Q25))</f>
        <v>4.88471251</v>
      </c>
      <c r="R26" s="625">
        <f t="shared" si="15"/>
        <v>76</v>
      </c>
      <c r="S26" s="626">
        <f t="shared" si="15"/>
        <v>19</v>
      </c>
      <c r="T26" s="623">
        <f t="shared" si="15"/>
        <v>57</v>
      </c>
      <c r="U26" s="623">
        <f t="shared" si="15"/>
        <v>42.75</v>
      </c>
      <c r="V26" s="623">
        <f t="shared" si="15"/>
        <v>3.497666855</v>
      </c>
      <c r="W26" s="623">
        <f t="shared" si="15"/>
        <v>34.2</v>
      </c>
      <c r="X26" s="623">
        <f t="shared" si="15"/>
        <v>3.021111111</v>
      </c>
      <c r="Y26" s="623">
        <f t="shared" si="15"/>
        <v>46.63636364</v>
      </c>
      <c r="Z26" s="623">
        <f t="shared" si="15"/>
        <v>3.676116427</v>
      </c>
      <c r="AA26" s="623">
        <f t="shared" si="15"/>
        <v>62.18181818</v>
      </c>
      <c r="AB26" s="623">
        <f t="shared" si="15"/>
        <v>3.73582182</v>
      </c>
      <c r="AC26" s="623">
        <f t="shared" si="15"/>
        <v>3.688000104</v>
      </c>
      <c r="AD26" s="627" t="s">
        <v>322</v>
      </c>
      <c r="AE26" s="628" t="s">
        <v>322</v>
      </c>
      <c r="AF26" s="628" t="s">
        <v>322</v>
      </c>
      <c r="AG26" s="627" t="s">
        <v>322</v>
      </c>
      <c r="AH26" s="628" t="s">
        <v>322</v>
      </c>
      <c r="AI26" s="628" t="s">
        <v>322</v>
      </c>
      <c r="AJ26" s="628" t="s">
        <v>322</v>
      </c>
      <c r="AK26" s="629" t="s">
        <v>322</v>
      </c>
      <c r="AL26" s="617">
        <f>SUM(AL6:AM25)</f>
        <v>20</v>
      </c>
      <c r="AM26" s="46"/>
    </row>
    <row r="27" ht="63.75" customHeight="1">
      <c r="A27" s="539" t="s">
        <v>205</v>
      </c>
      <c r="B27" s="540" t="str">
        <f>Score!$T$1</f>
        <v>Rose City Rollers / Rose City Rollers: Axles of Annihilation</v>
      </c>
      <c r="C27" s="541" t="s">
        <v>288</v>
      </c>
      <c r="D27" s="542" t="s">
        <v>289</v>
      </c>
      <c r="E27" s="542" t="s">
        <v>290</v>
      </c>
      <c r="F27" s="543" t="s">
        <v>208</v>
      </c>
      <c r="G27" s="544" t="s">
        <v>291</v>
      </c>
      <c r="H27" s="545" t="s">
        <v>292</v>
      </c>
      <c r="I27" s="546" t="s">
        <v>293</v>
      </c>
      <c r="J27" s="547" t="s">
        <v>184</v>
      </c>
      <c r="K27" s="548" t="s">
        <v>185</v>
      </c>
      <c r="L27" s="548" t="s">
        <v>294</v>
      </c>
      <c r="M27" s="548" t="s">
        <v>295</v>
      </c>
      <c r="N27" s="548" t="s">
        <v>296</v>
      </c>
      <c r="O27" s="548" t="s">
        <v>297</v>
      </c>
      <c r="P27" s="548" t="s">
        <v>298</v>
      </c>
      <c r="Q27" s="549" t="s">
        <v>299</v>
      </c>
      <c r="R27" s="541" t="s">
        <v>300</v>
      </c>
      <c r="S27" s="548" t="s">
        <v>301</v>
      </c>
      <c r="T27" s="545" t="s">
        <v>302</v>
      </c>
      <c r="U27" s="541" t="s">
        <v>303</v>
      </c>
      <c r="V27" s="541" t="s">
        <v>304</v>
      </c>
      <c r="W27" s="550" t="s">
        <v>305</v>
      </c>
      <c r="X27" s="542" t="s">
        <v>306</v>
      </c>
      <c r="Y27" s="551" t="s">
        <v>307</v>
      </c>
      <c r="Z27" s="542" t="s">
        <v>308</v>
      </c>
      <c r="AA27" s="551" t="s">
        <v>309</v>
      </c>
      <c r="AB27" s="542" t="s">
        <v>310</v>
      </c>
      <c r="AC27" s="552" t="s">
        <v>311</v>
      </c>
      <c r="AD27" s="553" t="s">
        <v>312</v>
      </c>
      <c r="AE27" s="553" t="s">
        <v>313</v>
      </c>
      <c r="AF27" s="554" t="s">
        <v>314</v>
      </c>
      <c r="AG27" s="555" t="s">
        <v>315</v>
      </c>
      <c r="AH27" s="555" t="s">
        <v>316</v>
      </c>
      <c r="AI27" s="555" t="s">
        <v>317</v>
      </c>
      <c r="AJ27" s="555" t="s">
        <v>318</v>
      </c>
      <c r="AK27" s="556" t="s">
        <v>319</v>
      </c>
      <c r="AL27" s="557" t="s">
        <v>320</v>
      </c>
      <c r="AM27" s="46"/>
    </row>
    <row r="28" ht="19.5" customHeight="1">
      <c r="A28" s="558" t="str">
        <f>IF(ISBLANK(IGRF!$I14),"",IGRF!$I14)</f>
        <v>11</v>
      </c>
      <c r="B28" s="559" t="str">
        <f>IF(ISBLANK(IGRF!$J14),"",IGRF!$J14)</f>
        <v>Bertha Beatdown</v>
      </c>
      <c r="C28" s="560">
        <f>IF(A28="","",SUM(LU!AH9,LU!AH108))</f>
        <v>0</v>
      </c>
      <c r="D28" s="560">
        <f>IF(A28="","",SUM(LU!W9,LU!W108))</f>
        <v>1</v>
      </c>
      <c r="E28" s="560">
        <f>IF(A28="","",SUM(LU!AC9,LU!AC108))</f>
        <v>15</v>
      </c>
      <c r="F28" s="611">
        <f>IF(A28="","",(SUM(C28:E28)-(SUMPRODUCT(--(Lineups!AC$4:AC$41=A28),--(Lineups!AA$4:AA$41="SP"))+SUMPRODUCT(--(Lineups!AG$4:AG$41=A28),--(Lineups!AA$4:AA$41="SP"))+SUMPRODUCT(--(Lineups!AC$46:AC$83=A28),--(Lineups!AA$46:AA$83="SP"))+SUMPRODUCT(--(Lineups!AG$46:AG$83=A28),--(Lineups!AA$46:AA$83="SP")))))</f>
        <v>16</v>
      </c>
      <c r="G28" s="562">
        <f>IF(OR(A28="",F28=0,LU!D$3+LU!D$102=0),"",F28/(LU!D$3+LU!D$102))</f>
        <v>0.3404255319</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11</v>
      </c>
      <c r="S28" s="560">
        <f>IF(OR(A28="",F28=0),"",SUM(LU!AJ78,LU!AJ177))</f>
        <v>66</v>
      </c>
      <c r="T28" s="563">
        <f>IF(OR(A28="",F28=0),"",SUM(LU!AJ32,LU!AJ131))</f>
        <v>-55</v>
      </c>
      <c r="U28" s="560" t="str">
        <f>IF(OR(A28="",C28=0),"",SUM(LU!AH32,LU!AH131))</f>
        <v/>
      </c>
      <c r="V28" s="572" t="str">
        <f t="shared" ref="V28:V47" si="18">IF(OR(A28="",C28=0),"",U28/C28)</f>
        <v/>
      </c>
      <c r="W28" s="573">
        <f>IF(OR(A28="",D28=0),"",SUM(LU!W32,LU!W131))</f>
        <v>-4</v>
      </c>
      <c r="X28" s="572">
        <f t="shared" ref="X28:X47" si="19">IF(OR(A28="",D28=0),"",W28/D28)</f>
        <v>-4</v>
      </c>
      <c r="Y28" s="573">
        <f>IF(OR(A28="",E28=0),"",SUM(LU!AC32,LU!AC131))</f>
        <v>-51</v>
      </c>
      <c r="Z28" s="572">
        <f t="shared" ref="Z28:Z47" si="20">IF(OR(A28="",E28=0),"",Y28/E28)</f>
        <v>-3.4</v>
      </c>
      <c r="AA28" s="574">
        <f>IF(OR(A28="",AND(D28=0, E28=0)),"",SUM(LU!AE32,LU!AE131))</f>
        <v>-55</v>
      </c>
      <c r="AB28" s="575">
        <f t="shared" ref="AB28:AB47" si="21">IF(OR(A28="",AND(D28=0, E28=0)),"",AA28/(D28+E28))</f>
        <v>-3.4375</v>
      </c>
      <c r="AC28" s="570">
        <f t="shared" ref="AC28:AC47" si="22">IF(OR(A28="",F28="",F28=0),"",T28/F28)</f>
        <v>-3.4375</v>
      </c>
      <c r="AD28" s="576">
        <f>IF(OR(A28="",F28=0,R$48="-",LU!$W$5=0),"",R28-R$48)</f>
        <v>-8</v>
      </c>
      <c r="AE28" s="577">
        <f>IF(OR(A28="",F28=0,S$48="-",LU!$W$5=0),"",S28-S$48)</f>
        <v>-10</v>
      </c>
      <c r="AF28" s="578">
        <f t="shared" ref="AF28:AF47" si="23">IF(OR(A28="",F28=0,AD28=""),"",AD28-AE28)</f>
        <v>2</v>
      </c>
      <c r="AG28" s="579" t="str">
        <f t="shared" ref="AG28:AG47" si="24">IF(OR($A28="",C28=0),"",V28-V$48)</f>
        <v/>
      </c>
      <c r="AH28" s="579">
        <f t="shared" ref="AH28:AH47" si="25">IF(OR($A28="",D28=0),"",X28-X$48)</f>
        <v>-1.383297258</v>
      </c>
      <c r="AI28" s="580">
        <f t="shared" ref="AI28:AI47" si="26">IF(OR($A28="",E28=0),"",Z28-Z$48)</f>
        <v>0.4621206725</v>
      </c>
      <c r="AJ28" s="581">
        <f t="shared" ref="AJ28:AJ47" si="27">IF(OR($A28="",AND(D28=0, E28=0)),"",AB28-AB$48)</f>
        <v>-0.02745957746</v>
      </c>
      <c r="AK28" s="582">
        <f>IF(OR($A28="",AC28="",AC$48="-",LU!$W$5=0),"",AC28-AC$48)</f>
        <v>0.7597288514</v>
      </c>
      <c r="AL28" s="583">
        <f>IF(OR(A28="",F28=0),"",SUM(PT!U56,PT!U57))</f>
        <v>1</v>
      </c>
      <c r="AM28" s="50"/>
    </row>
    <row r="29" ht="19.5" customHeight="1">
      <c r="A29" s="584" t="str">
        <f>IF(ISBLANK(IGRF!$I15),"",IGRF!$I15)</f>
        <v>128</v>
      </c>
      <c r="B29" s="585" t="str">
        <f>IF(ISBLANK(IGRF!$J15),"",IGRF!$J15)</f>
        <v>Carl</v>
      </c>
      <c r="C29" s="586">
        <f>IF(A29="","",SUM(LU!AH10,LU!AH109))</f>
        <v>0</v>
      </c>
      <c r="D29" s="586">
        <f>IF(A29="","",SUM(LU!W10,LU!W109))</f>
        <v>0</v>
      </c>
      <c r="E29" s="587">
        <f>IF(A29="","",SUM(LU!AC10,LU!AC109))</f>
        <v>8</v>
      </c>
      <c r="F29" s="588">
        <f>IF(A29="","",(SUM(C29:E29)-(SUMPRODUCT(--(Lineups!AC$4:AC$41=A29),--(Lineups!AA$4:AA$41="SP"))+SUMPRODUCT(--(Lineups!AG$4:AG$41=A29),--(Lineups!AA$4:AA$41="SP"))+SUMPRODUCT(--(Lineups!AC$46:AC$83=A29),--(Lineups!AA$46:AA$83="SP"))+SUMPRODUCT(--(Lineups!AG$46:AG$83=A29),--(Lineups!AA$46:AA$83="SP")))))</f>
        <v>8</v>
      </c>
      <c r="G29" s="589">
        <f>IF(OR(A29="",F29=0,LU!D$3+LU!D$102=0),"",F29/(LU!D$3+LU!D$102))</f>
        <v>0.170212766</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v>
      </c>
      <c r="S29" s="586">
        <f>IF(OR(A29="",F29=0),"",SUM(LU!AJ79,LU!AJ178))</f>
        <v>41</v>
      </c>
      <c r="T29" s="590">
        <f>IF(OR(A29="",F29=0),"",SUM(LU!AJ33,LU!AJ132))</f>
        <v>-37</v>
      </c>
      <c r="U29" s="586" t="str">
        <f>IF(OR(A29="",C29=0),"",SUM(LU!AH33,LU!AH132))</f>
        <v/>
      </c>
      <c r="V29" s="599" t="str">
        <f t="shared" si="18"/>
        <v/>
      </c>
      <c r="W29" s="600" t="str">
        <f>IF(OR(A29="",D29=0),"",SUM(LU!W33,LU!W132))</f>
        <v/>
      </c>
      <c r="X29" s="599" t="str">
        <f t="shared" si="19"/>
        <v/>
      </c>
      <c r="Y29" s="600">
        <f>IF(OR(A29="",E29=0),"",SUM(LU!AC33,LU!AC132))</f>
        <v>-37</v>
      </c>
      <c r="Z29" s="599">
        <f t="shared" si="20"/>
        <v>-4.625</v>
      </c>
      <c r="AA29" s="600">
        <f>IF(OR(A29="",AND(D29=0, E29=0)),"",SUM(LU!AE33,LU!AE132))</f>
        <v>-37</v>
      </c>
      <c r="AB29" s="599">
        <f t="shared" si="21"/>
        <v>-4.625</v>
      </c>
      <c r="AC29" s="597">
        <f t="shared" si="22"/>
        <v>-4.625</v>
      </c>
      <c r="AD29" s="603">
        <f>IF(OR(A29="",F29=0,R$48="-",LU!$W$5=0),"",R29-R$48)</f>
        <v>-15</v>
      </c>
      <c r="AE29" s="604">
        <f>IF(OR(A29="",F29=0,S$48="-",LU!$W$5=0),"",S29-S$48)</f>
        <v>-35</v>
      </c>
      <c r="AF29" s="605">
        <f t="shared" si="23"/>
        <v>20</v>
      </c>
      <c r="AG29" s="606" t="str">
        <f t="shared" si="24"/>
        <v/>
      </c>
      <c r="AH29" s="606" t="str">
        <f t="shared" si="25"/>
        <v/>
      </c>
      <c r="AI29" s="607">
        <f t="shared" si="26"/>
        <v>-0.7628793275</v>
      </c>
      <c r="AJ29" s="606">
        <f t="shared" si="27"/>
        <v>-1.214959577</v>
      </c>
      <c r="AK29" s="610">
        <f>IF(OR($A29="",AC29="",AC$48="-",LU!$W$5=0),"",AC29-AC$48)</f>
        <v>-0.4277711486</v>
      </c>
      <c r="AL29" s="609">
        <f>IF(OR(A29="",F29=0),"",SUM(PT!U58,PT!U59))</f>
        <v>2</v>
      </c>
      <c r="AM29" s="87"/>
    </row>
    <row r="30" ht="19.5" customHeight="1">
      <c r="A30" s="584" t="str">
        <f>IF(ISBLANK(IGRF!$I16),"",IGRF!$I16)</f>
        <v>139</v>
      </c>
      <c r="B30" s="585" t="str">
        <f>IF(ISBLANK(IGRF!$J16),"",IGRF!$J16)</f>
        <v>Katie Postma</v>
      </c>
      <c r="C30" s="586">
        <f>IF(A30="","",SUM(LU!AH11,LU!AH110))</f>
        <v>1</v>
      </c>
      <c r="D30" s="586">
        <f>IF(A30="","",SUM(LU!W11,LU!W110))</f>
        <v>9</v>
      </c>
      <c r="E30" s="587">
        <f>IF(A30="","",SUM(LU!AC11,LU!AC110))</f>
        <v>2</v>
      </c>
      <c r="F30" s="588">
        <f>IF(A30="","",(SUM(C30:E30)-(SUMPRODUCT(--(Lineups!AC$4:AC$41=A30),--(Lineups!AA$4:AA$41="SP"))+SUMPRODUCT(--(Lineups!AG$4:AG$41=A30),--(Lineups!AA$4:AA$41="SP"))+SUMPRODUCT(--(Lineups!AC$46:AC$83=A30),--(Lineups!AA$46:AA$83="SP"))+SUMPRODUCT(--(Lineups!AG$46:AG$83=A30),--(Lineups!AA$46:AA$83="SP")))))</f>
        <v>11</v>
      </c>
      <c r="G30" s="589">
        <f>IF(OR(A30="",F30=0,LU!D$3+LU!D$102=0),"",F30/(LU!D$3+LU!D$102))</f>
        <v>0.2340425532</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1</v>
      </c>
      <c r="O30" s="595" t="str">
        <f t="shared" si="16"/>
        <v/>
      </c>
      <c r="P30" s="596">
        <f>IF(OR(A30="",C30=0),"",SK!Y180)</f>
        <v>0</v>
      </c>
      <c r="Q30" s="597" t="str">
        <f t="shared" si="17"/>
        <v/>
      </c>
      <c r="R30" s="598">
        <f>IF(OR(A30="",F30=0),"",SUM(LU!AJ57,LU!AJ156))</f>
        <v>12</v>
      </c>
      <c r="S30" s="586">
        <f>IF(OR(A30="",F30=0),"",SUM(LU!AJ80,LU!AJ179))</f>
        <v>54</v>
      </c>
      <c r="T30" s="590">
        <f>IF(OR(A30="",F30=0),"",SUM(LU!AJ34,LU!AJ133))</f>
        <v>-42</v>
      </c>
      <c r="U30" s="586">
        <f>IF(OR(A30="",C30=0),"",SUM(LU!AH34,LU!AH133))</f>
        <v>0</v>
      </c>
      <c r="V30" s="599">
        <f t="shared" si="18"/>
        <v>0</v>
      </c>
      <c r="W30" s="600">
        <f>IF(OR(A30="",D30=0),"",SUM(LU!W34,LU!W133))</f>
        <v>-38</v>
      </c>
      <c r="X30" s="599">
        <f t="shared" si="19"/>
        <v>-4.222222222</v>
      </c>
      <c r="Y30" s="600">
        <f>IF(OR(A30="",E30=0),"",SUM(LU!AC34,LU!AC133))</f>
        <v>-4</v>
      </c>
      <c r="Z30" s="599">
        <f t="shared" si="20"/>
        <v>-2</v>
      </c>
      <c r="AA30" s="600">
        <f>IF(OR(A30="",AND(D30=0, E30=0)),"",SUM(LU!AE34,LU!AE133))</f>
        <v>-42</v>
      </c>
      <c r="AB30" s="599">
        <f t="shared" si="21"/>
        <v>-3.818181818</v>
      </c>
      <c r="AC30" s="597">
        <f t="shared" si="22"/>
        <v>-3.818181818</v>
      </c>
      <c r="AD30" s="603">
        <f>IF(OR(A30="",F30=0,R$48="-",LU!$W$5=0),"",R30-R$48)</f>
        <v>-7</v>
      </c>
      <c r="AE30" s="604">
        <f>IF(OR(A30="",F30=0,S$48="-",LU!$W$5=0),"",S30-S$48)</f>
        <v>-22</v>
      </c>
      <c r="AF30" s="605">
        <f t="shared" si="23"/>
        <v>15</v>
      </c>
      <c r="AG30" s="606">
        <f t="shared" si="24"/>
        <v>4.733766234</v>
      </c>
      <c r="AH30" s="606">
        <f t="shared" si="25"/>
        <v>-1.605519481</v>
      </c>
      <c r="AI30" s="607">
        <f t="shared" si="26"/>
        <v>1.862120673</v>
      </c>
      <c r="AJ30" s="606">
        <f t="shared" si="27"/>
        <v>-0.4081413956</v>
      </c>
      <c r="AK30" s="610">
        <f>IF(OR($A30="",AC30="",AC$48="-",LU!$W$5=0),"",AC30-AC$48)</f>
        <v>0.3790470332</v>
      </c>
      <c r="AL30" s="609">
        <f>IF(OR(A30="",F30=0),"",SUM(PT!U60,PT!U61))</f>
        <v>0</v>
      </c>
      <c r="AM30" s="87"/>
    </row>
    <row r="31" ht="19.5" customHeight="1">
      <c r="A31" s="584" t="str">
        <f>IF(ISBLANK(IGRF!$I17),"",IGRF!$I17)</f>
        <v>22</v>
      </c>
      <c r="B31" s="585" t="str">
        <f>IF(ISBLANK(IGRF!$J17),"",IGRF!$J17)</f>
        <v>Habanero Romero</v>
      </c>
      <c r="C31" s="586">
        <f>IF(A31="","",SUM(LU!AH12,LU!AH111))</f>
        <v>0</v>
      </c>
      <c r="D31" s="586">
        <f>IF(A31="","",SUM(LU!W12,LU!W111))</f>
        <v>11</v>
      </c>
      <c r="E31" s="587">
        <f>IF(A31="","",SUM(LU!AC12,LU!AC111))</f>
        <v>13</v>
      </c>
      <c r="F31" s="588">
        <f>IF(A31="","",(SUM(C31:E31)-(SUMPRODUCT(--(Lineups!AC$4:AC$41=A31),--(Lineups!AA$4:AA$41="SP"))+SUMPRODUCT(--(Lineups!AG$4:AG$41=A31),--(Lineups!AA$4:AA$41="SP"))+SUMPRODUCT(--(Lineups!AC$46:AC$83=A31),--(Lineups!AA$46:AA$83="SP"))+SUMPRODUCT(--(Lineups!AG$46:AG$83=A31),--(Lineups!AA$46:AA$83="SP")))))</f>
        <v>24</v>
      </c>
      <c r="G31" s="589">
        <f>IF(OR(A31="",F31=0,LU!D$3+LU!D$102=0),"",F31/(LU!D$3+LU!D$102))</f>
        <v>0.5106382979</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23</v>
      </c>
      <c r="S31" s="586">
        <f>IF(OR(A31="",F31=0),"",SUM(LU!AJ81,LU!AJ180))</f>
        <v>116</v>
      </c>
      <c r="T31" s="590">
        <f>IF(OR(A31="",F31=0),"",SUM(LU!AJ35,LU!AJ134))</f>
        <v>-93</v>
      </c>
      <c r="U31" s="586" t="str">
        <f>IF(OR(A31="",C31=0),"",SUM(LU!AH35,LU!AH134))</f>
        <v/>
      </c>
      <c r="V31" s="599" t="str">
        <f t="shared" si="18"/>
        <v/>
      </c>
      <c r="W31" s="600">
        <f>IF(OR(A31="",D31=0),"",SUM(LU!W35,LU!W134))</f>
        <v>-40</v>
      </c>
      <c r="X31" s="599">
        <f t="shared" si="19"/>
        <v>-3.636363636</v>
      </c>
      <c r="Y31" s="600">
        <f>IF(OR(A31="",E31=0),"",SUM(LU!AC35,LU!AC134))</f>
        <v>-53</v>
      </c>
      <c r="Z31" s="599">
        <f t="shared" si="20"/>
        <v>-4.076923077</v>
      </c>
      <c r="AA31" s="600">
        <f>IF(OR(A31="",AND(D31=0, E31=0)),"",SUM(LU!AE35,LU!AE134))</f>
        <v>-93</v>
      </c>
      <c r="AB31" s="599">
        <f t="shared" si="21"/>
        <v>-3.875</v>
      </c>
      <c r="AC31" s="597">
        <f t="shared" si="22"/>
        <v>-3.875</v>
      </c>
      <c r="AD31" s="603">
        <f>IF(OR(A31="",F31=0,R$48="-",LU!$W$5=0),"",R31-R$48)</f>
        <v>4</v>
      </c>
      <c r="AE31" s="604">
        <f>IF(OR(A31="",F31=0,S$48="-",LU!$W$5=0),"",S31-S$48)</f>
        <v>40</v>
      </c>
      <c r="AF31" s="605">
        <f t="shared" si="23"/>
        <v>-36</v>
      </c>
      <c r="AG31" s="606" t="str">
        <f t="shared" si="24"/>
        <v/>
      </c>
      <c r="AH31" s="606">
        <f t="shared" si="25"/>
        <v>-1.019660895</v>
      </c>
      <c r="AI31" s="607">
        <f t="shared" si="26"/>
        <v>-0.2148024044</v>
      </c>
      <c r="AJ31" s="606">
        <f t="shared" si="27"/>
        <v>-0.4649595775</v>
      </c>
      <c r="AK31" s="610">
        <f>IF(OR($A31="",AC31="",AC$48="-",LU!$W$5=0),"",AC31-AC$48)</f>
        <v>0.3222288514</v>
      </c>
      <c r="AL31" s="609">
        <f>IF(OR(A31="",F31=0),"",SUM(PT!U62,PT!U63))</f>
        <v>5</v>
      </c>
      <c r="AM31" s="87"/>
    </row>
    <row r="32" ht="19.5" customHeight="1">
      <c r="A32" s="584" t="str">
        <f>IF(ISBLANK(IGRF!$I18),"",IGRF!$I18)</f>
        <v>241</v>
      </c>
      <c r="B32" s="585" t="str">
        <f>IF(ISBLANK(IGRF!$J18),"",IGRF!$J18)</f>
        <v>Lilly Pate</v>
      </c>
      <c r="C32" s="586">
        <f>IF(A32="","",SUM(LU!AH13,LU!AH112))</f>
        <v>0</v>
      </c>
      <c r="D32" s="586">
        <f>IF(A32="","",SUM(LU!W13,LU!W112))</f>
        <v>0</v>
      </c>
      <c r="E32" s="587">
        <f>IF(A32="","",SUM(LU!AC13,LU!AC112))</f>
        <v>27</v>
      </c>
      <c r="F32" s="588">
        <f>IF(A32="","",(SUM(C32:E32)-(SUMPRODUCT(--(Lineups!AC$4:AC$41=A32),--(Lineups!AA$4:AA$41="SP"))+SUMPRODUCT(--(Lineups!AG$4:AG$41=A32),--(Lineups!AA$4:AA$41="SP"))+SUMPRODUCT(--(Lineups!AC$46:AC$83=A32),--(Lineups!AA$46:AA$83="SP"))+SUMPRODUCT(--(Lineups!AG$46:AG$83=A32),--(Lineups!AA$46:AA$83="SP")))))</f>
        <v>27</v>
      </c>
      <c r="G32" s="589">
        <f>IF(OR(A32="",F32=0,LU!D$3+LU!D$102=0),"",F32/(LU!D$3+LU!D$102))</f>
        <v>0.5744680851</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40</v>
      </c>
      <c r="S32" s="586">
        <f>IF(OR(A32="",F32=0),"",SUM(LU!AJ82,LU!AJ181))</f>
        <v>137</v>
      </c>
      <c r="T32" s="590">
        <f>IF(OR(A32="",F32=0),"",SUM(LU!AJ36,LU!AJ135))</f>
        <v>-97</v>
      </c>
      <c r="U32" s="586" t="str">
        <f>IF(OR(A32="",C32=0),"",SUM(LU!AH36,LU!AH135))</f>
        <v/>
      </c>
      <c r="V32" s="599" t="str">
        <f t="shared" si="18"/>
        <v/>
      </c>
      <c r="W32" s="600" t="str">
        <f>IF(OR(A32="",D32=0),"",SUM(LU!W36,LU!W135))</f>
        <v/>
      </c>
      <c r="X32" s="599" t="str">
        <f t="shared" si="19"/>
        <v/>
      </c>
      <c r="Y32" s="600">
        <f>IF(OR(A32="",E32=0),"",SUM(LU!AC36,LU!AC135))</f>
        <v>-97</v>
      </c>
      <c r="Z32" s="599">
        <f t="shared" si="20"/>
        <v>-3.592592593</v>
      </c>
      <c r="AA32" s="600">
        <f>IF(OR(A32="",AND(D32=0, E32=0)),"",SUM(LU!AE36,LU!AE135))</f>
        <v>-97</v>
      </c>
      <c r="AB32" s="599">
        <f t="shared" si="21"/>
        <v>-3.592592593</v>
      </c>
      <c r="AC32" s="597">
        <f t="shared" si="22"/>
        <v>-3.592592593</v>
      </c>
      <c r="AD32" s="603">
        <f>IF(OR(A32="",F32=0,R$48="-",LU!$W$5=0),"",R32-R$48)</f>
        <v>21</v>
      </c>
      <c r="AE32" s="604">
        <f>IF(OR(A32="",F32=0,S$48="-",LU!$W$5=0),"",S32-S$48)</f>
        <v>61</v>
      </c>
      <c r="AF32" s="605">
        <f t="shared" si="23"/>
        <v>-40</v>
      </c>
      <c r="AG32" s="606" t="str">
        <f t="shared" si="24"/>
        <v/>
      </c>
      <c r="AH32" s="606" t="str">
        <f t="shared" si="25"/>
        <v/>
      </c>
      <c r="AI32" s="607">
        <f t="shared" si="26"/>
        <v>0.2695280799</v>
      </c>
      <c r="AJ32" s="606">
        <f t="shared" si="27"/>
        <v>-0.1825521701</v>
      </c>
      <c r="AK32" s="610">
        <f>IF(OR($A32="",AC32="",AC$48="-",LU!$W$5=0),"",AC32-AC$48)</f>
        <v>0.6046362588</v>
      </c>
      <c r="AL32" s="609">
        <f>IF(OR(A32="",F32=0),"",SUM(PT!U64,PT!U65))</f>
        <v>4</v>
      </c>
      <c r="AM32" s="87"/>
    </row>
    <row r="33" ht="19.5" customHeight="1">
      <c r="A33" s="584" t="str">
        <f>IF(ISBLANK(IGRF!$I19),"",IGRF!$I19)</f>
        <v>316</v>
      </c>
      <c r="B33" s="585" t="str">
        <f>IF(ISBLANK(IGRF!$J19),"",IGRF!$J19)</f>
        <v>Eve Anne Hellical</v>
      </c>
      <c r="C33" s="586">
        <f>IF(A33="","",SUM(LU!AH14,LU!AH113))</f>
        <v>11</v>
      </c>
      <c r="D33" s="586">
        <f>IF(A33="","",SUM(LU!W14,LU!W113))</f>
        <v>1</v>
      </c>
      <c r="E33" s="587">
        <f>IF(A33="","",SUM(LU!AC14,LU!AC113))</f>
        <v>0</v>
      </c>
      <c r="F33" s="588">
        <f>IF(A33="","",(SUM(C33:E33)-(SUMPRODUCT(--(Lineups!AC$4:AC$41=A33),--(Lineups!AA$4:AA$41="SP"))+SUMPRODUCT(--(Lineups!AG$4:AG$41=A33),--(Lineups!AA$4:AA$41="SP"))+SUMPRODUCT(--(Lineups!AC$46:AC$83=A33),--(Lineups!AA$46:AA$83="SP"))+SUMPRODUCT(--(Lineups!AG$46:AG$83=A33),--(Lineups!AA$46:AA$83="SP")))))</f>
        <v>11</v>
      </c>
      <c r="G33" s="589">
        <f>IF(OR(A33="",F33=0,LU!D$3+LU!D$102=0),"",F33/(LU!D$3+LU!D$102))</f>
        <v>0.2340425532</v>
      </c>
      <c r="H33" s="590">
        <f>IF(OR(C33=0,A33=""),"",SK!T189)</f>
        <v>9</v>
      </c>
      <c r="I33" s="591">
        <f>IF(OR(A33="",SK!U189="",SK!U189=0),"",H33/SK!U189)</f>
        <v>0.8181818182</v>
      </c>
      <c r="J33" s="592">
        <f>IF(OR(C33=0,A33=""),"",SK!W189)</f>
        <v>1</v>
      </c>
      <c r="K33" s="593">
        <f>IF(OR(C33=0,A33=""),"",SK!X189)</f>
        <v>2</v>
      </c>
      <c r="L33" s="594">
        <f>IF(OR(C33=0,A33=""),"",SK!Z189)</f>
        <v>2</v>
      </c>
      <c r="M33" s="594">
        <f>IF(OR(C33=0,A33=""),"",SK!AB189)</f>
        <v>2</v>
      </c>
      <c r="N33" s="594">
        <f>IF(OR(A33="",C33=0),"",SUMPRODUCT(--(Lineups!$AA$4:$AA$41="SP"),--(Lineups!$AC$4:$AC$41=A33))+SUMPRODUCT(--(Lineups!$AA$46:$AA$83="SP"),--(Lineups!$AC$46:$AC$83=A33)))</f>
        <v>0</v>
      </c>
      <c r="O33" s="595">
        <f t="shared" si="16"/>
        <v>0.1818181818</v>
      </c>
      <c r="P33" s="596">
        <f>IF(OR(A33="",C33=0),"",SK!Y189)</f>
        <v>7</v>
      </c>
      <c r="Q33" s="597">
        <f t="shared" si="17"/>
        <v>3.5</v>
      </c>
      <c r="R33" s="598">
        <f>IF(OR(A33="",F33=0),"",SUM(LU!AJ60,LU!AJ159))</f>
        <v>9</v>
      </c>
      <c r="S33" s="586">
        <f>IF(OR(A33="",F33=0),"",SUM(LU!AJ83,LU!AJ182))</f>
        <v>48</v>
      </c>
      <c r="T33" s="590">
        <f>IF(OR(A33="",F33=0),"",SUM(LU!AJ37,LU!AJ136))</f>
        <v>-39</v>
      </c>
      <c r="U33" s="586">
        <f>IF(OR(A33="",C33=0),"",SUM(LU!AH37,LU!AH136))</f>
        <v>-39</v>
      </c>
      <c r="V33" s="599">
        <f t="shared" si="18"/>
        <v>-3.545454545</v>
      </c>
      <c r="W33" s="600">
        <f>IF(OR(A33="",D33=0),"",SUM(LU!W37,LU!W136))</f>
        <v>0</v>
      </c>
      <c r="X33" s="599">
        <f t="shared" si="19"/>
        <v>0</v>
      </c>
      <c r="Y33" s="600" t="str">
        <f>IF(OR(A33="",E33=0),"",SUM(LU!AC37,LU!AC136))</f>
        <v/>
      </c>
      <c r="Z33" s="599" t="str">
        <f t="shared" si="20"/>
        <v/>
      </c>
      <c r="AA33" s="600">
        <f>IF(OR(A33="",AND(D33=0, E33=0)),"",SUM(LU!AE37,LU!AE136))</f>
        <v>0</v>
      </c>
      <c r="AB33" s="599">
        <f t="shared" si="21"/>
        <v>0</v>
      </c>
      <c r="AC33" s="597">
        <f t="shared" si="22"/>
        <v>-3.545454545</v>
      </c>
      <c r="AD33" s="603">
        <f>IF(OR(A33="",F33=0,R$48="-",LU!$W$5=0),"",R33-R$48)</f>
        <v>-10</v>
      </c>
      <c r="AE33" s="604">
        <f>IF(OR(A33="",F33=0,S$48="-",LU!$W$5=0),"",S33-S$48)</f>
        <v>-28</v>
      </c>
      <c r="AF33" s="605">
        <f t="shared" si="23"/>
        <v>18</v>
      </c>
      <c r="AG33" s="606">
        <f t="shared" si="24"/>
        <v>1.188311688</v>
      </c>
      <c r="AH33" s="606">
        <f t="shared" si="25"/>
        <v>2.616702742</v>
      </c>
      <c r="AI33" s="607" t="str">
        <f t="shared" si="26"/>
        <v/>
      </c>
      <c r="AJ33" s="606">
        <f t="shared" si="27"/>
        <v>3.410040423</v>
      </c>
      <c r="AK33" s="610">
        <f>IF(OR($A33="",AC33="",AC$48="-",LU!$W$5=0),"",AC33-AC$48)</f>
        <v>0.6517743059</v>
      </c>
      <c r="AL33" s="609">
        <f>IF(OR(A33="",F33=0),"",SUM(PT!U66,PT!U67))</f>
        <v>0</v>
      </c>
      <c r="AM33" s="87"/>
    </row>
    <row r="34" ht="19.5" customHeight="1">
      <c r="A34" s="584" t="str">
        <f>IF(ISBLANK(IGRF!$I20),"",IGRF!$I20)</f>
        <v>343</v>
      </c>
      <c r="B34" s="585" t="str">
        <f>IF(ISBLANK(IGRF!$J20),"",IGRF!$J20)</f>
        <v>Trinity</v>
      </c>
      <c r="C34" s="586">
        <f>IF(A34="","",SUM(LU!AH15,LU!AH114))</f>
        <v>11</v>
      </c>
      <c r="D34" s="586">
        <f>IF(A34="","",SUM(LU!W15,LU!W114))</f>
        <v>1</v>
      </c>
      <c r="E34" s="587">
        <f>IF(A34="","",SUM(LU!AC15,LU!AC114))</f>
        <v>1</v>
      </c>
      <c r="F34" s="588">
        <f>IF(A34="","",(SUM(C34:E34)-(SUMPRODUCT(--(Lineups!AC$4:AC$41=A34),--(Lineups!AA$4:AA$41="SP"))+SUMPRODUCT(--(Lineups!AG$4:AG$41=A34),--(Lineups!AA$4:AA$41="SP"))+SUMPRODUCT(--(Lineups!AC$46:AC$83=A34),--(Lineups!AA$46:AA$83="SP"))+SUMPRODUCT(--(Lineups!AG$46:AG$83=A34),--(Lineups!AA$46:AA$83="SP")))))</f>
        <v>13</v>
      </c>
      <c r="G34" s="589">
        <f>IF(OR(A34="",F34=0,LU!D$3+LU!D$102=0),"",F34/(LU!D$3+LU!D$102))</f>
        <v>0.2765957447</v>
      </c>
      <c r="H34" s="590">
        <f>IF(OR(C34=0,A34=""),"",SK!T192)</f>
        <v>10</v>
      </c>
      <c r="I34" s="591">
        <f>IF(OR(A34="",SK!U192="",SK!U192=0),"",H34/SK!U192)</f>
        <v>0.9090909091</v>
      </c>
      <c r="J34" s="592">
        <f>IF(OR(C34=0,A34=""),"",SK!W192)</f>
        <v>0</v>
      </c>
      <c r="K34" s="593">
        <f>IF(OR(C34=0,A34=""),"",SK!X192)</f>
        <v>3</v>
      </c>
      <c r="L34" s="594">
        <f>IF(OR(C34=0,A34=""),"",SK!Z192)</f>
        <v>3</v>
      </c>
      <c r="M34" s="594">
        <f>IF(OR(C34=0,A34=""),"",SK!AB192)</f>
        <v>5</v>
      </c>
      <c r="N34" s="594">
        <f>IF(OR(A34="",C34=0),"",SUMPRODUCT(--(Lineups!$AA$4:$AA$41="SP"),--(Lineups!$AC$4:$AC$41=A34))+SUMPRODUCT(--(Lineups!$AA$46:$AA$83="SP"),--(Lineups!$AC$46:$AC$83=A34)))</f>
        <v>0</v>
      </c>
      <c r="O34" s="595">
        <f t="shared" si="16"/>
        <v>0.2727272727</v>
      </c>
      <c r="P34" s="596">
        <f>IF(OR(A34="",C34=0),"",SK!Y192)</f>
        <v>7</v>
      </c>
      <c r="Q34" s="597">
        <f t="shared" si="17"/>
        <v>2.333333333</v>
      </c>
      <c r="R34" s="598">
        <f>IF(OR(A34="",F34=0),"",SUM(LU!AJ61,LU!AJ160))</f>
        <v>10</v>
      </c>
      <c r="S34" s="586">
        <f>IF(OR(A34="",F34=0),"",SUM(LU!AJ84,LU!AJ183))</f>
        <v>65</v>
      </c>
      <c r="T34" s="590">
        <f>IF(OR(A34="",F34=0),"",SUM(LU!AJ38,LU!AJ137))</f>
        <v>-55</v>
      </c>
      <c r="U34" s="586">
        <f>IF(OR(A34="",C34=0),"",SUM(LU!AH38,LU!AH137))</f>
        <v>-45</v>
      </c>
      <c r="V34" s="599">
        <f t="shared" si="18"/>
        <v>-4.090909091</v>
      </c>
      <c r="W34" s="600">
        <f>IF(OR(A34="",D34=0),"",SUM(LU!W38,LU!W137))</f>
        <v>0</v>
      </c>
      <c r="X34" s="599">
        <f t="shared" si="19"/>
        <v>0</v>
      </c>
      <c r="Y34" s="600">
        <f>IF(OR(A34="",E34=0),"",SUM(LU!AC38,LU!AC137))</f>
        <v>-10</v>
      </c>
      <c r="Z34" s="599">
        <f t="shared" si="20"/>
        <v>-10</v>
      </c>
      <c r="AA34" s="600">
        <f>IF(OR(A34="",AND(D34=0, E34=0)),"",SUM(LU!AE38,LU!AE137))</f>
        <v>-10</v>
      </c>
      <c r="AB34" s="599">
        <f t="shared" si="21"/>
        <v>-5</v>
      </c>
      <c r="AC34" s="597">
        <f t="shared" si="22"/>
        <v>-4.230769231</v>
      </c>
      <c r="AD34" s="603">
        <f>IF(OR(A34="",F34=0,R$48="-",LU!$W$5=0),"",R34-R$48)</f>
        <v>-9</v>
      </c>
      <c r="AE34" s="604">
        <f>IF(OR(A34="",F34=0,S$48="-",LU!$W$5=0),"",S34-S$48)</f>
        <v>-11</v>
      </c>
      <c r="AF34" s="605">
        <f t="shared" si="23"/>
        <v>2</v>
      </c>
      <c r="AG34" s="606">
        <f t="shared" si="24"/>
        <v>0.6428571429</v>
      </c>
      <c r="AH34" s="606">
        <f t="shared" si="25"/>
        <v>2.616702742</v>
      </c>
      <c r="AI34" s="607">
        <f t="shared" si="26"/>
        <v>-6.137879327</v>
      </c>
      <c r="AJ34" s="606">
        <f t="shared" si="27"/>
        <v>-1.589959577</v>
      </c>
      <c r="AK34" s="610">
        <f>IF(OR($A34="",AC34="",AC$48="-",LU!$W$5=0),"",AC34-AC$48)</f>
        <v>-0.03354037937</v>
      </c>
      <c r="AL34" s="609">
        <f>IF(OR(A34="",F34=0),"",SUM(PT!U68,PT!U69))</f>
        <v>0</v>
      </c>
      <c r="AM34" s="87"/>
    </row>
    <row r="35" ht="19.5" customHeight="1">
      <c r="A35" s="584" t="str">
        <f>IF(ISBLANK(IGRF!$I21),"",IGRF!$I21)</f>
        <v>360</v>
      </c>
      <c r="B35" s="585" t="str">
        <f>IF(ISBLANK(IGRF!$J21),"",IGRF!$J21)</f>
        <v>Big Bang Fury</v>
      </c>
      <c r="C35" s="586">
        <f>IF(A35="","",SUM(LU!AH16,LU!AH115))</f>
        <v>0</v>
      </c>
      <c r="D35" s="586">
        <f>IF(A35="","",SUM(LU!W16,LU!W115))</f>
        <v>2</v>
      </c>
      <c r="E35" s="587">
        <f>IF(A35="","",SUM(LU!AC16,LU!AC115))</f>
        <v>26</v>
      </c>
      <c r="F35" s="588">
        <f>IF(A35="","",(SUM(C35:E35)-(SUMPRODUCT(--(Lineups!AC$4:AC$41=A35),--(Lineups!AA$4:AA$41="SP"))+SUMPRODUCT(--(Lineups!AG$4:AG$41=A35),--(Lineups!AA$4:AA$41="SP"))+SUMPRODUCT(--(Lineups!AC$46:AC$83=A35),--(Lineups!AA$46:AA$83="SP"))+SUMPRODUCT(--(Lineups!AG$46:AG$83=A35),--(Lineups!AA$46:AA$83="SP")))))</f>
        <v>28</v>
      </c>
      <c r="G35" s="589">
        <f>IF(OR(A35="",F35=0,LU!D$3+LU!D$102=0),"",F35/(LU!D$3+LU!D$102))</f>
        <v>0.5957446809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17</v>
      </c>
      <c r="S35" s="586">
        <f>IF(OR(A35="",F35=0),"",SUM(LU!AJ85,LU!AJ184))</f>
        <v>126</v>
      </c>
      <c r="T35" s="590">
        <f>IF(OR(A35="",F35=0),"",SUM(LU!AJ39,LU!AJ138))</f>
        <v>-109</v>
      </c>
      <c r="U35" s="586" t="str">
        <f>IF(OR(A35="",C35=0),"",SUM(LU!AH39,LU!AH138))</f>
        <v/>
      </c>
      <c r="V35" s="599" t="str">
        <f t="shared" si="18"/>
        <v/>
      </c>
      <c r="W35" s="600">
        <f>IF(OR(A35="",D35=0),"",SUM(LU!W39,LU!W138))</f>
        <v>-6</v>
      </c>
      <c r="X35" s="599">
        <f t="shared" si="19"/>
        <v>-3</v>
      </c>
      <c r="Y35" s="600">
        <f>IF(OR(A35="",E35=0),"",SUM(LU!AC39,LU!AC138))</f>
        <v>-103</v>
      </c>
      <c r="Z35" s="599">
        <f t="shared" si="20"/>
        <v>-3.961538462</v>
      </c>
      <c r="AA35" s="600">
        <f>IF(OR(A35="",AND(D35=0, E35=0)),"",SUM(LU!AE39,LU!AE138))</f>
        <v>-109</v>
      </c>
      <c r="AB35" s="599">
        <f t="shared" si="21"/>
        <v>-3.892857143</v>
      </c>
      <c r="AC35" s="597">
        <f t="shared" si="22"/>
        <v>-3.892857143</v>
      </c>
      <c r="AD35" s="603">
        <f>IF(OR(A35="",F35=0,R$48="-",LU!$W$5=0),"",R35-R$48)</f>
        <v>-2</v>
      </c>
      <c r="AE35" s="604">
        <f>IF(OR(A35="",F35=0,S$48="-",LU!$W$5=0),"",S35-S$48)</f>
        <v>50</v>
      </c>
      <c r="AF35" s="605">
        <f t="shared" si="23"/>
        <v>-52</v>
      </c>
      <c r="AG35" s="606" t="str">
        <f t="shared" si="24"/>
        <v/>
      </c>
      <c r="AH35" s="606">
        <f t="shared" si="25"/>
        <v>-0.3832972583</v>
      </c>
      <c r="AI35" s="607">
        <f t="shared" si="26"/>
        <v>-0.099417789</v>
      </c>
      <c r="AJ35" s="606">
        <f t="shared" si="27"/>
        <v>-0.4828167203</v>
      </c>
      <c r="AK35" s="610">
        <f>IF(OR($A35="",AC35="",AC$48="-",LU!$W$5=0),"",AC35-AC$48)</f>
        <v>0.3043717085</v>
      </c>
      <c r="AL35" s="609">
        <f>IF(OR(A35="",F35=0),"",SUM(PT!U70,PT!U71))</f>
        <v>3</v>
      </c>
      <c r="AM35" s="87"/>
    </row>
    <row r="36" ht="19.5" customHeight="1">
      <c r="A36" s="584" t="str">
        <f>IF(ISBLANK(IGRF!$I22),"",IGRF!$I22)</f>
        <v>37</v>
      </c>
      <c r="B36" s="585" t="str">
        <f>IF(ISBLANK(IGRF!$J22),"",IGRF!$J22)</f>
        <v>Swagetha</v>
      </c>
      <c r="C36" s="586">
        <f>IF(A36="","",SUM(LU!AH17,LU!AH116))</f>
        <v>0</v>
      </c>
      <c r="D36" s="586">
        <f>IF(A36="","",SUM(LU!W17,LU!W116))</f>
        <v>0</v>
      </c>
      <c r="E36" s="587">
        <f>IF(A36="","",SUM(LU!AC17,LU!AC116))</f>
        <v>12</v>
      </c>
      <c r="F36" s="588">
        <f>IF(A36="","",(SUM(C36:E36)-(SUMPRODUCT(--(Lineups!AC$4:AC$41=A36),--(Lineups!AA$4:AA$41="SP"))+SUMPRODUCT(--(Lineups!AG$4:AG$41=A36),--(Lineups!AA$4:AA$41="SP"))+SUMPRODUCT(--(Lineups!AC$46:AC$83=A36),--(Lineups!AA$46:AA$83="SP"))+SUMPRODUCT(--(Lineups!AG$46:AG$83=A36),--(Lineups!AA$46:AA$83="SP")))))</f>
        <v>12</v>
      </c>
      <c r="G36" s="589">
        <f>IF(OR(A36="",F36=0,LU!D$3+LU!D$102=0),"",F36/(LU!D$3+LU!D$102))</f>
        <v>0.2553191489</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33</v>
      </c>
      <c r="S36" s="586">
        <f>IF(OR(A36="",F36=0),"",SUM(LU!AJ86,LU!AJ185))</f>
        <v>44</v>
      </c>
      <c r="T36" s="590">
        <f>IF(OR(A36="",F36=0),"",SUM(LU!AJ40,LU!AJ139))</f>
        <v>-11</v>
      </c>
      <c r="U36" s="586" t="str">
        <f>IF(OR(A36="",C36=0),"",SUM(LU!AH40,LU!AH139))</f>
        <v/>
      </c>
      <c r="V36" s="599" t="str">
        <f t="shared" si="18"/>
        <v/>
      </c>
      <c r="W36" s="600" t="str">
        <f>IF(OR(A36="",D36=0),"",SUM(LU!W40,LU!W139))</f>
        <v/>
      </c>
      <c r="X36" s="599" t="str">
        <f t="shared" si="19"/>
        <v/>
      </c>
      <c r="Y36" s="600">
        <f>IF(OR(A36="",E36=0),"",SUM(LU!AC40,LU!AC139))</f>
        <v>-11</v>
      </c>
      <c r="Z36" s="599">
        <f t="shared" si="20"/>
        <v>-0.9166666667</v>
      </c>
      <c r="AA36" s="600">
        <f>IF(OR(A36="",AND(D36=0, E36=0)),"",SUM(LU!AE40,LU!AE139))</f>
        <v>-11</v>
      </c>
      <c r="AB36" s="599">
        <f t="shared" si="21"/>
        <v>-0.9166666667</v>
      </c>
      <c r="AC36" s="597">
        <f t="shared" si="22"/>
        <v>-0.9166666667</v>
      </c>
      <c r="AD36" s="603">
        <f>IF(OR(A36="",F36=0,R$48="-",LU!$W$5=0),"",R36-R$48)</f>
        <v>14</v>
      </c>
      <c r="AE36" s="604">
        <f>IF(OR(A36="",F36=0,S$48="-",LU!$W$5=0),"",S36-S$48)</f>
        <v>-32</v>
      </c>
      <c r="AF36" s="605">
        <f t="shared" si="23"/>
        <v>46</v>
      </c>
      <c r="AG36" s="606" t="str">
        <f t="shared" si="24"/>
        <v/>
      </c>
      <c r="AH36" s="606" t="str">
        <f t="shared" si="25"/>
        <v/>
      </c>
      <c r="AI36" s="607">
        <f t="shared" si="26"/>
        <v>2.945454006</v>
      </c>
      <c r="AJ36" s="606">
        <f t="shared" si="27"/>
        <v>2.493373756</v>
      </c>
      <c r="AK36" s="610">
        <f>IF(OR($A36="",AC36="",AC$48="-",LU!$W$5=0),"",AC36-AC$48)</f>
        <v>3.280562185</v>
      </c>
      <c r="AL36" s="609">
        <f>IF(OR(A36="",F36=0),"",SUM(PT!U72,PT!U73))</f>
        <v>2</v>
      </c>
      <c r="AM36" s="87"/>
    </row>
    <row r="37" ht="19.5" customHeight="1">
      <c r="A37" s="584" t="str">
        <f>IF(ISBLANK(IGRF!$I23),"",IGRF!$I23)</f>
        <v>39</v>
      </c>
      <c r="B37" s="585" t="str">
        <f>IF(ISBLANK(IGRF!$J23),"",IGRF!$J23)</f>
        <v>Gaffney</v>
      </c>
      <c r="C37" s="586">
        <f>IF(A37="","",SUM(LU!AH18,LU!AH117))</f>
        <v>0</v>
      </c>
      <c r="D37" s="586">
        <f>IF(A37="","",SUM(LU!W18,LU!W117))</f>
        <v>0</v>
      </c>
      <c r="E37" s="587">
        <f>IF(A37="","",SUM(LU!AC18,LU!AC117))</f>
        <v>22</v>
      </c>
      <c r="F37" s="588">
        <f>IF(A37="","",(SUM(C37:E37)-(SUMPRODUCT(--(Lineups!AC$4:AC$41=A37),--(Lineups!AA$4:AA$41="SP"))+SUMPRODUCT(--(Lineups!AG$4:AG$41=A37),--(Lineups!AA$4:AA$41="SP"))+SUMPRODUCT(--(Lineups!AC$46:AC$83=A37),--(Lineups!AA$46:AA$83="SP"))+SUMPRODUCT(--(Lineups!AG$46:AG$83=A37),--(Lineups!AA$46:AA$83="SP")))))</f>
        <v>22</v>
      </c>
      <c r="G37" s="589">
        <f>IF(OR(A37="",F37=0,LU!D$3+LU!D$102=0),"",F37/(LU!D$3+LU!D$102))</f>
        <v>0.4680851064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42</v>
      </c>
      <c r="S37" s="586">
        <f>IF(OR(A37="",F37=0),"",SUM(LU!AJ87,LU!AJ186))</f>
        <v>103</v>
      </c>
      <c r="T37" s="590">
        <f>IF(OR(A37="",F37=0),"",SUM(LU!AJ41,LU!AJ140))</f>
        <v>-61</v>
      </c>
      <c r="U37" s="586" t="str">
        <f>IF(OR(A37="",C37=0),"",SUM(LU!AH41,LU!AH140))</f>
        <v/>
      </c>
      <c r="V37" s="599" t="str">
        <f t="shared" si="18"/>
        <v/>
      </c>
      <c r="W37" s="600" t="str">
        <f>IF(OR(A37="",D37=0),"",SUM(LU!W41,LU!W140))</f>
        <v/>
      </c>
      <c r="X37" s="599" t="str">
        <f t="shared" si="19"/>
        <v/>
      </c>
      <c r="Y37" s="600">
        <f>IF(OR(A37="",E37=0),"",SUM(LU!AC41,LU!AC140))</f>
        <v>-61</v>
      </c>
      <c r="Z37" s="599">
        <f t="shared" si="20"/>
        <v>-2.772727273</v>
      </c>
      <c r="AA37" s="600">
        <f>IF(OR(A37="",AND(D37=0, E37=0)),"",SUM(LU!AE41,LU!AE140))</f>
        <v>-61</v>
      </c>
      <c r="AB37" s="599">
        <f t="shared" si="21"/>
        <v>-2.772727273</v>
      </c>
      <c r="AC37" s="597">
        <f t="shared" si="22"/>
        <v>-2.772727273</v>
      </c>
      <c r="AD37" s="603">
        <f>IF(OR(A37="",F37=0,R$48="-",LU!$W$5=0),"",R37-R$48)</f>
        <v>23</v>
      </c>
      <c r="AE37" s="604">
        <f>IF(OR(A37="",F37=0,S$48="-",LU!$W$5=0),"",S37-S$48)</f>
        <v>27</v>
      </c>
      <c r="AF37" s="605">
        <f t="shared" si="23"/>
        <v>-4</v>
      </c>
      <c r="AG37" s="606" t="str">
        <f t="shared" si="24"/>
        <v/>
      </c>
      <c r="AH37" s="606" t="str">
        <f t="shared" si="25"/>
        <v/>
      </c>
      <c r="AI37" s="607">
        <f t="shared" si="26"/>
        <v>1.0893934</v>
      </c>
      <c r="AJ37" s="606">
        <f t="shared" si="27"/>
        <v>0.6373131498</v>
      </c>
      <c r="AK37" s="610">
        <f>IF(OR($A37="",AC37="",AC$48="-",LU!$W$5=0),"",AC37-AC$48)</f>
        <v>1.424501579</v>
      </c>
      <c r="AL37" s="609">
        <f>IF(OR(A37="",F37=0),"",SUM(PT!U74,PT!U75))</f>
        <v>2</v>
      </c>
      <c r="AM37" s="87"/>
    </row>
    <row r="38" ht="19.5" customHeight="1">
      <c r="A38" s="584" t="str">
        <f>IF(ISBLANK(IGRF!$I24),"",IGRF!$I24)</f>
        <v>48</v>
      </c>
      <c r="B38" s="585" t="str">
        <f>IF(ISBLANK(IGRF!$J24),"",IGRF!$J24)</f>
        <v>Brute</v>
      </c>
      <c r="C38" s="586">
        <f>IF(A38="","",SUM(LU!AH19,LU!AH118))</f>
        <v>2</v>
      </c>
      <c r="D38" s="586">
        <f>IF(A38="","",SUM(LU!W19,LU!W118))</f>
        <v>24</v>
      </c>
      <c r="E38" s="587">
        <f>IF(A38="","",SUM(LU!AC19,LU!AC118))</f>
        <v>1</v>
      </c>
      <c r="F38" s="588">
        <f>IF(A38="","",(SUM(C38:E38)-(SUMPRODUCT(--(Lineups!AC$4:AC$41=A38),--(Lineups!AA$4:AA$41="SP"))+SUMPRODUCT(--(Lineups!AG$4:AG$41=A38),--(Lineups!AA$4:AA$41="SP"))+SUMPRODUCT(--(Lineups!AC$46:AC$83=A38),--(Lineups!AA$46:AA$83="SP"))+SUMPRODUCT(--(Lineups!AG$46:AG$83=A38),--(Lineups!AA$46:AA$83="SP")))))</f>
        <v>27</v>
      </c>
      <c r="G38" s="589">
        <f>IF(OR(A38="",F38=0,LU!D$3+LU!D$102=0),"",F38/(LU!D$3+LU!D$102))</f>
        <v>0.5744680851</v>
      </c>
      <c r="H38" s="590">
        <f>IF(OR(C38=0,A38=""),"",SK!T204)</f>
        <v>0</v>
      </c>
      <c r="I38" s="591">
        <f>IF(OR(A38="",SK!U204="",SK!U204=0),"",H38/SK!U204)</f>
        <v>0</v>
      </c>
      <c r="J38" s="592">
        <f>IF(OR(C38=0,A38=""),"",SK!W204)</f>
        <v>0</v>
      </c>
      <c r="K38" s="593">
        <f>IF(OR(C38=0,A38=""),"",SK!X204)</f>
        <v>0</v>
      </c>
      <c r="L38" s="594">
        <f>IF(OR(C38=0,A38=""),"",SK!Z204)</f>
        <v>0</v>
      </c>
      <c r="M38" s="594">
        <f>IF(OR(C38=0,A38=""),"",SK!AB204)</f>
        <v>0</v>
      </c>
      <c r="N38" s="594">
        <f>IF(OR(A38="",C38=0),"",SUMPRODUCT(--(Lineups!$AA$4:$AA$41="SP"),--(Lineups!$AC$4:$AC$41=A38))+SUMPRODUCT(--(Lineups!$AA$46:$AA$83="SP"),--(Lineups!$AC$46:$AC$83=A38)))</f>
        <v>0</v>
      </c>
      <c r="O38" s="595">
        <f t="shared" si="16"/>
        <v>0</v>
      </c>
      <c r="P38" s="596">
        <f>IF(OR(A38="",C38=0),"",SK!Y204)</f>
        <v>0</v>
      </c>
      <c r="Q38" s="597" t="str">
        <f t="shared" si="17"/>
        <v/>
      </c>
      <c r="R38" s="598">
        <f>IF(OR(A38="",F38=0),"",SUM(LU!AJ65,LU!AJ164))</f>
        <v>40</v>
      </c>
      <c r="S38" s="586">
        <f>IF(OR(A38="",F38=0),"",SUM(LU!AJ88,LU!AJ187))</f>
        <v>137</v>
      </c>
      <c r="T38" s="590">
        <f>IF(OR(A38="",F38=0),"",SUM(LU!AJ42,LU!AJ141))</f>
        <v>-97</v>
      </c>
      <c r="U38" s="586">
        <f>IF(OR(A38="",C38=0),"",SUM(LU!AH42,LU!AH141))</f>
        <v>-12</v>
      </c>
      <c r="V38" s="599">
        <f t="shared" si="18"/>
        <v>-6</v>
      </c>
      <c r="W38" s="600">
        <f>IF(OR(A38="",D38=0),"",SUM(LU!W42,LU!W141))</f>
        <v>-83</v>
      </c>
      <c r="X38" s="599">
        <f t="shared" si="19"/>
        <v>-3.458333333</v>
      </c>
      <c r="Y38" s="600">
        <f>IF(OR(A38="",E38=0),"",SUM(LU!AC42,LU!AC141))</f>
        <v>-2</v>
      </c>
      <c r="Z38" s="599">
        <f t="shared" si="20"/>
        <v>-2</v>
      </c>
      <c r="AA38" s="600">
        <f>IF(OR(A38="",AND(D38=0, E38=0)),"",SUM(LU!AE42,LU!AE141))</f>
        <v>-85</v>
      </c>
      <c r="AB38" s="599">
        <f t="shared" si="21"/>
        <v>-3.4</v>
      </c>
      <c r="AC38" s="597">
        <f t="shared" si="22"/>
        <v>-3.592592593</v>
      </c>
      <c r="AD38" s="603">
        <f>IF(OR(A38="",F38=0,R$48="-",LU!$W$5=0),"",R38-R$48)</f>
        <v>21</v>
      </c>
      <c r="AE38" s="604">
        <f>IF(OR(A38="",F38=0,S$48="-",LU!$W$5=0),"",S38-S$48)</f>
        <v>61</v>
      </c>
      <c r="AF38" s="605">
        <f t="shared" si="23"/>
        <v>-40</v>
      </c>
      <c r="AG38" s="606">
        <f t="shared" si="24"/>
        <v>-1.266233766</v>
      </c>
      <c r="AH38" s="606">
        <f t="shared" si="25"/>
        <v>-0.8416305916</v>
      </c>
      <c r="AI38" s="607">
        <f t="shared" si="26"/>
        <v>1.862120673</v>
      </c>
      <c r="AJ38" s="606">
        <f t="shared" si="27"/>
        <v>0.01004042254</v>
      </c>
      <c r="AK38" s="610">
        <f>IF(OR($A38="",AC38="",AC$48="-",LU!$W$5=0),"",AC38-AC$48)</f>
        <v>0.6046362588</v>
      </c>
      <c r="AL38" s="609">
        <f>IF(OR(A38="",F38=0),"",SUM(PT!U76,PT!U77))</f>
        <v>5</v>
      </c>
      <c r="AM38" s="87"/>
    </row>
    <row r="39" ht="19.5" customHeight="1">
      <c r="A39" s="584" t="str">
        <f>IF(ISBLANK(IGRF!$I25),"",IGRF!$I25)</f>
        <v>700</v>
      </c>
      <c r="B39" s="585" t="str">
        <f>IF(ISBLANK(IGRF!$J25),"",IGRF!$J25)</f>
        <v>Springroll</v>
      </c>
      <c r="C39" s="586">
        <f>IF(A39="","",SUM(LU!AH20,LU!AH119))</f>
        <v>11</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11</v>
      </c>
      <c r="G39" s="589">
        <f>IF(OR(A39="",F39=0,LU!D$3+LU!D$102=0),"",F39/(LU!D$3+LU!D$102))</f>
        <v>0.2340425532</v>
      </c>
      <c r="H39" s="590">
        <f>IF(OR(C39=0,A39=""),"",SK!T207)</f>
        <v>17</v>
      </c>
      <c r="I39" s="591">
        <f>IF(OR(A39="",SK!U207="",SK!U207=0),"",H39/SK!U207)</f>
        <v>1.545454545</v>
      </c>
      <c r="J39" s="592">
        <f>IF(OR(C39=0,A39=""),"",SK!W207)</f>
        <v>0</v>
      </c>
      <c r="K39" s="593">
        <f>IF(OR(C39=0,A39=""),"",SK!X207)</f>
        <v>2</v>
      </c>
      <c r="L39" s="594">
        <f>IF(OR(C39=0,A39=""),"",SK!Z207)</f>
        <v>1</v>
      </c>
      <c r="M39" s="594">
        <f>IF(OR(C39=0,A39=""),"",SK!AB207)</f>
        <v>0</v>
      </c>
      <c r="N39" s="594">
        <f>IF(OR(A39="",C39=0),"",SUMPRODUCT(--(Lineups!$AA$4:$AA$41="SP"),--(Lineups!$AC$4:$AC$41=A39))+SUMPRODUCT(--(Lineups!$AA$46:$AA$83="SP"),--(Lineups!$AC$46:$AC$83=A39)))</f>
        <v>0</v>
      </c>
      <c r="O39" s="595">
        <f t="shared" si="16"/>
        <v>0.1818181818</v>
      </c>
      <c r="P39" s="596">
        <f>IF(OR(A39="",C39=0),"",SK!Y207)</f>
        <v>9</v>
      </c>
      <c r="Q39" s="597">
        <f t="shared" si="17"/>
        <v>4.5</v>
      </c>
      <c r="R39" s="598">
        <f>IF(OR(A39="",F39=0),"",SUM(LU!AJ66,LU!AJ165))</f>
        <v>17</v>
      </c>
      <c r="S39" s="586">
        <f>IF(OR(A39="",F39=0),"",SUM(LU!AJ89,LU!AJ188))</f>
        <v>38</v>
      </c>
      <c r="T39" s="590">
        <f>IF(OR(A39="",F39=0),"",SUM(LU!AJ43,LU!AJ142))</f>
        <v>-21</v>
      </c>
      <c r="U39" s="586">
        <f>IF(OR(A39="",C39=0),"",SUM(LU!AH43,LU!AH142))</f>
        <v>-21</v>
      </c>
      <c r="V39" s="599">
        <f t="shared" si="18"/>
        <v>-1.909090909</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-1.909090909</v>
      </c>
      <c r="AD39" s="603">
        <f>IF(OR(A39="",F39=0,R$48="-",LU!$W$5=0),"",R39-R$48)</f>
        <v>-2</v>
      </c>
      <c r="AE39" s="604">
        <f>IF(OR(A39="",F39=0,S$48="-",LU!$W$5=0),"",S39-S$48)</f>
        <v>-38</v>
      </c>
      <c r="AF39" s="605">
        <f t="shared" si="23"/>
        <v>36</v>
      </c>
      <c r="AG39" s="606">
        <f t="shared" si="24"/>
        <v>2.824675325</v>
      </c>
      <c r="AH39" s="606" t="str">
        <f t="shared" si="25"/>
        <v/>
      </c>
      <c r="AI39" s="607" t="str">
        <f t="shared" si="26"/>
        <v/>
      </c>
      <c r="AJ39" s="606" t="str">
        <f t="shared" si="27"/>
        <v/>
      </c>
      <c r="AK39" s="610">
        <f>IF(OR($A39="",AC39="",AC$48="-",LU!$W$5=0),"",AC39-AC$48)</f>
        <v>2.288137942</v>
      </c>
      <c r="AL39" s="609">
        <f>IF(OR(A39="",F39=0),"",SUM(PT!U78,PT!U79))</f>
        <v>1</v>
      </c>
      <c r="AM39" s="87"/>
    </row>
    <row r="40" ht="19.5" customHeight="1">
      <c r="A40" s="584" t="str">
        <f>IF(ISBLANK(IGRF!$I26),"",IGRF!$I26)</f>
        <v>71</v>
      </c>
      <c r="B40" s="585" t="str">
        <f>IF(ISBLANK(IGRF!$J26),"",IGRF!$J26)</f>
        <v>Danger Potato</v>
      </c>
      <c r="C40" s="586">
        <f>IF(A40="","",SUM(LU!AH21,LU!AH120))</f>
        <v>2</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2</v>
      </c>
      <c r="G40" s="589">
        <f>IF(OR(A40="",F40=0,LU!D$3+LU!D$102=0),"",F40/(LU!D$3+LU!D$102))</f>
        <v>0.04255319149</v>
      </c>
      <c r="H40" s="590">
        <f>IF(OR(C40=0,A40=""),"",SK!T210)</f>
        <v>0</v>
      </c>
      <c r="I40" s="591">
        <f>IF(OR(A40="",SK!U210="",SK!U210=0),"",H40/SK!U210)</f>
        <v>0</v>
      </c>
      <c r="J40" s="592">
        <f>IF(OR(C40=0,A40=""),"",SK!W210)</f>
        <v>0</v>
      </c>
      <c r="K40" s="593">
        <f>IF(OR(C40=0,A40=""),"",SK!X210)</f>
        <v>0</v>
      </c>
      <c r="L40" s="594">
        <f>IF(OR(C40=0,A40=""),"",SK!Z210)</f>
        <v>0</v>
      </c>
      <c r="M40" s="594">
        <f>IF(OR(C40=0,A40=""),"",SK!AB210)</f>
        <v>2</v>
      </c>
      <c r="N40" s="594">
        <f>IF(OR(A40="",C40=0),"",SUMPRODUCT(--(Lineups!$AA$4:$AA$41="SP"),--(Lineups!$AC$4:$AC$41=A40))+SUMPRODUCT(--(Lineups!$AA$46:$AA$83="SP"),--(Lineups!$AC$46:$AC$83=A40)))</f>
        <v>0</v>
      </c>
      <c r="O40" s="595">
        <f t="shared" si="16"/>
        <v>0</v>
      </c>
      <c r="P40" s="596">
        <f>IF(OR(A40="",C40=0),"",SK!Y210)</f>
        <v>0</v>
      </c>
      <c r="Q40" s="597" t="str">
        <f t="shared" si="17"/>
        <v/>
      </c>
      <c r="R40" s="598">
        <f>IF(OR(A40="",F40=0),"",SUM(LU!AJ67,LU!AJ166))</f>
        <v>0</v>
      </c>
      <c r="S40" s="586">
        <f>IF(OR(A40="",F40=0),"",SUM(LU!AJ90,LU!AJ189))</f>
        <v>31</v>
      </c>
      <c r="T40" s="590">
        <f>IF(OR(A40="",F40=0),"",SUM(LU!AJ44,LU!AJ143))</f>
        <v>-31</v>
      </c>
      <c r="U40" s="586">
        <f>IF(OR(A40="",C40=0),"",SUM(LU!AH44,LU!AH143))</f>
        <v>-31</v>
      </c>
      <c r="V40" s="599">
        <f t="shared" si="18"/>
        <v>-15.5</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-15.5</v>
      </c>
      <c r="AD40" s="603">
        <f>IF(OR(A40="",F40=0,R$48="-",LU!$W$5=0),"",R40-R$48)</f>
        <v>-19</v>
      </c>
      <c r="AE40" s="604">
        <f>IF(OR(A40="",F40=0,S$48="-",LU!$W$5=0),"",S40-S$48)</f>
        <v>-45</v>
      </c>
      <c r="AF40" s="605">
        <f t="shared" si="23"/>
        <v>26</v>
      </c>
      <c r="AG40" s="606">
        <f t="shared" si="24"/>
        <v>-10.76623377</v>
      </c>
      <c r="AH40" s="606" t="str">
        <f t="shared" si="25"/>
        <v/>
      </c>
      <c r="AI40" s="607" t="str">
        <f t="shared" si="26"/>
        <v/>
      </c>
      <c r="AJ40" s="606" t="str">
        <f t="shared" si="27"/>
        <v/>
      </c>
      <c r="AK40" s="610">
        <f>IF(OR($A40="",AC40="",AC$48="-",LU!$W$5=0),"",AC40-AC$48)</f>
        <v>-11.30277115</v>
      </c>
      <c r="AL40" s="609">
        <f>IF(OR(A40="",F40=0),"",SUM(PT!U80,PT!U81))</f>
        <v>1</v>
      </c>
      <c r="AM40" s="87"/>
    </row>
    <row r="41" ht="19.5" customHeight="1">
      <c r="A41" s="584" t="str">
        <f>IF(ISBLANK(IGRF!$I27),"",IGRF!$I27)</f>
        <v>79</v>
      </c>
      <c r="B41" s="585" t="str">
        <f>IF(ISBLANK(IGRF!$J27),"",IGRF!$J27)</f>
        <v>Lil RegulateHer</v>
      </c>
      <c r="C41" s="586">
        <f>IF(A41="","",SUM(LU!AH22,LU!AH121))</f>
        <v>11</v>
      </c>
      <c r="D41" s="586">
        <f>IF(A41="","",SUM(LU!W22,LU!W121))</f>
        <v>0</v>
      </c>
      <c r="E41" s="587">
        <f>IF(A41="","",SUM(LU!AC22,LU!AC121))</f>
        <v>1</v>
      </c>
      <c r="F41" s="588">
        <f>IF(A41="","",(SUM(C41:E41)-(SUMPRODUCT(--(Lineups!AC$4:AC$41=A41),--(Lineups!AA$4:AA$41="SP"))+SUMPRODUCT(--(Lineups!AG$4:AG$41=A41),--(Lineups!AA$4:AA$41="SP"))+SUMPRODUCT(--(Lineups!AC$46:AC$83=A41),--(Lineups!AA$46:AA$83="SP"))+SUMPRODUCT(--(Lineups!AG$46:AG$83=A41),--(Lineups!AA$46:AA$83="SP")))))</f>
        <v>12</v>
      </c>
      <c r="G41" s="589">
        <f>IF(OR(A41="",F41=0,LU!D$3+LU!D$102=0),"",F41/(LU!D$3+LU!D$102))</f>
        <v>0.2553191489</v>
      </c>
      <c r="H41" s="590">
        <f>IF(OR(C41=0,A41=""),"",SK!T213)</f>
        <v>21</v>
      </c>
      <c r="I41" s="591">
        <f>IF(OR(A41="",SK!U213="",SK!U213=0),"",H41/SK!U213)</f>
        <v>2.1</v>
      </c>
      <c r="J41" s="592">
        <f>IF(OR(C41=0,A41=""),"",SK!W213)</f>
        <v>1</v>
      </c>
      <c r="K41" s="593">
        <f>IF(OR(C41=0,A41=""),"",SK!X213)</f>
        <v>4</v>
      </c>
      <c r="L41" s="594">
        <f>IF(OR(C41=0,A41=""),"",SK!Z213)</f>
        <v>3</v>
      </c>
      <c r="M41" s="594">
        <f>IF(OR(C41=0,A41=""),"",SK!AB213)</f>
        <v>1</v>
      </c>
      <c r="N41" s="594">
        <f>IF(OR(A41="",C41=0),"",SUMPRODUCT(--(Lineups!$AA$4:$AA$41="SP"),--(Lineups!$AC$4:$AC$41=A41))+SUMPRODUCT(--(Lineups!$AA$46:$AA$83="SP"),--(Lineups!$AC$46:$AC$83=A41)))</f>
        <v>0</v>
      </c>
      <c r="O41" s="595">
        <f t="shared" si="16"/>
        <v>0.3636363636</v>
      </c>
      <c r="P41" s="596">
        <f>IF(OR(A41="",C41=0),"",SK!Y213)</f>
        <v>2</v>
      </c>
      <c r="Q41" s="597">
        <f t="shared" si="17"/>
        <v>0.5</v>
      </c>
      <c r="R41" s="598">
        <f>IF(OR(A41="",F41=0),"",SUM(LU!AJ68,LU!AJ167))</f>
        <v>21</v>
      </c>
      <c r="S41" s="586">
        <f>IF(OR(A41="",F41=0),"",SUM(LU!AJ91,LU!AJ190))</f>
        <v>48</v>
      </c>
      <c r="T41" s="590">
        <f>IF(OR(A41="",F41=0),"",SUM(LU!AJ45,LU!AJ144))</f>
        <v>-27</v>
      </c>
      <c r="U41" s="586">
        <f>IF(OR(A41="",C41=0),"",SUM(LU!AH45,LU!AH144))</f>
        <v>-23</v>
      </c>
      <c r="V41" s="599">
        <f t="shared" si="18"/>
        <v>-2.090909091</v>
      </c>
      <c r="W41" s="600" t="str">
        <f>IF(OR(A41="",D41=0),"",SUM(LU!W45,LU!W144))</f>
        <v/>
      </c>
      <c r="X41" s="599" t="str">
        <f t="shared" si="19"/>
        <v/>
      </c>
      <c r="Y41" s="600">
        <f>IF(OR(A41="",E41=0),"",SUM(LU!AC45,LU!AC144))</f>
        <v>-4</v>
      </c>
      <c r="Z41" s="599">
        <f t="shared" si="20"/>
        <v>-4</v>
      </c>
      <c r="AA41" s="600">
        <f>IF(OR(A41="",AND(D41=0, E41=0)),"",SUM(LU!AE45,LU!AE144))</f>
        <v>-4</v>
      </c>
      <c r="AB41" s="599">
        <f t="shared" si="21"/>
        <v>-4</v>
      </c>
      <c r="AC41" s="597">
        <f t="shared" si="22"/>
        <v>-2.25</v>
      </c>
      <c r="AD41" s="603">
        <f>IF(OR(A41="",F41=0,R$48="-",LU!$W$5=0),"",R41-R$48)</f>
        <v>2</v>
      </c>
      <c r="AE41" s="604">
        <f>IF(OR(A41="",F41=0,S$48="-",LU!$W$5=0),"",S41-S$48)</f>
        <v>-28</v>
      </c>
      <c r="AF41" s="605">
        <f t="shared" si="23"/>
        <v>30</v>
      </c>
      <c r="AG41" s="606">
        <f t="shared" si="24"/>
        <v>2.642857143</v>
      </c>
      <c r="AH41" s="606" t="str">
        <f t="shared" si="25"/>
        <v/>
      </c>
      <c r="AI41" s="607">
        <f t="shared" si="26"/>
        <v>-0.1378793275</v>
      </c>
      <c r="AJ41" s="606">
        <f t="shared" si="27"/>
        <v>-0.5899595775</v>
      </c>
      <c r="AK41" s="610">
        <f>IF(OR($A41="",AC41="",AC$48="-",LU!$W$5=0),"",AC41-AC$48)</f>
        <v>1.947228851</v>
      </c>
      <c r="AL41" s="609">
        <f>IF(OR(A41="",F41=0),"",SUM(PT!U82,PT!U83))</f>
        <v>1</v>
      </c>
      <c r="AM41" s="87"/>
    </row>
    <row r="42" ht="19.5" customHeight="1">
      <c r="A42" s="584" t="str">
        <f>IF(ISBLANK(IGRF!$I28),"",IGRF!$I28)</f>
        <v>89</v>
      </c>
      <c r="B42" s="585" t="str">
        <f>IF(ISBLANK(IGRF!$J28),"",IGRF!$J28)</f>
        <v>High Roller</v>
      </c>
      <c r="C42" s="586">
        <f>IF(A42="","",SUM(LU!AH23,LU!AH122))</f>
        <v>0</v>
      </c>
      <c r="D42" s="586">
        <f>IF(A42="","",SUM(LU!W23,LU!W122))</f>
        <v>0</v>
      </c>
      <c r="E42" s="587">
        <f>IF(A42="","",SUM(LU!AC23,LU!AC122))</f>
        <v>16</v>
      </c>
      <c r="F42" s="588">
        <f>IF(A42="","",(SUM(C42:E42)-(SUMPRODUCT(--(Lineups!AC$4:AC$41=A42),--(Lineups!AA$4:AA$41="SP"))+SUMPRODUCT(--(Lineups!AG$4:AG$41=A42),--(Lineups!AA$4:AA$41="SP"))+SUMPRODUCT(--(Lineups!AC$46:AC$83=A42),--(Lineups!AA$46:AA$83="SP"))+SUMPRODUCT(--(Lineups!AG$46:AG$83=A42),--(Lineups!AA$46:AA$83="SP")))))</f>
        <v>16</v>
      </c>
      <c r="G42" s="589">
        <f>IF(OR(A42="",F42=0,LU!D$3+LU!D$102=0),"",F42/(LU!D$3+LU!D$102))</f>
        <v>0.3404255319</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6</v>
      </c>
      <c r="S42" s="586">
        <f>IF(OR(A42="",F42=0),"",SUM(LU!AJ92,LU!AJ191))</f>
        <v>86</v>
      </c>
      <c r="T42" s="590">
        <f>IF(OR(A42="",F42=0),"",SUM(LU!AJ46,LU!AJ145))</f>
        <v>-80</v>
      </c>
      <c r="U42" s="586" t="str">
        <f>IF(OR(A42="",C42=0),"",SUM(LU!AH46,LU!AH145))</f>
        <v/>
      </c>
      <c r="V42" s="599" t="str">
        <f t="shared" si="18"/>
        <v/>
      </c>
      <c r="W42" s="600" t="str">
        <f>IF(OR(A42="",D42=0),"",SUM(LU!W46,LU!W145))</f>
        <v/>
      </c>
      <c r="X42" s="599" t="str">
        <f t="shared" si="19"/>
        <v/>
      </c>
      <c r="Y42" s="600">
        <f>IF(OR(A42="",E42=0),"",SUM(LU!AC46,LU!AC145))</f>
        <v>-80</v>
      </c>
      <c r="Z42" s="599">
        <f t="shared" si="20"/>
        <v>-5</v>
      </c>
      <c r="AA42" s="600">
        <f>IF(OR(A42="",AND(D42=0, E42=0)),"",SUM(LU!AE46,LU!AE145))</f>
        <v>-80</v>
      </c>
      <c r="AB42" s="599">
        <f t="shared" si="21"/>
        <v>-5</v>
      </c>
      <c r="AC42" s="597">
        <f t="shared" si="22"/>
        <v>-5</v>
      </c>
      <c r="AD42" s="603">
        <f>IF(OR(A42="",F42=0,R$48="-",LU!$W$5=0),"",R42-R$48)</f>
        <v>-13</v>
      </c>
      <c r="AE42" s="604">
        <f>IF(OR(A42="",F42=0,S$48="-",LU!$W$5=0),"",S42-S$48)</f>
        <v>10</v>
      </c>
      <c r="AF42" s="605">
        <f t="shared" si="23"/>
        <v>-23</v>
      </c>
      <c r="AG42" s="606" t="str">
        <f t="shared" si="24"/>
        <v/>
      </c>
      <c r="AH42" s="606" t="str">
        <f t="shared" si="25"/>
        <v/>
      </c>
      <c r="AI42" s="607">
        <f t="shared" si="26"/>
        <v>-1.137879327</v>
      </c>
      <c r="AJ42" s="606">
        <f t="shared" si="27"/>
        <v>-1.589959577</v>
      </c>
      <c r="AK42" s="610">
        <f>IF(OR($A42="",AC42="",AC$48="-",LU!$W$5=0),"",AC42-AC$48)</f>
        <v>-0.8027711486</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321</v>
      </c>
      <c r="B48" s="433"/>
      <c r="C48" s="618">
        <f t="shared" ref="C48:F48" si="28">SUM(C28:C47)</f>
        <v>49</v>
      </c>
      <c r="D48" s="618">
        <f t="shared" si="28"/>
        <v>49</v>
      </c>
      <c r="E48" s="618">
        <f t="shared" si="28"/>
        <v>144</v>
      </c>
      <c r="F48" s="618">
        <f t="shared" si="28"/>
        <v>240</v>
      </c>
      <c r="G48" s="619">
        <f>IF(COUNT(G28:G47)=0,"-",AVERAGE(G28:G47))</f>
        <v>0.3404255319</v>
      </c>
      <c r="H48" s="618">
        <f>SUM(H28:H47)</f>
        <v>57</v>
      </c>
      <c r="I48" s="620">
        <f>IF(LU!W3+LU!W102=0,"-",H48/(LU!W3+LU!W102))</f>
        <v>1.212765957</v>
      </c>
      <c r="J48" s="621">
        <f t="shared" ref="J48:N48" si="29">SUM(J28:J47)</f>
        <v>2</v>
      </c>
      <c r="K48" s="618">
        <f t="shared" si="29"/>
        <v>11</v>
      </c>
      <c r="L48" s="618">
        <f t="shared" si="29"/>
        <v>9</v>
      </c>
      <c r="M48" s="618">
        <f t="shared" si="29"/>
        <v>10</v>
      </c>
      <c r="N48" s="618">
        <f t="shared" si="29"/>
        <v>1</v>
      </c>
      <c r="O48" s="622">
        <f>IF(C48=0,"-",K48/(C48-N48))</f>
        <v>0.2291666667</v>
      </c>
      <c r="P48" s="623">
        <f>SUM(P28:P47)</f>
        <v>25</v>
      </c>
      <c r="Q48" s="624">
        <f t="shared" ref="Q48:AC48" si="30">IF(COUNT(Q28:Q47)=0,"-",AVERAGE(Q28:Q47))</f>
        <v>2.708333333</v>
      </c>
      <c r="R48" s="625">
        <f t="shared" si="30"/>
        <v>19</v>
      </c>
      <c r="S48" s="626">
        <f t="shared" si="30"/>
        <v>76</v>
      </c>
      <c r="T48" s="623">
        <f t="shared" si="30"/>
        <v>-57</v>
      </c>
      <c r="U48" s="623">
        <f t="shared" si="30"/>
        <v>-24.42857143</v>
      </c>
      <c r="V48" s="623">
        <f t="shared" si="30"/>
        <v>-4.733766234</v>
      </c>
      <c r="W48" s="623">
        <f t="shared" si="30"/>
        <v>-24.42857143</v>
      </c>
      <c r="X48" s="623">
        <f t="shared" si="30"/>
        <v>-2.616702742</v>
      </c>
      <c r="Y48" s="623">
        <f t="shared" si="30"/>
        <v>-42.75</v>
      </c>
      <c r="Z48" s="623">
        <f t="shared" si="30"/>
        <v>-3.862120673</v>
      </c>
      <c r="AA48" s="623">
        <f t="shared" si="30"/>
        <v>-52.61538462</v>
      </c>
      <c r="AB48" s="623">
        <f t="shared" si="30"/>
        <v>-3.410040423</v>
      </c>
      <c r="AC48" s="623">
        <f t="shared" si="30"/>
        <v>-4.197228851</v>
      </c>
      <c r="AD48" s="627" t="s">
        <v>322</v>
      </c>
      <c r="AE48" s="628" t="s">
        <v>322</v>
      </c>
      <c r="AF48" s="628" t="s">
        <v>322</v>
      </c>
      <c r="AG48" s="627" t="s">
        <v>322</v>
      </c>
      <c r="AH48" s="628" t="s">
        <v>322</v>
      </c>
      <c r="AI48" s="628" t="s">
        <v>322</v>
      </c>
      <c r="AJ48" s="628" t="s">
        <v>322</v>
      </c>
      <c r="AK48" s="629" t="s">
        <v>322</v>
      </c>
      <c r="AL48" s="617">
        <f>SUM(AL28:AM47)</f>
        <v>29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45108</v>
      </c>
      <c r="B1" s="45"/>
      <c r="C1" s="45"/>
      <c r="D1" s="635" t="s">
        <v>323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Denver roller Derby / Mile High Club</v>
      </c>
      <c r="B2" s="45"/>
      <c r="C2" s="46"/>
      <c r="D2" s="638" t="s">
        <v>324</v>
      </c>
      <c r="E2" s="45"/>
      <c r="F2" s="45"/>
      <c r="G2" s="45"/>
      <c r="H2" s="45"/>
      <c r="I2" s="45"/>
      <c r="J2" s="45"/>
      <c r="K2" s="45"/>
      <c r="L2" s="45"/>
      <c r="M2" s="45"/>
      <c r="N2" s="45"/>
      <c r="O2" s="45"/>
      <c r="P2" s="45"/>
      <c r="Q2" s="45"/>
      <c r="R2" s="45"/>
      <c r="S2" s="45"/>
      <c r="T2" s="46"/>
      <c r="U2" s="639"/>
      <c r="V2" s="639"/>
      <c r="W2" s="640" t="s">
        <v>325</v>
      </c>
      <c r="X2" s="46"/>
      <c r="Y2" s="641"/>
      <c r="Z2" s="641"/>
      <c r="AA2" s="641"/>
      <c r="AB2" s="641"/>
    </row>
    <row r="3" ht="60.75" customHeight="1">
      <c r="A3" s="642" t="s">
        <v>205</v>
      </c>
      <c r="B3" s="643" t="s">
        <v>326</v>
      </c>
      <c r="C3" s="15"/>
      <c r="D3" s="644" t="s">
        <v>216</v>
      </c>
      <c r="E3" s="645" t="s">
        <v>220</v>
      </c>
      <c r="F3" s="646" t="s">
        <v>223</v>
      </c>
      <c r="G3" s="646" t="s">
        <v>227</v>
      </c>
      <c r="H3" s="646" t="s">
        <v>229</v>
      </c>
      <c r="I3" s="646" t="s">
        <v>230</v>
      </c>
      <c r="J3" s="646" t="s">
        <v>231</v>
      </c>
      <c r="K3" s="646" t="s">
        <v>232</v>
      </c>
      <c r="L3" s="646" t="s">
        <v>234</v>
      </c>
      <c r="M3" s="646" t="s">
        <v>237</v>
      </c>
      <c r="N3" s="646" t="s">
        <v>239</v>
      </c>
      <c r="O3" s="646" t="s">
        <v>245</v>
      </c>
      <c r="P3" s="646" t="s">
        <v>248</v>
      </c>
      <c r="Q3" s="647" t="s">
        <v>251</v>
      </c>
      <c r="R3" s="647"/>
      <c r="S3" s="647"/>
      <c r="T3" s="648" t="s">
        <v>327</v>
      </c>
      <c r="U3" s="649" t="s">
        <v>328</v>
      </c>
      <c r="V3" s="650" t="s">
        <v>329</v>
      </c>
      <c r="W3" s="651" t="s">
        <v>330</v>
      </c>
      <c r="X3" s="652" t="s">
        <v>331</v>
      </c>
      <c r="Y3" s="43"/>
      <c r="Z3" s="43"/>
      <c r="AA3" s="43"/>
      <c r="AB3" s="43"/>
    </row>
    <row r="4" ht="24.75" customHeight="1">
      <c r="A4" s="653" t="str">
        <f>IF(IGRF!B14="","",IGRF!B14)</f>
        <v>10</v>
      </c>
      <c r="B4" s="654" t="str">
        <f>IF(IGRF!C14="","",IGRF!C14)</f>
        <v>Unprotected Lex</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10</v>
      </c>
      <c r="X4" s="661">
        <f t="shared" ref="X4:X23" si="2">IF(OR(W4="",W4=0),"",U4/W4)</f>
        <v>0</v>
      </c>
      <c r="Y4" s="43"/>
      <c r="Z4" s="43"/>
      <c r="AA4" s="43"/>
      <c r="AB4" s="43"/>
    </row>
    <row r="5" ht="24.75" customHeight="1">
      <c r="A5" s="662" t="str">
        <f>IF(IGRF!B15="","",IGRF!B15)</f>
        <v>1706</v>
      </c>
      <c r="B5" s="663" t="str">
        <f>IF(IGRF!C15="","",IGRF!C15)</f>
        <v>Maven</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16</v>
      </c>
      <c r="X5" s="669">
        <f t="shared" si="2"/>
        <v>0.125</v>
      </c>
      <c r="Y5" s="43"/>
      <c r="Z5" s="43"/>
      <c r="AA5" s="43"/>
      <c r="AB5" s="43"/>
    </row>
    <row r="6" ht="24.75" customHeight="1">
      <c r="A6" s="653" t="str">
        <f>IF(IGRF!B16="","",IGRF!B16)</f>
        <v>2</v>
      </c>
      <c r="B6" s="654" t="str">
        <f>IF(IGRF!C16="","",IGRF!C16)</f>
        <v>Taryn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20</v>
      </c>
      <c r="X6" s="661">
        <f t="shared" si="2"/>
        <v>0.05</v>
      </c>
      <c r="Y6" s="43"/>
      <c r="Z6" s="43"/>
      <c r="AA6" s="43"/>
      <c r="AB6" s="43"/>
    </row>
    <row r="7" ht="24.75" customHeight="1">
      <c r="A7" s="662" t="str">
        <f>IF(IGRF!B17="","",IGRF!B17)</f>
        <v>22</v>
      </c>
      <c r="B7" s="663" t="str">
        <f>IF(IGRF!C17="","",IGRF!C17)</f>
        <v>Scara to Death</v>
      </c>
      <c r="C7" s="87"/>
      <c r="D7" s="664">
        <f>IF($A7="","",SUM(PT!E9,PT!E10))</f>
        <v>0</v>
      </c>
      <c r="E7" s="665">
        <f>IF($A7="","",SUM(PT!F9,PT!F10))</f>
        <v>0</v>
      </c>
      <c r="F7" s="665">
        <f>IF($A7="","",SUM(PT!G9,PT!G10))</f>
        <v>0</v>
      </c>
      <c r="G7" s="665">
        <f>IF($A7="","",SUM(PT!H9,PT!H10))</f>
        <v>0</v>
      </c>
      <c r="H7" s="665">
        <f>IF($A7="","",SUM(PT!I9,PT!I10))</f>
        <v>0</v>
      </c>
      <c r="I7" s="665">
        <f>IF($A7="","",SUM(PT!J9,PT!J10))</f>
        <v>2</v>
      </c>
      <c r="J7" s="665">
        <f>IF($A7="","",SUM(PT!K9,PT!K10))</f>
        <v>1</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3</v>
      </c>
      <c r="U7" s="667">
        <f>IF($A7="","",SUM(PT!U9,PT!U10))</f>
        <v>3</v>
      </c>
      <c r="V7" s="664" t="str">
        <f>IF($A7="","",PT!AJ10)</f>
        <v/>
      </c>
      <c r="W7" s="668">
        <f>'Game Summary'!F9</f>
        <v>22</v>
      </c>
      <c r="X7" s="669">
        <f t="shared" si="2"/>
        <v>0.1363636364</v>
      </c>
      <c r="Y7" s="43"/>
      <c r="Z7" s="43"/>
      <c r="AA7" s="43"/>
      <c r="AB7" s="43"/>
    </row>
    <row r="8" ht="24.75" customHeight="1">
      <c r="A8" s="653" t="str">
        <f>IF(IGRF!B18="","",IGRF!B18)</f>
        <v>27</v>
      </c>
      <c r="B8" s="654" t="str">
        <f>IF(IGRF!C18="","",IGRF!C18)</f>
        <v>Gobrecht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21</v>
      </c>
      <c r="X8" s="661">
        <f t="shared" si="2"/>
        <v>0.04761904762</v>
      </c>
      <c r="Y8" s="43"/>
      <c r="Z8" s="43"/>
      <c r="AA8" s="43"/>
      <c r="AB8" s="43"/>
    </row>
    <row r="9" ht="24.75" customHeight="1">
      <c r="A9" s="662" t="str">
        <f>IF(IGRF!B19="","",IGRF!B19)</f>
        <v>33</v>
      </c>
      <c r="B9" s="663" t="str">
        <f>IF(IGRF!C19="","",IGRF!C19)</f>
        <v>Klein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13</v>
      </c>
      <c r="X9" s="669">
        <f t="shared" si="2"/>
        <v>0.07692307692</v>
      </c>
      <c r="Y9" s="43"/>
      <c r="Z9" s="43"/>
      <c r="AA9" s="43"/>
      <c r="AB9" s="43"/>
    </row>
    <row r="10" ht="24.75" customHeight="1">
      <c r="A10" s="653" t="str">
        <f>IF(IGRF!B20="","",IGRF!B20)</f>
        <v>357</v>
      </c>
      <c r="B10" s="654" t="str">
        <f>IF(IGRF!C20="","",IGRF!C20)</f>
        <v>Bia Fraid</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3</v>
      </c>
      <c r="X10" s="661">
        <f t="shared" si="2"/>
        <v>0</v>
      </c>
      <c r="Y10" s="43"/>
      <c r="Z10" s="43"/>
      <c r="AA10" s="43"/>
      <c r="AB10" s="43"/>
    </row>
    <row r="11" ht="24.75" customHeight="1">
      <c r="A11" s="662" t="str">
        <f>IF(IGRF!B21="","",IGRF!B21)</f>
        <v>40</v>
      </c>
      <c r="B11" s="663" t="str">
        <f>IF(IGRF!C21="","",IGRF!C21)</f>
        <v>speedlejuice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2</v>
      </c>
      <c r="X11" s="669">
        <f t="shared" si="2"/>
        <v>0</v>
      </c>
      <c r="Y11" s="43"/>
      <c r="Z11" s="43"/>
      <c r="AA11" s="43"/>
      <c r="AB11" s="43"/>
    </row>
    <row r="12" ht="24.75" customHeight="1">
      <c r="A12" s="653" t="str">
        <f>IF(IGRF!B22="","",IGRF!B22)</f>
        <v>50</v>
      </c>
      <c r="B12" s="654" t="str">
        <f>IF(IGRF!C22="","",IGRF!C22)</f>
        <v>Scald Eagle</v>
      </c>
      <c r="C12" s="87"/>
      <c r="D12" s="655">
        <f>IF($A12="","",SUM(PT!E19,PT!E20))</f>
        <v>0</v>
      </c>
      <c r="E12" s="656">
        <f>IF($A12="","",SUM(PT!F19,PT!F20))</f>
        <v>0</v>
      </c>
      <c r="F12" s="656">
        <f>IF($A12="","",SUM(PT!G19,PT!G20))</f>
        <v>1</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16</v>
      </c>
      <c r="X12" s="661">
        <f t="shared" si="2"/>
        <v>0.0625</v>
      </c>
      <c r="Y12" s="43"/>
      <c r="Z12" s="43"/>
      <c r="AA12" s="43"/>
      <c r="AB12" s="43"/>
    </row>
    <row r="13" ht="24.75" customHeight="1">
      <c r="A13" s="662" t="str">
        <f>IF(IGRF!B23="","",IGRF!B23)</f>
        <v>505</v>
      </c>
      <c r="B13" s="663" t="str">
        <f>IF(IGRF!C23="","",IGRF!C23)</f>
        <v>Elyse LeKraken</v>
      </c>
      <c r="C13" s="87"/>
      <c r="D13" s="664">
        <f>IF($A13="","",SUM(PT!E21,PT!E22))</f>
        <v>0</v>
      </c>
      <c r="E13" s="665">
        <f>IF($A13="","",SUM(PT!F21,PT!F22))</f>
        <v>0</v>
      </c>
      <c r="F13" s="665">
        <f>IF($A13="","",SUM(PT!G21,PT!G22))</f>
        <v>0</v>
      </c>
      <c r="G13" s="665">
        <f>IF($A13="","",SUM(PT!H21,PT!H22))</f>
        <v>0</v>
      </c>
      <c r="H13" s="665">
        <f>IF($A13="","",SUM(PT!I21,PT!I22))</f>
        <v>0</v>
      </c>
      <c r="I13" s="665">
        <f>IF($A13="","",SUM(PT!J21,PT!J22))</f>
        <v>2</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20</v>
      </c>
      <c r="X13" s="669">
        <f t="shared" si="2"/>
        <v>0.1</v>
      </c>
      <c r="Y13" s="43"/>
      <c r="Z13" s="43"/>
      <c r="AA13" s="43"/>
      <c r="AB13" s="43"/>
    </row>
    <row r="14" ht="24.75" customHeight="1">
      <c r="A14" s="653" t="str">
        <f>IF(IGRF!B24="","",IGRF!B24)</f>
        <v>8000</v>
      </c>
      <c r="B14" s="654" t="str">
        <f>IF(IGRF!C24="","",IGRF!C24)</f>
        <v>Killifornia</v>
      </c>
      <c r="C14" s="87"/>
      <c r="D14" s="655">
        <f>IF($A14="","",SUM(PT!E23,PT!E24))</f>
        <v>0</v>
      </c>
      <c r="E14" s="656">
        <f>IF($A14="","",SUM(PT!F23,PT!F24))</f>
        <v>0</v>
      </c>
      <c r="F14" s="656">
        <f>IF($A14="","",SUM(PT!G23,PT!G24))</f>
        <v>0</v>
      </c>
      <c r="G14" s="656">
        <f>IF($A14="","",SUM(PT!H23,PT!H24))</f>
        <v>1</v>
      </c>
      <c r="H14" s="656">
        <f>IF($A14="","",SUM(PT!I23,PT!I24))</f>
        <v>0</v>
      </c>
      <c r="I14" s="656">
        <f>IF($A14="","",SUM(PT!J23,PT!J24))</f>
        <v>0</v>
      </c>
      <c r="J14" s="656">
        <f>IF($A14="","",SUM(PT!K23,PT!K24))</f>
        <v>0</v>
      </c>
      <c r="K14" s="656">
        <f>IF($A14="","",SUM(PT!L23,PT!L24))</f>
        <v>0</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22</v>
      </c>
      <c r="X14" s="661">
        <f t="shared" si="2"/>
        <v>0.09090909091</v>
      </c>
      <c r="Y14" s="43"/>
      <c r="Z14" s="43"/>
      <c r="AA14" s="43"/>
      <c r="AB14" s="43"/>
    </row>
    <row r="15" ht="24.75" customHeight="1">
      <c r="A15" s="662" t="str">
        <f>IF(IGRF!B25="","",IGRF!B25)</f>
        <v>90</v>
      </c>
      <c r="B15" s="663" t="str">
        <f>IF(IGRF!C25="","",IGRF!C25)</f>
        <v>Wee Bonnie Bruiser</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9</v>
      </c>
      <c r="X15" s="669">
        <f t="shared" si="2"/>
        <v>0.1111111111</v>
      </c>
      <c r="Y15" s="43"/>
      <c r="Z15" s="43"/>
      <c r="AA15" s="43"/>
      <c r="AB15" s="43"/>
    </row>
    <row r="16" ht="24.75" customHeight="1">
      <c r="A16" s="653" t="str">
        <f>IF(IGRF!B26="","",IGRF!B26)</f>
        <v>919</v>
      </c>
      <c r="B16" s="654" t="str">
        <f>IF(IGRF!C26="","",IGRF!C26)</f>
        <v>Grizz</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2</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19</v>
      </c>
      <c r="X16" s="661">
        <f t="shared" si="2"/>
        <v>0.1578947368</v>
      </c>
      <c r="Y16" s="43"/>
      <c r="Z16" s="43"/>
      <c r="AA16" s="43"/>
      <c r="AB16" s="43"/>
    </row>
    <row r="17" ht="24.75" customHeight="1">
      <c r="A17" s="662" t="str">
        <f>IF(IGRF!B27="","",IGRF!B27)</f>
        <v>949</v>
      </c>
      <c r="B17" s="663" t="str">
        <f>IF(IGRF!C27="","",IGRF!C27)</f>
        <v>Coyote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18</v>
      </c>
      <c r="X17" s="669">
        <f t="shared" si="2"/>
        <v>0.05555555556</v>
      </c>
      <c r="Y17" s="43"/>
      <c r="Z17" s="43"/>
      <c r="AA17" s="43"/>
      <c r="AB17" s="43"/>
    </row>
    <row r="18" ht="24.75" customHeight="1">
      <c r="A18" s="653" t="str">
        <f>IF(IGRF!B28="","",IGRF!B28)</f>
        <v>99</v>
      </c>
      <c r="B18" s="654" t="str">
        <f>IF(IGRF!C28="","",IGRF!C28)</f>
        <v>Chinaski</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2</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24</v>
      </c>
      <c r="X18" s="661">
        <f t="shared" si="2"/>
        <v>0.08333333333</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327</v>
      </c>
      <c r="U24" s="678"/>
      <c r="V24" s="679">
        <f>SUM(PT!X49:AI49,C24,C25)</f>
        <v>0</v>
      </c>
      <c r="W24" s="680">
        <f t="shared" ref="W24:X24" si="4">IF(COUNT(W4:W23)=0,"-",SUM(W4:W23)/COUNT(W4:W23))</f>
        <v>15.66666667</v>
      </c>
      <c r="X24" s="681">
        <f t="shared" si="4"/>
        <v>0.07314730591</v>
      </c>
      <c r="Y24" s="43"/>
      <c r="Z24" s="43"/>
      <c r="AA24" s="43"/>
      <c r="AB24" s="43"/>
    </row>
    <row r="25" ht="20.25" customHeight="1">
      <c r="A25" s="682" t="s">
        <v>332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334</v>
      </c>
      <c r="B27" s="345"/>
      <c r="C27" s="691"/>
      <c r="D27" s="692">
        <f t="shared" ref="D27:Q27" si="5">SUM(D4:D23)</f>
        <v>0</v>
      </c>
      <c r="E27" s="692">
        <f t="shared" si="5"/>
        <v>0</v>
      </c>
      <c r="F27" s="692">
        <f t="shared" si="5"/>
        <v>1</v>
      </c>
      <c r="G27" s="692">
        <f t="shared" si="5"/>
        <v>1</v>
      </c>
      <c r="H27" s="692">
        <f t="shared" si="5"/>
        <v>0</v>
      </c>
      <c r="I27" s="692">
        <f t="shared" si="5"/>
        <v>6</v>
      </c>
      <c r="J27" s="692">
        <f t="shared" si="5"/>
        <v>1</v>
      </c>
      <c r="K27" s="692">
        <f t="shared" si="5"/>
        <v>1</v>
      </c>
      <c r="L27" s="692">
        <f t="shared" si="5"/>
        <v>0</v>
      </c>
      <c r="M27" s="692">
        <f t="shared" si="5"/>
        <v>7</v>
      </c>
      <c r="N27" s="692">
        <f t="shared" si="5"/>
        <v>2</v>
      </c>
      <c r="O27" s="692">
        <f t="shared" si="5"/>
        <v>1</v>
      </c>
      <c r="P27" s="692">
        <f t="shared" si="5"/>
        <v>0</v>
      </c>
      <c r="Q27" s="692">
        <f t="shared" si="5"/>
        <v>0</v>
      </c>
      <c r="R27" s="692"/>
      <c r="S27" s="692"/>
      <c r="T27" s="693">
        <f>SUM(T4:T23)</f>
        <v>20</v>
      </c>
      <c r="U27" s="686">
        <f>SUM(U4:U23,C24,C25)</f>
        <v>20</v>
      </c>
      <c r="V27" s="694" t="s">
        <v>335</v>
      </c>
      <c r="W27" s="45"/>
      <c r="X27" s="46"/>
      <c r="Y27" s="43"/>
      <c r="Z27" s="43"/>
      <c r="AA27" s="43"/>
      <c r="AB27" s="43"/>
    </row>
    <row r="28" ht="12.75" customHeight="1">
      <c r="A28" s="695"/>
      <c r="C28" s="696"/>
      <c r="D28" s="697" t="s">
        <v>336</v>
      </c>
      <c r="E28" s="14"/>
      <c r="F28" s="14"/>
      <c r="G28" s="14"/>
      <c r="H28" s="14"/>
      <c r="I28" s="42"/>
      <c r="J28" s="698">
        <f>IF(OR(LU!D3=0,LU!D102=0),"",T27/(LU!D3+LU!D102))</f>
        <v>0.4255319149</v>
      </c>
      <c r="K28" s="42"/>
      <c r="L28" s="699" t="s">
        <v>337</v>
      </c>
      <c r="M28" s="345"/>
      <c r="N28" s="345"/>
      <c r="O28" s="345"/>
      <c r="P28" s="691"/>
      <c r="Q28" s="700"/>
      <c r="R28" s="701">
        <f>IF(T27+T56=0,"",T27/(T27+T56))</f>
        <v>0.4081632653</v>
      </c>
      <c r="S28" s="691"/>
      <c r="T28" s="702">
        <f t="shared" ref="T28:U28" si="6">IF(T27+T56=0,"",T27/(T27+T56))</f>
        <v>0.4081632653</v>
      </c>
      <c r="U28" s="703">
        <f t="shared" si="6"/>
        <v>0.4081632653</v>
      </c>
      <c r="V28" s="704" t="s">
        <v>338</v>
      </c>
      <c r="W28" s="345"/>
      <c r="X28" s="346"/>
      <c r="Y28" s="43"/>
      <c r="Z28" s="43"/>
      <c r="AA28" s="43"/>
      <c r="AB28" s="43"/>
    </row>
    <row r="29" ht="12.75" customHeight="1">
      <c r="A29" s="155"/>
      <c r="B29" s="20"/>
      <c r="C29" s="156"/>
      <c r="D29" s="705" t="s">
        <v>339</v>
      </c>
      <c r="E29" s="39"/>
      <c r="F29" s="39"/>
      <c r="G29" s="39"/>
      <c r="H29" s="39"/>
      <c r="I29" s="40"/>
      <c r="J29" s="706">
        <f>IF(OR(J28="",J57=""),"",J28-J57)</f>
        <v>-0.1914893617</v>
      </c>
      <c r="K29" s="40"/>
      <c r="L29" s="707"/>
      <c r="M29" s="20"/>
      <c r="N29" s="20"/>
      <c r="O29" s="20"/>
      <c r="P29" s="156"/>
      <c r="Q29" s="700"/>
      <c r="R29" s="214"/>
      <c r="S29" s="156"/>
      <c r="T29" s="419"/>
      <c r="U29" s="379"/>
      <c r="V29" s="214"/>
      <c r="W29" s="20"/>
      <c r="X29" s="21"/>
      <c r="Y29" s="43"/>
      <c r="Z29" s="43"/>
      <c r="AA29" s="43"/>
      <c r="AB29" s="43"/>
    </row>
    <row r="30" ht="20.25" customHeight="1">
      <c r="A30" s="634">
        <f>IF(IGRF!$B$7="","",IGRF!$B$7)</f>
        <v>45108</v>
      </c>
      <c r="B30" s="45"/>
      <c r="C30" s="45"/>
      <c r="D30" s="635" t="s">
        <v>323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Rose City Rollers / Rose City Rollers: Axles of Annihilation</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327</v>
      </c>
      <c r="U32" s="649" t="s">
        <v>328</v>
      </c>
      <c r="V32" s="650" t="s">
        <v>329</v>
      </c>
      <c r="W32" s="651" t="s">
        <v>330</v>
      </c>
      <c r="X32" s="652" t="s">
        <v>331</v>
      </c>
      <c r="Y32" s="43"/>
      <c r="Z32" s="43"/>
      <c r="AA32" s="43"/>
      <c r="AB32" s="43"/>
    </row>
    <row r="33" ht="24.75" customHeight="1">
      <c r="A33" s="653" t="str">
        <f>IF(IGRF!I14="","",IGRF!I14)</f>
        <v>11</v>
      </c>
      <c r="B33" s="654" t="str">
        <f>IF(IGRF!J14="","",IGRF!J14)</f>
        <v>Bertha Beatdown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1</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16</v>
      </c>
      <c r="X33" s="661">
        <f t="shared" ref="X33:X52" si="10">IF(OR(W33="",W33=0),"",U33/W33)</f>
        <v>0.0625</v>
      </c>
      <c r="Y33" s="43"/>
      <c r="Z33" s="43"/>
      <c r="AA33" s="43"/>
      <c r="AB33" s="43"/>
    </row>
    <row r="34" ht="24.75" customHeight="1">
      <c r="A34" s="662" t="str">
        <f>IF(IGRF!I15="","",IGRF!I15)</f>
        <v>128</v>
      </c>
      <c r="B34" s="663" t="str">
        <f>IF(IGRF!J15="","",IGRF!J15)</f>
        <v>Carl</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8</v>
      </c>
      <c r="X34" s="669">
        <f t="shared" si="10"/>
        <v>0.25</v>
      </c>
      <c r="Y34" s="43"/>
      <c r="Z34" s="43"/>
      <c r="AA34" s="43"/>
      <c r="AB34" s="43"/>
    </row>
    <row r="35" ht="24.75" customHeight="1">
      <c r="A35" s="653" t="str">
        <f>IF(IGRF!I16="","",IGRF!I16)</f>
        <v>139</v>
      </c>
      <c r="B35" s="654" t="str">
        <f>IF(IGRF!J16="","",IGRF!J16)</f>
        <v>Katie Postma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11</v>
      </c>
      <c r="X35" s="661">
        <f t="shared" si="10"/>
        <v>0</v>
      </c>
      <c r="Y35" s="43"/>
      <c r="Z35" s="43"/>
      <c r="AA35" s="43"/>
      <c r="AB35" s="43"/>
    </row>
    <row r="36" ht="24.75" customHeight="1">
      <c r="A36" s="662" t="str">
        <f>IF(IGRF!I17="","",IGRF!I17)</f>
        <v>22</v>
      </c>
      <c r="B36" s="663" t="str">
        <f>IF(IGRF!J17="","",IGRF!J17)</f>
        <v>Habanero Romero</v>
      </c>
      <c r="C36" s="87"/>
      <c r="D36" s="664">
        <f>IF($A36="","",SUM(PT!E62,PT!E63))</f>
        <v>1</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0</v>
      </c>
      <c r="N36" s="665">
        <f>IF($A36="","",SUM(PT!O62,PT!O63))</f>
        <v>0</v>
      </c>
      <c r="O36" s="665">
        <f>IF($A36="","",SUM(PT!P62,PT!P63))</f>
        <v>2</v>
      </c>
      <c r="P36" s="665">
        <f>IF($A36="","",SUM(PT!Q62,PT!Q63))</f>
        <v>0</v>
      </c>
      <c r="Q36" s="665">
        <f>IF($A36="","",SUM(PT!R62,PT!R63))</f>
        <v>0</v>
      </c>
      <c r="R36" s="665"/>
      <c r="S36" s="665"/>
      <c r="T36" s="666">
        <f t="shared" si="9"/>
        <v>5</v>
      </c>
      <c r="U36" s="667">
        <f>IF($A36="","",SUM(PT!U62,PT!U63))</f>
        <v>5</v>
      </c>
      <c r="V36" s="664" t="str">
        <f>IF($A36="","",PT!AJ63)</f>
        <v/>
      </c>
      <c r="W36" s="668">
        <f>'Game Summary'!F31</f>
        <v>24</v>
      </c>
      <c r="X36" s="669">
        <f t="shared" si="10"/>
        <v>0.2083333333</v>
      </c>
      <c r="Y36" s="43"/>
      <c r="Z36" s="43"/>
      <c r="AA36" s="43"/>
      <c r="AB36" s="43"/>
    </row>
    <row r="37" ht="24.75" customHeight="1">
      <c r="A37" s="653" t="str">
        <f>IF(IGRF!I18="","",IGRF!I18)</f>
        <v>241</v>
      </c>
      <c r="B37" s="654" t="str">
        <f>IF(IGRF!J18="","",IGRF!J18)</f>
        <v>Lilly Pate</v>
      </c>
      <c r="C37" s="87"/>
      <c r="D37" s="655">
        <f>IF($A37="","",SUM(PT!E64,PT!E65))</f>
        <v>0</v>
      </c>
      <c r="E37" s="656">
        <f>IF($A37="","",SUM(PT!F64,PT!F65))</f>
        <v>1</v>
      </c>
      <c r="F37" s="656">
        <f>IF($A37="","",SUM(PT!G64,PT!G65))</f>
        <v>0</v>
      </c>
      <c r="G37" s="656">
        <f>IF($A37="","",SUM(PT!H64,PT!H65))</f>
        <v>0</v>
      </c>
      <c r="H37" s="656">
        <f>IF($A37="","",SUM(PT!I64,PT!I65))</f>
        <v>0</v>
      </c>
      <c r="I37" s="656">
        <f>IF($A37="","",SUM(PT!J64,PT!J65))</f>
        <v>1</v>
      </c>
      <c r="J37" s="656">
        <f>IF($A37="","",SUM(PT!K64,PT!K65))</f>
        <v>0</v>
      </c>
      <c r="K37" s="656">
        <f>IF($A37="","",SUM(PT!L64,PT!L65))</f>
        <v>1</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4</v>
      </c>
      <c r="U37" s="658">
        <f>IF($A37="","",SUM(PT!U64,PT!U65))</f>
        <v>4</v>
      </c>
      <c r="V37" s="659" t="str">
        <f>IF($A37="","",PT!AJ65)</f>
        <v/>
      </c>
      <c r="W37" s="660">
        <f>'Game Summary'!F32</f>
        <v>27</v>
      </c>
      <c r="X37" s="661">
        <f t="shared" si="10"/>
        <v>0.1481481481</v>
      </c>
      <c r="Y37" s="43"/>
      <c r="Z37" s="43"/>
      <c r="AA37" s="43"/>
      <c r="AB37" s="43"/>
    </row>
    <row r="38" ht="24.75" customHeight="1">
      <c r="A38" s="662" t="str">
        <f>IF(IGRF!I19="","",IGRF!I19)</f>
        <v>316</v>
      </c>
      <c r="B38" s="663" t="str">
        <f>IF(IGRF!J19="","",IGRF!J19)</f>
        <v>Eve Anne Hellical</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11</v>
      </c>
      <c r="X38" s="669">
        <f t="shared" si="10"/>
        <v>0</v>
      </c>
      <c r="Y38" s="43"/>
      <c r="Z38" s="43"/>
      <c r="AA38" s="43"/>
      <c r="AB38" s="43"/>
    </row>
    <row r="39" ht="24.75" customHeight="1">
      <c r="A39" s="653" t="str">
        <f>IF(IGRF!I20="","",IGRF!I20)</f>
        <v>343</v>
      </c>
      <c r="B39" s="654" t="str">
        <f>IF(IGRF!J20="","",IGRF!J20)</f>
        <v>Trinity</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13</v>
      </c>
      <c r="X39" s="661">
        <f t="shared" si="10"/>
        <v>0</v>
      </c>
      <c r="Y39" s="43"/>
      <c r="Z39" s="43"/>
      <c r="AA39" s="43"/>
      <c r="AB39" s="43"/>
    </row>
    <row r="40" ht="24.75" customHeight="1">
      <c r="A40" s="662" t="str">
        <f>IF(IGRF!I21="","",IGRF!I21)</f>
        <v>360</v>
      </c>
      <c r="B40" s="663" t="str">
        <f>IF(IGRF!J21="","",IGRF!J21)</f>
        <v>Big Bang Fury</v>
      </c>
      <c r="C40" s="87"/>
      <c r="D40" s="664">
        <f>IF($A40="","",SUM(PT!E70,PT!E71))</f>
        <v>0</v>
      </c>
      <c r="E40" s="665">
        <f>IF($A40="","",SUM(PT!F70,PT!F71))</f>
        <v>1</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28</v>
      </c>
      <c r="X40" s="669">
        <f t="shared" si="10"/>
        <v>0.1071428571</v>
      </c>
      <c r="Y40" s="43"/>
      <c r="Z40" s="43"/>
      <c r="AA40" s="43"/>
      <c r="AB40" s="43"/>
    </row>
    <row r="41" ht="24.75" customHeight="1">
      <c r="A41" s="653" t="str">
        <f>IF(IGRF!I22="","",IGRF!I22)</f>
        <v>37</v>
      </c>
      <c r="B41" s="654" t="str">
        <f>IF(IGRF!J22="","",IGRF!J22)</f>
        <v>Swagetha</v>
      </c>
      <c r="C41" s="87"/>
      <c r="D41" s="655">
        <f>IF($A41="","",SUM(PT!E72,PT!E73))</f>
        <v>0</v>
      </c>
      <c r="E41" s="656">
        <f>IF($A41="","",SUM(PT!F72,PT!F73))</f>
        <v>1</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1</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12</v>
      </c>
      <c r="X41" s="661">
        <f t="shared" si="10"/>
        <v>0.1666666667</v>
      </c>
      <c r="Y41" s="43"/>
      <c r="Z41" s="43"/>
      <c r="AA41" s="43"/>
      <c r="AB41" s="43"/>
    </row>
    <row r="42" ht="24.75" customHeight="1">
      <c r="A42" s="662" t="str">
        <f>IF(IGRF!I23="","",IGRF!I23)</f>
        <v>39</v>
      </c>
      <c r="B42" s="663" t="str">
        <f>IF(IGRF!J23="","",IGRF!J23)</f>
        <v>Gaffney</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22</v>
      </c>
      <c r="X42" s="669">
        <f t="shared" si="10"/>
        <v>0.09090909091</v>
      </c>
      <c r="Y42" s="43"/>
      <c r="Z42" s="43"/>
      <c r="AA42" s="43"/>
      <c r="AB42" s="43"/>
    </row>
    <row r="43" ht="24.75" customHeight="1">
      <c r="A43" s="653" t="str">
        <f>IF(IGRF!I24="","",IGRF!I24)</f>
        <v>48</v>
      </c>
      <c r="B43" s="654" t="str">
        <f>IF(IGRF!J24="","",IGRF!J24)</f>
        <v>Brute</v>
      </c>
      <c r="C43" s="87"/>
      <c r="D43" s="655">
        <f>IF($A43="","",SUM(PT!E76,PT!E77))</f>
        <v>0</v>
      </c>
      <c r="E43" s="656">
        <f>IF($A43="","",SUM(PT!F76,PT!F77))</f>
        <v>0</v>
      </c>
      <c r="F43" s="656">
        <f>IF($A43="","",SUM(PT!G76,PT!G77))</f>
        <v>0</v>
      </c>
      <c r="G43" s="656">
        <f>IF($A43="","",SUM(PT!H76,PT!H77))</f>
        <v>0</v>
      </c>
      <c r="H43" s="656">
        <f>IF($A43="","",SUM(PT!I76,PT!I77))</f>
        <v>0</v>
      </c>
      <c r="I43" s="656">
        <f>IF($A43="","",SUM(PT!J76,PT!J77))</f>
        <v>2</v>
      </c>
      <c r="J43" s="656">
        <f>IF($A43="","",SUM(PT!K76,PT!K77))</f>
        <v>0</v>
      </c>
      <c r="K43" s="656">
        <f>IF($A43="","",SUM(PT!L76,PT!L77))</f>
        <v>0</v>
      </c>
      <c r="L43" s="656">
        <f>IF($A43="","",SUM(PT!M76,PT!M77))</f>
        <v>0</v>
      </c>
      <c r="M43" s="656">
        <f>IF($A43="","",SUM(PT!N76,PT!N77))</f>
        <v>1</v>
      </c>
      <c r="N43" s="656">
        <f>IF($A43="","",SUM(PT!O76,PT!O77))</f>
        <v>1</v>
      </c>
      <c r="O43" s="656">
        <f>IF($A43="","",SUM(PT!P76,PT!P77))</f>
        <v>1</v>
      </c>
      <c r="P43" s="656">
        <f>IF($A43="","",SUM(PT!Q76,PT!Q77))</f>
        <v>0</v>
      </c>
      <c r="Q43" s="656">
        <f>IF($A43="","",SUM(PT!R76,PT!R77))</f>
        <v>0</v>
      </c>
      <c r="R43" s="656"/>
      <c r="S43" s="656"/>
      <c r="T43" s="657">
        <f t="shared" si="9"/>
        <v>5</v>
      </c>
      <c r="U43" s="658">
        <f>IF($A43="","",SUM(PT!U76,PT!U77))</f>
        <v>5</v>
      </c>
      <c r="V43" s="659" t="str">
        <f>IF($A43="","",PT!AJ77)</f>
        <v/>
      </c>
      <c r="W43" s="660">
        <f>'Game Summary'!F38</f>
        <v>27</v>
      </c>
      <c r="X43" s="661">
        <f t="shared" si="10"/>
        <v>0.1851851852</v>
      </c>
      <c r="Y43" s="43"/>
      <c r="Z43" s="43"/>
      <c r="AA43" s="43"/>
      <c r="AB43" s="43"/>
    </row>
    <row r="44" ht="24.75" customHeight="1">
      <c r="A44" s="662" t="str">
        <f>IF(IGRF!I25="","",IGRF!I25)</f>
        <v>700</v>
      </c>
      <c r="B44" s="663" t="str">
        <f>IF(IGRF!J25="","",IGRF!J25)</f>
        <v>Springroll</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11</v>
      </c>
      <c r="X44" s="669">
        <f t="shared" si="10"/>
        <v>0.09090909091</v>
      </c>
      <c r="Y44" s="43"/>
      <c r="Z44" s="43"/>
      <c r="AA44" s="43"/>
      <c r="AB44" s="43"/>
    </row>
    <row r="45" ht="24.75" customHeight="1">
      <c r="A45" s="653" t="str">
        <f>IF(IGRF!I26="","",IGRF!I26)</f>
        <v>71</v>
      </c>
      <c r="B45" s="654" t="str">
        <f>IF(IGRF!J26="","",IGRF!J26)</f>
        <v>Danger Potato</v>
      </c>
      <c r="C45" s="87"/>
      <c r="D45" s="655">
        <f>IF($A45="","",SUM(PT!E80,PT!E81))</f>
        <v>0</v>
      </c>
      <c r="E45" s="656">
        <f>IF($A45="","",SUM(PT!F80,PT!F81))</f>
        <v>1</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2</v>
      </c>
      <c r="X45" s="661">
        <f t="shared" si="10"/>
        <v>0.5</v>
      </c>
      <c r="Y45" s="43"/>
      <c r="Z45" s="43"/>
      <c r="AA45" s="43"/>
      <c r="AB45" s="43"/>
    </row>
    <row r="46" ht="24.75" customHeight="1">
      <c r="A46" s="662" t="str">
        <f>IF(IGRF!I27="","",IGRF!I27)</f>
        <v>79</v>
      </c>
      <c r="B46" s="663" t="str">
        <f>IF(IGRF!J27="","",IGRF!J27)</f>
        <v>Lil RegulateHer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12</v>
      </c>
      <c r="X46" s="669">
        <f t="shared" si="10"/>
        <v>0.08333333333</v>
      </c>
      <c r="Y46" s="43"/>
      <c r="Z46" s="43"/>
      <c r="AA46" s="43"/>
      <c r="AB46" s="43"/>
    </row>
    <row r="47" ht="24.75" customHeight="1">
      <c r="A47" s="653" t="str">
        <f>IF(IGRF!I28="","",IGRF!I28)</f>
        <v>89</v>
      </c>
      <c r="B47" s="654" t="str">
        <f>IF(IGRF!J28="","",IGRF!J28)</f>
        <v>High Roller</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0</v>
      </c>
      <c r="N47" s="656">
        <f>IF($A47="","",SUM(PT!O84,PT!O85))</f>
        <v>1</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16</v>
      </c>
      <c r="X47" s="661">
        <f t="shared" si="10"/>
        <v>0.125</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327</v>
      </c>
      <c r="U53" s="678"/>
      <c r="V53" s="679">
        <f>SUM(PT!X102:AI102,C53,C54)</f>
        <v>0</v>
      </c>
      <c r="W53" s="680">
        <f t="shared" ref="W53:X53" si="12">IF(COUNT(W33:W52)=0,"-",SUM(W33:W52)/COUNT(W33:W52))</f>
        <v>16</v>
      </c>
      <c r="X53" s="681">
        <f t="shared" si="12"/>
        <v>0.134541847</v>
      </c>
      <c r="Y53" s="43"/>
      <c r="Z53" s="43"/>
      <c r="AA53" s="43"/>
      <c r="AB53" s="43"/>
    </row>
    <row r="54" ht="21.0" customHeight="1">
      <c r="A54" s="682" t="s">
        <v>332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334</v>
      </c>
      <c r="B56" s="345"/>
      <c r="C56" s="691"/>
      <c r="D56" s="692">
        <f t="shared" ref="D56:Q56" si="13">SUM(D33:D52)</f>
        <v>1</v>
      </c>
      <c r="E56" s="692">
        <f t="shared" si="13"/>
        <v>4</v>
      </c>
      <c r="F56" s="692">
        <f t="shared" si="13"/>
        <v>0</v>
      </c>
      <c r="G56" s="692">
        <f t="shared" si="13"/>
        <v>0</v>
      </c>
      <c r="H56" s="692">
        <f t="shared" si="13"/>
        <v>0</v>
      </c>
      <c r="I56" s="692">
        <f t="shared" si="13"/>
        <v>9</v>
      </c>
      <c r="J56" s="692">
        <f t="shared" si="13"/>
        <v>0</v>
      </c>
      <c r="K56" s="692">
        <f t="shared" si="13"/>
        <v>1</v>
      </c>
      <c r="L56" s="692">
        <f t="shared" si="13"/>
        <v>0</v>
      </c>
      <c r="M56" s="692">
        <f t="shared" si="13"/>
        <v>3</v>
      </c>
      <c r="N56" s="692">
        <f t="shared" si="13"/>
        <v>7</v>
      </c>
      <c r="O56" s="692">
        <f t="shared" si="13"/>
        <v>4</v>
      </c>
      <c r="P56" s="692">
        <f t="shared" si="13"/>
        <v>0</v>
      </c>
      <c r="Q56" s="692">
        <f t="shared" si="13"/>
        <v>0</v>
      </c>
      <c r="R56" s="692"/>
      <c r="S56" s="692"/>
      <c r="T56" s="692">
        <f>SUM(T33:T52)</f>
        <v>29</v>
      </c>
      <c r="U56" s="686">
        <f>SUM(U33:U52,C53,C54)</f>
        <v>29</v>
      </c>
      <c r="V56" s="694" t="s">
        <v>335</v>
      </c>
      <c r="W56" s="45"/>
      <c r="X56" s="46"/>
      <c r="Y56" s="43"/>
      <c r="Z56" s="43"/>
      <c r="AA56" s="43"/>
      <c r="AB56" s="43"/>
    </row>
    <row r="57" ht="12.75" customHeight="1">
      <c r="A57" s="695"/>
      <c r="C57" s="696"/>
      <c r="D57" s="697" t="s">
        <v>336</v>
      </c>
      <c r="E57" s="14"/>
      <c r="F57" s="14"/>
      <c r="G57" s="14"/>
      <c r="H57" s="14"/>
      <c r="I57" s="42"/>
      <c r="J57" s="698">
        <f>IF(OR(LU!W3=0,LU!W102=0),"",T56/(LU!W3+LU!W102))</f>
        <v>0.6170212766</v>
      </c>
      <c r="K57" s="42"/>
      <c r="L57" s="699" t="s">
        <v>337</v>
      </c>
      <c r="M57" s="345"/>
      <c r="N57" s="345"/>
      <c r="O57" s="345"/>
      <c r="P57" s="691"/>
      <c r="Q57" s="700"/>
      <c r="R57" s="701">
        <f>IF(T27+T56=0,"",T56/(T27+T56))</f>
        <v>0.5918367347</v>
      </c>
      <c r="S57" s="691"/>
      <c r="T57" s="702">
        <f t="shared" ref="T57:U57" si="14">IF(T27+T56=0,"",T56/(T27+T56))</f>
        <v>0.5918367347</v>
      </c>
      <c r="U57" s="703">
        <f t="shared" si="14"/>
        <v>0.5918367347</v>
      </c>
      <c r="V57" s="704" t="s">
        <v>338</v>
      </c>
      <c r="W57" s="345"/>
      <c r="X57" s="346"/>
      <c r="Y57" s="43"/>
      <c r="Z57" s="43"/>
      <c r="AA57" s="43"/>
      <c r="AB57" s="43"/>
    </row>
    <row r="58" ht="13.5" customHeight="1">
      <c r="A58" s="155"/>
      <c r="B58" s="20"/>
      <c r="C58" s="156"/>
      <c r="D58" s="705" t="s">
        <v>339</v>
      </c>
      <c r="E58" s="39"/>
      <c r="F58" s="39"/>
      <c r="G58" s="39"/>
      <c r="H58" s="39"/>
      <c r="I58" s="40"/>
      <c r="J58" s="706">
        <f>IF(OR(J28="",J57=""),"",J57-J28)</f>
        <v>0.1914893617</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Denver roller Derby / Mile High Club</v>
      </c>
      <c r="B1" s="691"/>
      <c r="C1" s="709">
        <f>IF(ISBLANK(IGRF!$B$7), "", IGRF!$B$7)</f>
        <v>45108</v>
      </c>
      <c r="D1" s="710">
        <v>1.0</v>
      </c>
      <c r="H1" s="708" t="str">
        <f>Score!$T$1</f>
        <v>Rose City Rollers / Rose City Rollers: Axles of Annihilation</v>
      </c>
      <c r="I1" s="691"/>
      <c r="J1" s="709">
        <f>IF(ISBLANK(IGRF!$B$7), "", IGRF!$B$7)</f>
        <v>45108</v>
      </c>
      <c r="K1" s="710">
        <v>1.0</v>
      </c>
    </row>
    <row r="2" ht="13.5" customHeight="1">
      <c r="A2" s="155"/>
      <c r="B2" s="156"/>
      <c r="C2" s="711" t="s">
        <v>180</v>
      </c>
      <c r="D2" s="419"/>
      <c r="H2" s="155"/>
      <c r="I2" s="156"/>
      <c r="J2" s="711" t="s">
        <v>180</v>
      </c>
      <c r="K2" s="419"/>
    </row>
    <row r="3" ht="13.5" customHeight="1">
      <c r="A3" s="712" t="s">
        <v>257</v>
      </c>
      <c r="B3" s="713" t="s">
        <v>340</v>
      </c>
      <c r="C3" s="714" t="s">
        <v>341</v>
      </c>
      <c r="D3" s="715" t="str">
        <f>IF(ISBLANK(IGRF!$L$3), "", "GAME " &amp; IGRF!$L$3)</f>
        <v>GAME 1</v>
      </c>
      <c r="H3" s="712" t="s">
        <v>257</v>
      </c>
      <c r="I3" s="713" t="s">
        <v>340</v>
      </c>
      <c r="J3" s="714" t="s">
        <v>341</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f>IF(Score!A19="", "",Score!A19 )</f>
        <v>16</v>
      </c>
      <c r="B19" s="718"/>
      <c r="C19" s="719"/>
      <c r="D19" s="87"/>
      <c r="H19" s="240">
        <f>IF(Score!T19="", "",Score!T19 )</f>
        <v>16</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f>IF(Score!A27="", "",Score!A27 )</f>
        <v>23</v>
      </c>
      <c r="B27" s="718"/>
      <c r="C27" s="719"/>
      <c r="D27" s="87"/>
      <c r="H27" s="240">
        <f>IF(Score!T27="", "",Score!T27 )</f>
        <v>23</v>
      </c>
      <c r="I27" s="718"/>
      <c r="J27" s="719"/>
      <c r="K27" s="87"/>
    </row>
    <row r="28" ht="12.75" customHeight="1">
      <c r="A28" s="228">
        <f>IF(Score!A28="", "",Score!A28 )</f>
        <v>24</v>
      </c>
      <c r="B28" s="716"/>
      <c r="C28" s="717"/>
      <c r="D28" s="87"/>
      <c r="H28" s="228">
        <f>IF(Score!T28="", "",Score!T28 )</f>
        <v>24</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342</v>
      </c>
      <c r="B42" s="725">
        <f>SUM(B4:B41)</f>
        <v>0</v>
      </c>
      <c r="C42" s="726"/>
      <c r="D42" s="21"/>
      <c r="H42" s="724" t="str">
        <f>A42</f>
        <v>Period Offset</v>
      </c>
      <c r="I42" s="725">
        <f>SUM(I4:I41)</f>
        <v>0</v>
      </c>
      <c r="J42" s="726"/>
      <c r="K42" s="21"/>
    </row>
    <row r="43" ht="12.75" customHeight="1">
      <c r="A43" s="708" t="str">
        <f>A1</f>
        <v>Denver roller Derby / Mile High Club</v>
      </c>
      <c r="B43" s="691"/>
      <c r="C43" s="709">
        <f>IF(ISBLANK(IGRF!$B$7), "", IGRF!$B$7)</f>
        <v>45108</v>
      </c>
      <c r="D43" s="710">
        <v>2.0</v>
      </c>
      <c r="H43" s="708" t="str">
        <f>H1</f>
        <v>Rose City Rollers / Rose City Rollers: Axles of Annihilation</v>
      </c>
      <c r="I43" s="691"/>
      <c r="J43" s="709">
        <f>IF(ISBLANK(IGRF!$B$7), "", IGRF!$B$7)</f>
        <v>45108</v>
      </c>
      <c r="K43" s="710">
        <v>2.0</v>
      </c>
    </row>
    <row r="44" ht="13.5" customHeight="1">
      <c r="A44" s="155"/>
      <c r="B44" s="156"/>
      <c r="C44" s="711" t="s">
        <v>180</v>
      </c>
      <c r="D44" s="419"/>
      <c r="H44" s="155"/>
      <c r="I44" s="156"/>
      <c r="J44" s="711" t="s">
        <v>180</v>
      </c>
      <c r="K44" s="419"/>
    </row>
    <row r="45" ht="13.5" customHeight="1">
      <c r="A45" s="712" t="s">
        <v>257</v>
      </c>
      <c r="B45" s="713" t="s">
        <v>340</v>
      </c>
      <c r="C45" s="714" t="s">
        <v>341</v>
      </c>
      <c r="D45" s="715" t="str">
        <f>IF(ISBLANK(IGRF!$L$3), "", "GAME " &amp; IGRF!$L$3)</f>
        <v>GAME 1</v>
      </c>
      <c r="H45" s="712" t="s">
        <v>257</v>
      </c>
      <c r="I45" s="713" t="s">
        <v>340</v>
      </c>
      <c r="J45" s="714" t="s">
        <v>341</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f>IF(Score!A61="", "",Score!A61 )</f>
        <v>16</v>
      </c>
      <c r="B61" s="718"/>
      <c r="C61" s="719"/>
      <c r="D61" s="87"/>
      <c r="H61" s="303">
        <f>IF(Score!T61="", "",Score!T61 )</f>
        <v>16</v>
      </c>
      <c r="I61" s="718"/>
      <c r="J61" s="719"/>
      <c r="K61" s="87"/>
    </row>
    <row r="62" ht="12.75" customHeight="1">
      <c r="A62" s="228">
        <f>IF(Score!A62="", "",Score!A62 )</f>
        <v>17</v>
      </c>
      <c r="B62" s="716"/>
      <c r="C62" s="717"/>
      <c r="D62" s="87"/>
      <c r="H62" s="301">
        <f>IF(Score!T62="", "",Score!T62 )</f>
        <v>17</v>
      </c>
      <c r="I62" s="716"/>
      <c r="J62" s="717"/>
      <c r="K62" s="87"/>
    </row>
    <row r="63" ht="12.75" customHeight="1">
      <c r="A63" s="240">
        <f>IF(Score!A63="", "",Score!A63 )</f>
        <v>18</v>
      </c>
      <c r="B63" s="718"/>
      <c r="C63" s="719"/>
      <c r="D63" s="87"/>
      <c r="H63" s="303">
        <f>IF(Score!T63="", "",Score!T63 )</f>
        <v>18</v>
      </c>
      <c r="I63" s="718"/>
      <c r="J63" s="719"/>
      <c r="K63" s="87"/>
    </row>
    <row r="64" ht="12.75" customHeight="1">
      <c r="A64" s="228">
        <f>IF(Score!A64="", "",Score!A64 )</f>
        <v>19</v>
      </c>
      <c r="B64" s="716"/>
      <c r="C64" s="717"/>
      <c r="D64" s="87"/>
      <c r="H64" s="301">
        <f>IF(Score!T64="", "",Score!T64 )</f>
        <v>19</v>
      </c>
      <c r="I64" s="716"/>
      <c r="J64" s="717"/>
      <c r="K64" s="87"/>
    </row>
    <row r="65" ht="12.75" customHeight="1">
      <c r="A65" s="240">
        <f>IF(Score!A65="", "",Score!A65 )</f>
        <v>20</v>
      </c>
      <c r="B65" s="718"/>
      <c r="C65" s="719"/>
      <c r="D65" s="87"/>
      <c r="H65" s="303">
        <f>IF(Score!T65="", "",Score!T65 )</f>
        <v>20</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21</v>
      </c>
      <c r="B67" s="718"/>
      <c r="C67" s="719"/>
      <c r="D67" s="87"/>
      <c r="H67" s="303">
        <f>IF(Score!T67="", "",Score!T67 )</f>
        <v>21</v>
      </c>
      <c r="I67" s="718"/>
      <c r="J67" s="719"/>
      <c r="K67" s="87"/>
    </row>
    <row r="68" ht="12.75" customHeight="1">
      <c r="A68" s="228">
        <f>IF(Score!A68="", "",Score!A68 )</f>
        <v>22</v>
      </c>
      <c r="B68" s="716"/>
      <c r="C68" s="717"/>
      <c r="D68" s="87"/>
      <c r="H68" s="301">
        <f>IF(Score!T68="", "",Score!T68 )</f>
        <v>22</v>
      </c>
      <c r="I68" s="716"/>
      <c r="J68" s="717"/>
      <c r="K68" s="87"/>
    </row>
    <row r="69" ht="12.75" customHeight="1">
      <c r="A69" s="240">
        <f>IF(Score!A69="", "",Score!A69 )</f>
        <v>23</v>
      </c>
      <c r="B69" s="718"/>
      <c r="C69" s="719"/>
      <c r="D69" s="87"/>
      <c r="H69" s="303">
        <f>IF(Score!T69="", "",Score!T69 )</f>
        <v>23</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Mile High Club</v>
      </c>
      <c r="B1" s="205"/>
      <c r="C1" s="205"/>
      <c r="D1" s="205"/>
      <c r="E1" s="205"/>
      <c r="F1" s="205"/>
      <c r="G1" s="206"/>
      <c r="H1" s="207" t="str">
        <f>IF(ISBLANK(IGRF!$B$12), "", IGRF!$B$12)</f>
        <v>Blue</v>
      </c>
      <c r="I1" s="151"/>
      <c r="J1" s="314">
        <f>IF(ISBLANK(IGRF!$B$7), "", IGRF!$B$7)</f>
        <v>45108</v>
      </c>
      <c r="K1" s="211"/>
      <c r="L1" s="209"/>
      <c r="M1" s="151"/>
      <c r="N1" s="151"/>
      <c r="O1" s="151"/>
      <c r="P1" s="151"/>
      <c r="Q1" s="151"/>
      <c r="R1" s="313" t="str">
        <f>Score!$T$1</f>
        <v>Rose City Rollers / Rose City Rollers: Axles of Annihilation</v>
      </c>
      <c r="S1" s="205"/>
      <c r="T1" s="205"/>
      <c r="U1" s="205"/>
      <c r="V1" s="205"/>
      <c r="W1" s="205"/>
      <c r="X1" s="206"/>
      <c r="Y1" s="207" t="str">
        <f>IF(ISBLANK(IGRF!$I$12), "", IGRF!$I$12)</f>
        <v>White</v>
      </c>
      <c r="Z1" s="151"/>
      <c r="AA1" s="314">
        <f>IF(ISBLANK(IGRF!$B$7), "", IGRF!$B$7)</f>
        <v>45108</v>
      </c>
      <c r="AB1" s="211"/>
      <c r="AC1" s="209"/>
      <c r="AD1" s="151"/>
      <c r="AE1" s="151"/>
      <c r="AF1" s="151"/>
      <c r="AG1" s="151"/>
      <c r="AH1" s="151"/>
    </row>
    <row r="2" ht="11.25" customHeight="1">
      <c r="A2" s="214"/>
      <c r="B2" s="20"/>
      <c r="C2" s="20"/>
      <c r="D2" s="20"/>
      <c r="E2" s="20"/>
      <c r="F2" s="20"/>
      <c r="G2" s="156"/>
      <c r="H2" s="728" t="s">
        <v>179</v>
      </c>
      <c r="I2" s="71"/>
      <c r="J2" s="729" t="s">
        <v>180</v>
      </c>
      <c r="K2" s="72"/>
      <c r="L2" s="730" t="s">
        <v>158</v>
      </c>
      <c r="M2" s="147"/>
      <c r="N2" s="147"/>
      <c r="O2" s="147"/>
      <c r="P2" s="147"/>
      <c r="Q2" s="731" t="str">
        <f>IF(ISBLANK(IGRF!$L$3), "", "GAME " &amp; IGRF!$L$3)</f>
        <v>GAME 1</v>
      </c>
      <c r="R2" s="214"/>
      <c r="S2" s="20"/>
      <c r="T2" s="20"/>
      <c r="U2" s="20"/>
      <c r="V2" s="20"/>
      <c r="W2" s="20"/>
      <c r="X2" s="156"/>
      <c r="Y2" s="728" t="s">
        <v>179</v>
      </c>
      <c r="Z2" s="71"/>
      <c r="AA2" s="729" t="s">
        <v>180</v>
      </c>
      <c r="AB2" s="72"/>
      <c r="AC2" s="730" t="s">
        <v>158</v>
      </c>
      <c r="AD2" s="147"/>
      <c r="AE2" s="147"/>
      <c r="AF2" s="147"/>
      <c r="AG2" s="147"/>
      <c r="AH2" s="731" t="str">
        <f t="shared" ref="AH2:AH3" si="1">Q2</f>
        <v>GAME 1</v>
      </c>
    </row>
    <row r="3" ht="25.5" customHeight="1">
      <c r="A3" s="732" t="s">
        <v>343</v>
      </c>
      <c r="B3" s="733" t="s">
        <v>344</v>
      </c>
      <c r="C3" s="734" t="s">
        <v>345</v>
      </c>
      <c r="D3" s="733" t="s">
        <v>346</v>
      </c>
      <c r="E3" s="733" t="s">
        <v>347</v>
      </c>
      <c r="F3" s="733" t="s">
        <v>348</v>
      </c>
      <c r="G3" s="733" t="s">
        <v>349</v>
      </c>
      <c r="H3" s="733" t="s">
        <v>350</v>
      </c>
      <c r="I3" s="733" t="s">
        <v>351</v>
      </c>
      <c r="J3" s="735" t="s">
        <v>352</v>
      </c>
      <c r="K3" s="45"/>
      <c r="L3" s="46"/>
      <c r="M3" s="420"/>
      <c r="N3" s="736" t="s">
        <v>344</v>
      </c>
      <c r="O3" s="55"/>
      <c r="P3" s="420"/>
      <c r="Q3" s="737" t="s">
        <v>335</v>
      </c>
      <c r="R3" s="732" t="s">
        <v>343</v>
      </c>
      <c r="S3" s="733" t="s">
        <v>344</v>
      </c>
      <c r="T3" s="734" t="s">
        <v>345</v>
      </c>
      <c r="U3" s="733" t="s">
        <v>346</v>
      </c>
      <c r="V3" s="733" t="s">
        <v>347</v>
      </c>
      <c r="W3" s="733" t="s">
        <v>348</v>
      </c>
      <c r="X3" s="733" t="s">
        <v>349</v>
      </c>
      <c r="Y3" s="733" t="s">
        <v>350</v>
      </c>
      <c r="Z3" s="733" t="s">
        <v>351</v>
      </c>
      <c r="AA3" s="735" t="s">
        <v>352</v>
      </c>
      <c r="AB3" s="45"/>
      <c r="AC3" s="46"/>
      <c r="AD3" s="420"/>
      <c r="AE3" s="736" t="s">
        <v>344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1706</v>
      </c>
      <c r="R6" s="738"/>
      <c r="S6" s="739"/>
      <c r="T6" s="739"/>
      <c r="U6" s="740"/>
      <c r="V6" s="741"/>
      <c r="W6" s="740"/>
      <c r="X6" s="739"/>
      <c r="Y6" s="739"/>
      <c r="Z6" s="739"/>
      <c r="AA6" s="740"/>
      <c r="AB6" s="740"/>
      <c r="AC6" s="742"/>
      <c r="AD6" s="43"/>
      <c r="AE6" s="656">
        <f t="shared" si="5"/>
        <v>3</v>
      </c>
      <c r="AF6" s="656">
        <f t="shared" si="3"/>
        <v>3</v>
      </c>
      <c r="AG6" s="43"/>
      <c r="AH6" s="743" t="str">
        <f>IF(IGRF!I15="","",IGRF!I15)</f>
        <v>128</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v>
      </c>
      <c r="R8" s="738"/>
      <c r="S8" s="739"/>
      <c r="T8" s="739"/>
      <c r="U8" s="740"/>
      <c r="V8" s="741"/>
      <c r="W8" s="740"/>
      <c r="X8" s="739"/>
      <c r="Y8" s="739"/>
      <c r="Z8" s="739"/>
      <c r="AA8" s="740"/>
      <c r="AB8" s="740"/>
      <c r="AC8" s="742"/>
      <c r="AD8" s="43"/>
      <c r="AE8" s="656">
        <f t="shared" si="5"/>
        <v>5</v>
      </c>
      <c r="AF8" s="656">
        <f t="shared" si="3"/>
        <v>5</v>
      </c>
      <c r="AG8" s="43"/>
      <c r="AH8" s="743" t="str">
        <f>IF(IGRF!I16="","",IGRF!I16)</f>
        <v>139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241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357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343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360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8000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90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700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919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949</v>
      </c>
      <c r="R30" s="738"/>
      <c r="S30" s="739"/>
      <c r="T30" s="739"/>
      <c r="U30" s="740"/>
      <c r="V30" s="741"/>
      <c r="W30" s="740"/>
      <c r="X30" s="739"/>
      <c r="Y30" s="739"/>
      <c r="Z30" s="739"/>
      <c r="AA30" s="740"/>
      <c r="AB30" s="740"/>
      <c r="AC30" s="742"/>
      <c r="AD30" s="43"/>
      <c r="AE30" s="656">
        <v>27.0</v>
      </c>
      <c r="AF30" s="656">
        <v>27.0</v>
      </c>
      <c r="AG30" s="43"/>
      <c r="AH30" s="743" t="str">
        <f>IF(IGRF!I27="","",IGRF!I27)</f>
        <v>79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3" t="str">
        <f>IF(IGRF!I28="","",IGRF!I28)</f>
        <v>89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Denver roller Derby / Mile High Club</v>
      </c>
      <c r="B44" s="205"/>
      <c r="C44" s="205"/>
      <c r="D44" s="205"/>
      <c r="E44" s="205"/>
      <c r="F44" s="205"/>
      <c r="G44" s="206"/>
      <c r="H44" s="207" t="str">
        <f>H1</f>
        <v>Blue</v>
      </c>
      <c r="I44" s="151"/>
      <c r="J44" s="314">
        <f>IF(ISBLANK(IGRF!$B$7), "", IGRF!$B$7)</f>
        <v>45108</v>
      </c>
      <c r="K44" s="211"/>
      <c r="L44" s="209"/>
      <c r="M44" s="151"/>
      <c r="N44" s="151"/>
      <c r="O44" s="151"/>
      <c r="P44" s="151"/>
      <c r="Q44" s="151"/>
      <c r="R44" s="313" t="str">
        <f>R1</f>
        <v>Rose City Rollers / Rose City Rollers: Axles of Annihilation</v>
      </c>
      <c r="S44" s="205"/>
      <c r="T44" s="205"/>
      <c r="U44" s="205"/>
      <c r="V44" s="205"/>
      <c r="W44" s="205"/>
      <c r="X44" s="206"/>
      <c r="Y44" s="207" t="str">
        <f>Y1</f>
        <v>White</v>
      </c>
      <c r="Z44" s="151"/>
      <c r="AA44" s="314">
        <f>IF(ISBLANK(IGRF!$B$7), "", IGRF!$B$7)</f>
        <v>45108</v>
      </c>
      <c r="AB44" s="211"/>
      <c r="AC44" s="209"/>
      <c r="AD44" s="151"/>
      <c r="AE44" s="151"/>
      <c r="AF44" s="151"/>
      <c r="AG44" s="151"/>
      <c r="AH44" s="151"/>
    </row>
    <row r="45" ht="11.25" customHeight="1">
      <c r="A45" s="214"/>
      <c r="B45" s="20"/>
      <c r="C45" s="20"/>
      <c r="D45" s="20"/>
      <c r="E45" s="20"/>
      <c r="F45" s="20"/>
      <c r="G45" s="156"/>
      <c r="H45" s="755" t="s">
        <v>179</v>
      </c>
      <c r="I45" s="20"/>
      <c r="J45" s="756" t="s">
        <v>180</v>
      </c>
      <c r="K45" s="40"/>
      <c r="L45" s="730" t="s">
        <v>158</v>
      </c>
      <c r="M45" s="147"/>
      <c r="N45" s="147"/>
      <c r="O45" s="147"/>
      <c r="P45" s="147"/>
      <c r="Q45" s="731" t="str">
        <f t="shared" ref="Q45:Q47" si="6">Q2</f>
        <v>GAME 1</v>
      </c>
      <c r="R45" s="214"/>
      <c r="S45" s="20"/>
      <c r="T45" s="20"/>
      <c r="U45" s="20"/>
      <c r="V45" s="20"/>
      <c r="W45" s="20"/>
      <c r="X45" s="156"/>
      <c r="Y45" s="755" t="s">
        <v>179</v>
      </c>
      <c r="Z45" s="20"/>
      <c r="AA45" s="729" t="s">
        <v>180</v>
      </c>
      <c r="AB45" s="72"/>
      <c r="AC45" s="730" t="s">
        <v>158</v>
      </c>
      <c r="AD45" s="147"/>
      <c r="AE45" s="147"/>
      <c r="AF45" s="147"/>
      <c r="AG45" s="147"/>
      <c r="AH45" s="731" t="str">
        <f>Q2</f>
        <v>GAME 1</v>
      </c>
    </row>
    <row r="46" ht="25.5" customHeight="1">
      <c r="A46" s="732" t="s">
        <v>343</v>
      </c>
      <c r="B46" s="733" t="s">
        <v>344</v>
      </c>
      <c r="C46" s="734" t="s">
        <v>345</v>
      </c>
      <c r="D46" s="733" t="s">
        <v>346</v>
      </c>
      <c r="E46" s="733" t="s">
        <v>347</v>
      </c>
      <c r="F46" s="733" t="s">
        <v>348</v>
      </c>
      <c r="G46" s="733" t="s">
        <v>349</v>
      </c>
      <c r="H46" s="733" t="s">
        <v>350</v>
      </c>
      <c r="I46" s="733" t="s">
        <v>351</v>
      </c>
      <c r="J46" s="735" t="s">
        <v>352</v>
      </c>
      <c r="K46" s="45"/>
      <c r="L46" s="46"/>
      <c r="M46" s="420"/>
      <c r="N46" s="736" t="s">
        <v>344</v>
      </c>
      <c r="O46" s="55"/>
      <c r="P46" s="420"/>
      <c r="Q46" s="737" t="str">
        <f t="shared" si="6"/>
        <v>Total Penalties</v>
      </c>
      <c r="R46" s="732" t="s">
        <v>343</v>
      </c>
      <c r="S46" s="733" t="s">
        <v>344</v>
      </c>
      <c r="T46" s="734" t="s">
        <v>345</v>
      </c>
      <c r="U46" s="733" t="s">
        <v>346</v>
      </c>
      <c r="V46" s="733" t="s">
        <v>347</v>
      </c>
      <c r="W46" s="733" t="s">
        <v>348</v>
      </c>
      <c r="X46" s="733" t="s">
        <v>349</v>
      </c>
      <c r="Y46" s="733" t="s">
        <v>350</v>
      </c>
      <c r="Z46" s="733" t="s">
        <v>351</v>
      </c>
      <c r="AA46" s="735" t="s">
        <v>352</v>
      </c>
      <c r="AB46" s="45"/>
      <c r="AC46" s="46"/>
      <c r="AD46" s="420"/>
      <c r="AE46" s="736" t="s">
        <v>344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1706</v>
      </c>
      <c r="R49" s="738"/>
      <c r="S49" s="739"/>
      <c r="T49" s="739"/>
      <c r="U49" s="740"/>
      <c r="V49" s="741"/>
      <c r="W49" s="740"/>
      <c r="X49" s="739"/>
      <c r="Y49" s="739"/>
      <c r="Z49" s="739"/>
      <c r="AA49" s="740"/>
      <c r="AB49" s="740"/>
      <c r="AC49" s="742"/>
      <c r="AD49" s="43"/>
      <c r="AE49" s="656">
        <f t="shared" si="11"/>
        <v>3</v>
      </c>
      <c r="AF49" s="656">
        <f t="shared" si="9"/>
        <v>3</v>
      </c>
      <c r="AG49" s="43"/>
      <c r="AH49" s="743" t="str">
        <f>AH6</f>
        <v>128</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v>
      </c>
      <c r="R51" s="738"/>
      <c r="S51" s="739"/>
      <c r="T51" s="739"/>
      <c r="U51" s="740"/>
      <c r="V51" s="741"/>
      <c r="W51" s="740"/>
      <c r="X51" s="739"/>
      <c r="Y51" s="739"/>
      <c r="Z51" s="739"/>
      <c r="AA51" s="740"/>
      <c r="AB51" s="740"/>
      <c r="AC51" s="742"/>
      <c r="AD51" s="43"/>
      <c r="AE51" s="656">
        <f t="shared" si="11"/>
        <v>5</v>
      </c>
      <c r="AF51" s="656">
        <f t="shared" si="9"/>
        <v>5</v>
      </c>
      <c r="AG51" s="43"/>
      <c r="AH51" s="743" t="str">
        <f>AH8</f>
        <v>139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v>
      </c>
      <c r="R53" s="738"/>
      <c r="S53" s="739"/>
      <c r="T53" s="739"/>
      <c r="U53" s="740"/>
      <c r="V53" s="741"/>
      <c r="W53" s="740"/>
      <c r="X53" s="739"/>
      <c r="Y53" s="739"/>
      <c r="Z53" s="739"/>
      <c r="AA53" s="740"/>
      <c r="AB53" s="740"/>
      <c r="AC53" s="742"/>
      <c r="AD53" s="43"/>
      <c r="AE53" s="656">
        <f t="shared" si="11"/>
        <v>7</v>
      </c>
      <c r="AF53" s="656">
        <f t="shared" si="9"/>
        <v>7</v>
      </c>
      <c r="AG53" s="43"/>
      <c r="AH53" s="743" t="str">
        <f>AH10</f>
        <v>22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27</v>
      </c>
      <c r="R55" s="738"/>
      <c r="S55" s="739"/>
      <c r="T55" s="739"/>
      <c r="U55" s="740"/>
      <c r="V55" s="741"/>
      <c r="W55" s="740"/>
      <c r="X55" s="739"/>
      <c r="Y55" s="739"/>
      <c r="Z55" s="739"/>
      <c r="AA55" s="740"/>
      <c r="AB55" s="740"/>
      <c r="AC55" s="742"/>
      <c r="AD55" s="43"/>
      <c r="AE55" s="656">
        <f t="shared" si="11"/>
        <v>9</v>
      </c>
      <c r="AF55" s="656">
        <f t="shared" si="9"/>
        <v>9</v>
      </c>
      <c r="AG55" s="43"/>
      <c r="AH55" s="743" t="str">
        <f>AH12</f>
        <v>241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33</v>
      </c>
      <c r="R57" s="738"/>
      <c r="S57" s="739"/>
      <c r="T57" s="739"/>
      <c r="U57" s="740"/>
      <c r="V57" s="741"/>
      <c r="W57" s="740"/>
      <c r="X57" s="739"/>
      <c r="Y57" s="739"/>
      <c r="Z57" s="739"/>
      <c r="AA57" s="740"/>
      <c r="AB57" s="740"/>
      <c r="AC57" s="742"/>
      <c r="AD57" s="43"/>
      <c r="AE57" s="656">
        <f t="shared" si="11"/>
        <v>11</v>
      </c>
      <c r="AF57" s="656">
        <f t="shared" si="9"/>
        <v>11</v>
      </c>
      <c r="AG57" s="43"/>
      <c r="AH57" s="743" t="str">
        <f>AH14</f>
        <v>316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357</v>
      </c>
      <c r="R59" s="738"/>
      <c r="S59" s="739"/>
      <c r="T59" s="739"/>
      <c r="U59" s="740"/>
      <c r="V59" s="741"/>
      <c r="W59" s="740"/>
      <c r="X59" s="739"/>
      <c r="Y59" s="739"/>
      <c r="Z59" s="739"/>
      <c r="AA59" s="740"/>
      <c r="AB59" s="740"/>
      <c r="AC59" s="742"/>
      <c r="AD59" s="43"/>
      <c r="AE59" s="656">
        <f t="shared" si="11"/>
        <v>13</v>
      </c>
      <c r="AF59" s="656">
        <f t="shared" si="9"/>
        <v>13</v>
      </c>
      <c r="AG59" s="43"/>
      <c r="AH59" s="743" t="str">
        <f>AH16</f>
        <v>343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40</v>
      </c>
      <c r="R61" s="738"/>
      <c r="S61" s="739"/>
      <c r="T61" s="739"/>
      <c r="U61" s="740"/>
      <c r="V61" s="741"/>
      <c r="W61" s="740"/>
      <c r="X61" s="739"/>
      <c r="Y61" s="739"/>
      <c r="Z61" s="739"/>
      <c r="AA61" s="740"/>
      <c r="AB61" s="740"/>
      <c r="AC61" s="742"/>
      <c r="AD61" s="43"/>
      <c r="AE61" s="656">
        <f t="shared" si="11"/>
        <v>15</v>
      </c>
      <c r="AF61" s="656">
        <f t="shared" si="9"/>
        <v>15</v>
      </c>
      <c r="AG61" s="43"/>
      <c r="AH61" s="743" t="str">
        <f>AH18</f>
        <v>360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50</v>
      </c>
      <c r="R63" s="738"/>
      <c r="S63" s="739"/>
      <c r="T63" s="739"/>
      <c r="U63" s="740"/>
      <c r="V63" s="741"/>
      <c r="W63" s="740"/>
      <c r="X63" s="739"/>
      <c r="Y63" s="739"/>
      <c r="Z63" s="739"/>
      <c r="AA63" s="740"/>
      <c r="AB63" s="740"/>
      <c r="AC63" s="742"/>
      <c r="AD63" s="43"/>
      <c r="AE63" s="656">
        <f t="shared" si="11"/>
        <v>17</v>
      </c>
      <c r="AF63" s="656">
        <f t="shared" si="9"/>
        <v>17</v>
      </c>
      <c r="AG63" s="43"/>
      <c r="AH63" s="743" t="str">
        <f>AH20</f>
        <v>37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505</v>
      </c>
      <c r="R65" s="738"/>
      <c r="S65" s="739"/>
      <c r="T65" s="739"/>
      <c r="U65" s="740"/>
      <c r="V65" s="741"/>
      <c r="W65" s="740"/>
      <c r="X65" s="739"/>
      <c r="Y65" s="739"/>
      <c r="Z65" s="739"/>
      <c r="AA65" s="740"/>
      <c r="AB65" s="740"/>
      <c r="AC65" s="742"/>
      <c r="AD65" s="43"/>
      <c r="AE65" s="656">
        <f t="shared" si="11"/>
        <v>19</v>
      </c>
      <c r="AF65" s="656">
        <f t="shared" si="9"/>
        <v>19</v>
      </c>
      <c r="AG65" s="43"/>
      <c r="AH65" s="743" t="str">
        <f>AH22</f>
        <v>39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8000</v>
      </c>
      <c r="R67" s="738"/>
      <c r="S67" s="739"/>
      <c r="T67" s="739"/>
      <c r="U67" s="740"/>
      <c r="V67" s="741"/>
      <c r="W67" s="740"/>
      <c r="X67" s="739"/>
      <c r="Y67" s="739"/>
      <c r="Z67" s="739"/>
      <c r="AA67" s="740"/>
      <c r="AB67" s="740"/>
      <c r="AC67" s="742"/>
      <c r="AD67" s="43"/>
      <c r="AE67" s="656">
        <f t="shared" si="11"/>
        <v>21</v>
      </c>
      <c r="AF67" s="656">
        <f t="shared" si="9"/>
        <v>21</v>
      </c>
      <c r="AG67" s="43"/>
      <c r="AH67" s="743" t="str">
        <f>AH24</f>
        <v>48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90</v>
      </c>
      <c r="R69" s="738"/>
      <c r="S69" s="739"/>
      <c r="T69" s="739"/>
      <c r="U69" s="740"/>
      <c r="V69" s="741"/>
      <c r="W69" s="740"/>
      <c r="X69" s="739"/>
      <c r="Y69" s="739"/>
      <c r="Z69" s="739"/>
      <c r="AA69" s="740"/>
      <c r="AB69" s="740"/>
      <c r="AC69" s="742"/>
      <c r="AD69" s="43"/>
      <c r="AE69" s="656">
        <f t="shared" si="11"/>
        <v>23</v>
      </c>
      <c r="AF69" s="656">
        <f t="shared" si="9"/>
        <v>23</v>
      </c>
      <c r="AG69" s="43"/>
      <c r="AH69" s="743" t="str">
        <f>AH26</f>
        <v>700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919</v>
      </c>
      <c r="R71" s="738"/>
      <c r="S71" s="739"/>
      <c r="T71" s="739"/>
      <c r="U71" s="740"/>
      <c r="V71" s="741"/>
      <c r="W71" s="740"/>
      <c r="X71" s="739"/>
      <c r="Y71" s="739"/>
      <c r="Z71" s="739"/>
      <c r="AA71" s="740"/>
      <c r="AB71" s="740"/>
      <c r="AC71" s="742"/>
      <c r="AD71" s="43"/>
      <c r="AE71" s="656">
        <f t="shared" si="11"/>
        <v>25</v>
      </c>
      <c r="AF71" s="656">
        <f t="shared" si="9"/>
        <v>25</v>
      </c>
      <c r="AG71" s="43"/>
      <c r="AH71" s="743" t="str">
        <f>AH28</f>
        <v>71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949</v>
      </c>
      <c r="R73" s="738"/>
      <c r="S73" s="739"/>
      <c r="T73" s="739"/>
      <c r="U73" s="740"/>
      <c r="V73" s="741"/>
      <c r="W73" s="740"/>
      <c r="X73" s="739"/>
      <c r="Y73" s="739"/>
      <c r="Z73" s="739"/>
      <c r="AA73" s="740"/>
      <c r="AB73" s="740"/>
      <c r="AC73" s="742"/>
      <c r="AD73" s="43"/>
      <c r="AE73" s="656">
        <v>27.0</v>
      </c>
      <c r="AF73" s="656">
        <v>27.0</v>
      </c>
      <c r="AG73" s="43"/>
      <c r="AH73" s="743" t="str">
        <f>AH30</f>
        <v>79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3" t="str">
        <f>AH32</f>
        <v>89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1  Saturday @ 10:00 AM</v>
      </c>
      <c r="L1" s="761"/>
      <c r="M1" s="761"/>
      <c r="N1" s="761"/>
      <c r="O1" s="761"/>
      <c r="P1" s="761"/>
      <c r="Q1" s="761"/>
      <c r="R1" s="761"/>
      <c r="S1" s="761"/>
      <c r="T1" s="761"/>
      <c r="U1" s="761"/>
      <c r="V1" s="761"/>
      <c r="W1" s="761"/>
      <c r="X1" s="761"/>
      <c r="Y1" s="761"/>
      <c r="Z1" s="761"/>
    </row>
    <row r="2" ht="21.0" customHeight="1">
      <c r="A2" s="763"/>
      <c r="B2" s="764" t="str">
        <f>Score!$A$1</f>
        <v>Denver roller Derby / Mile High Club</v>
      </c>
      <c r="D2" s="765"/>
      <c r="E2" s="763"/>
      <c r="F2" s="764" t="str">
        <f>Score!$T$1</f>
        <v>Rose City Rollers / Rose City Rollers: Axles of Annihilation</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353</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Unprotected Lex</v>
      </c>
      <c r="D4" s="765"/>
      <c r="E4" s="763"/>
      <c r="F4" s="767" t="str">
        <f>IF(ISBLANK(IGRF!I14),"",IGRF!I14)</f>
        <v>11</v>
      </c>
      <c r="G4" s="768" t="str">
        <f>IF(ISBLANK(IGRF!J14),"",IGRF!J14)</f>
        <v>Bertha Beatdown</v>
      </c>
      <c r="H4" s="765"/>
      <c r="I4" s="761"/>
      <c r="J4" s="768" t="str">
        <f>IF(ISBLANK(IGRF!C60), "", IGRF!C60)</f>
        <v>Dee Wrex</v>
      </c>
      <c r="K4" s="768" t="str">
        <f>IF(ISBLANK(IGRF!C80), "", IGRF!C80)</f>
        <v>Kira Duncan</v>
      </c>
      <c r="L4" s="761"/>
      <c r="M4" s="761"/>
      <c r="N4" s="761"/>
      <c r="O4" s="761"/>
      <c r="P4" s="761"/>
      <c r="Q4" s="761"/>
      <c r="R4" s="761"/>
      <c r="S4" s="761"/>
      <c r="T4" s="761"/>
      <c r="U4" s="761"/>
      <c r="V4" s="761"/>
      <c r="W4" s="761"/>
      <c r="X4" s="761"/>
      <c r="Y4" s="761"/>
      <c r="Z4" s="761"/>
    </row>
    <row r="5" ht="22.5" customHeight="1">
      <c r="A5" s="763"/>
      <c r="B5" s="767" t="str">
        <f>IF(ISBLANK(IGRF!B15),"",IGRF!B15)</f>
        <v>1706</v>
      </c>
      <c r="C5" s="768" t="str">
        <f>IF(ISBLANK(IGRF!C15),"",IGRF!C15)</f>
        <v>Maven</v>
      </c>
      <c r="D5" s="765"/>
      <c r="E5" s="763"/>
      <c r="F5" s="767" t="str">
        <f>IF(ISBLANK(IGRF!I15),"",IGRF!I15)</f>
        <v>128</v>
      </c>
      <c r="G5" s="768" t="str">
        <f>IF(ISBLANK(IGRF!J15),"",IGRF!J15)</f>
        <v>Carl</v>
      </c>
      <c r="H5" s="765"/>
      <c r="I5" s="761"/>
      <c r="J5" s="768" t="str">
        <f>IF(ISBLANK(IGRF!C61), "", IGRF!C61)</f>
        <v/>
      </c>
      <c r="K5" s="768" t="str">
        <f>IF(ISBLANK(IGRF!C81), "", IGRF!C81)</f>
        <v>Allyn UR Grill</v>
      </c>
      <c r="L5" s="761"/>
      <c r="M5" s="761"/>
      <c r="N5" s="761"/>
      <c r="O5" s="761"/>
      <c r="P5" s="761"/>
      <c r="Q5" s="761"/>
      <c r="R5" s="761"/>
      <c r="S5" s="761"/>
      <c r="T5" s="761"/>
      <c r="U5" s="761"/>
      <c r="V5" s="761"/>
      <c r="W5" s="761"/>
      <c r="X5" s="761"/>
      <c r="Y5" s="761"/>
      <c r="Z5" s="761"/>
    </row>
    <row r="6" ht="22.5" customHeight="1">
      <c r="A6" s="763"/>
      <c r="B6" s="767" t="str">
        <f>IF(ISBLANK(IGRF!B16),"",IGRF!B16)</f>
        <v>2</v>
      </c>
      <c r="C6" s="768" t="str">
        <f>IF(ISBLANK(IGRF!C16),"",IGRF!C16)</f>
        <v>Taryn</v>
      </c>
      <c r="D6" s="765"/>
      <c r="E6" s="763"/>
      <c r="F6" s="767" t="str">
        <f>IF(ISBLANK(IGRF!I16),"",IGRF!I16)</f>
        <v>139</v>
      </c>
      <c r="G6" s="768" t="str">
        <f>IF(ISBLANK(IGRF!J16),"",IGRF!J16)</f>
        <v>Katie Postma</v>
      </c>
      <c r="H6" s="765"/>
      <c r="I6" s="761"/>
      <c r="J6" s="768" t="str">
        <f>IF(ISBLANK(IGRF!C62), "", IGRF!C62)</f>
        <v/>
      </c>
      <c r="K6" s="768" t="str">
        <f>IF(ISBLANK(IGRF!C82), "", IGRF!C82)</f>
        <v>Margie Ram</v>
      </c>
      <c r="L6" s="761"/>
      <c r="M6" s="761"/>
      <c r="N6" s="761"/>
      <c r="O6" s="761"/>
      <c r="P6" s="761"/>
      <c r="Q6" s="761"/>
      <c r="R6" s="761"/>
      <c r="S6" s="761"/>
      <c r="T6" s="761"/>
      <c r="U6" s="761"/>
      <c r="V6" s="761"/>
      <c r="W6" s="761"/>
      <c r="X6" s="761"/>
      <c r="Y6" s="761"/>
      <c r="Z6" s="761"/>
    </row>
    <row r="7" ht="22.5" customHeight="1">
      <c r="A7" s="763"/>
      <c r="B7" s="767" t="str">
        <f>IF(ISBLANK(IGRF!B17),"",IGRF!B17)</f>
        <v>22</v>
      </c>
      <c r="C7" s="768" t="str">
        <f>IF(ISBLANK(IGRF!C17),"",IGRF!C17)</f>
        <v>Scara to Death</v>
      </c>
      <c r="D7" s="765"/>
      <c r="E7" s="763"/>
      <c r="F7" s="767" t="str">
        <f>IF(ISBLANK(IGRF!I17),"",IGRF!I17)</f>
        <v>22</v>
      </c>
      <c r="G7" s="768" t="str">
        <f>IF(ISBLANK(IGRF!J17),"",IGRF!J17)</f>
        <v>Habanero Romero</v>
      </c>
      <c r="H7" s="765"/>
      <c r="I7" s="761"/>
      <c r="J7" s="768" t="str">
        <f>IF(ISBLANK(IGRF!C63), "", IGRF!C63)</f>
        <v/>
      </c>
      <c r="K7" s="768" t="str">
        <f>IF(ISBLANK(IGRF!C83), "", IGRF!C83)</f>
        <v>G'Innes</v>
      </c>
      <c r="L7" s="761"/>
      <c r="M7" s="761"/>
      <c r="N7" s="761"/>
      <c r="O7" s="761"/>
      <c r="P7" s="761"/>
      <c r="Q7" s="761"/>
      <c r="R7" s="761"/>
      <c r="S7" s="761"/>
      <c r="T7" s="761"/>
      <c r="U7" s="761"/>
      <c r="V7" s="761"/>
      <c r="W7" s="761"/>
      <c r="X7" s="761"/>
      <c r="Y7" s="761"/>
      <c r="Z7" s="761"/>
    </row>
    <row r="8" ht="22.5" customHeight="1">
      <c r="A8" s="763"/>
      <c r="B8" s="767" t="str">
        <f>IF(ISBLANK(IGRF!B18),"",IGRF!B18)</f>
        <v>27</v>
      </c>
      <c r="C8" s="768" t="str">
        <f>IF(ISBLANK(IGRF!C18),"",IGRF!C18)</f>
        <v>Gobrecht</v>
      </c>
      <c r="D8" s="765"/>
      <c r="E8" s="763"/>
      <c r="F8" s="767" t="str">
        <f>IF(ISBLANK(IGRF!I18),"",IGRF!I18)</f>
        <v>241</v>
      </c>
      <c r="G8" s="768" t="str">
        <f>IF(ISBLANK(IGRF!J18),"",IGRF!J18)</f>
        <v>Lilly Pate</v>
      </c>
      <c r="H8" s="765"/>
      <c r="I8" s="761"/>
      <c r="J8" s="768" t="str">
        <f>IF(ISBLANK(IGRF!C64), "", IGRF!C64)</f>
        <v>Glen Coco</v>
      </c>
      <c r="K8" s="768" t="str">
        <f>IF(ISBLANK(IGRF!C84), "", IGRF!C84)</f>
        <v>Darth Bling</v>
      </c>
      <c r="L8" s="761"/>
      <c r="M8" s="761"/>
      <c r="N8" s="761"/>
      <c r="O8" s="761"/>
      <c r="P8" s="761"/>
      <c r="Q8" s="761"/>
      <c r="R8" s="761"/>
      <c r="S8" s="761"/>
      <c r="T8" s="761"/>
      <c r="U8" s="761"/>
      <c r="V8" s="761"/>
      <c r="W8" s="761"/>
      <c r="X8" s="761"/>
      <c r="Y8" s="761"/>
      <c r="Z8" s="761"/>
    </row>
    <row r="9" ht="22.5" customHeight="1">
      <c r="A9" s="763"/>
      <c r="B9" s="767" t="str">
        <f>IF(ISBLANK(IGRF!B19),"",IGRF!B19)</f>
        <v>33</v>
      </c>
      <c r="C9" s="768" t="str">
        <f>IF(ISBLANK(IGRF!C19),"",IGRF!C19)</f>
        <v>Klein</v>
      </c>
      <c r="D9" s="765"/>
      <c r="E9" s="763"/>
      <c r="F9" s="767" t="str">
        <f>IF(ISBLANK(IGRF!I19),"",IGRF!I19)</f>
        <v>316</v>
      </c>
      <c r="G9" s="768" t="str">
        <f>IF(ISBLANK(IGRF!J19),"",IGRF!J19)</f>
        <v>Eve Anne Hellical</v>
      </c>
      <c r="H9" s="765"/>
      <c r="I9" s="761"/>
      <c r="J9" s="768" t="str">
        <f>IF(ISBLANK(IGRF!C65), "", IGRF!C65)</f>
        <v>Mr. Yve</v>
      </c>
      <c r="K9" s="768" t="str">
        <f>IF(ISBLANK(IGRF!C85), "", IGRF!C85)</f>
        <v>Daemon Mistress</v>
      </c>
      <c r="L9" s="761"/>
      <c r="M9" s="761"/>
      <c r="N9" s="761"/>
      <c r="O9" s="761"/>
      <c r="P9" s="761"/>
      <c r="Q9" s="761"/>
      <c r="R9" s="761"/>
      <c r="S9" s="761"/>
      <c r="T9" s="761"/>
      <c r="U9" s="761"/>
      <c r="V9" s="761"/>
      <c r="W9" s="761"/>
      <c r="X9" s="761"/>
      <c r="Y9" s="761"/>
      <c r="Z9" s="761"/>
    </row>
    <row r="10" ht="22.5" customHeight="1">
      <c r="A10" s="763"/>
      <c r="B10" s="767" t="str">
        <f>IF(ISBLANK(IGRF!B20),"",IGRF!B20)</f>
        <v>357</v>
      </c>
      <c r="C10" s="768" t="str">
        <f>IF(ISBLANK(IGRF!C20),"",IGRF!C20)</f>
        <v>Bia Fraid</v>
      </c>
      <c r="D10" s="765"/>
      <c r="E10" s="763"/>
      <c r="F10" s="767" t="str">
        <f>IF(ISBLANK(IGRF!I20),"",IGRF!I20)</f>
        <v>343</v>
      </c>
      <c r="G10" s="768" t="str">
        <f>IF(ISBLANK(IGRF!J20),"",IGRF!J20)</f>
        <v>Trinity</v>
      </c>
      <c r="H10" s="765"/>
      <c r="I10" s="761"/>
      <c r="J10" s="768" t="str">
        <f>IF(ISBLANK(IGRF!C66), "", IGRF!C66)</f>
        <v>Sting Rei</v>
      </c>
      <c r="K10" s="768" t="str">
        <f>IF(ISBLANK(IGRF!C86), "", IGRF!C86)</f>
        <v>Adam Splitter</v>
      </c>
      <c r="L10" s="761"/>
      <c r="M10" s="761"/>
      <c r="N10" s="761"/>
      <c r="O10" s="761"/>
      <c r="P10" s="761"/>
      <c r="Q10" s="761"/>
      <c r="R10" s="761"/>
      <c r="S10" s="761"/>
      <c r="T10" s="761"/>
      <c r="U10" s="761"/>
      <c r="V10" s="761"/>
      <c r="W10" s="761"/>
      <c r="X10" s="761"/>
      <c r="Y10" s="761"/>
      <c r="Z10" s="761"/>
    </row>
    <row r="11" ht="22.5" customHeight="1">
      <c r="A11" s="763"/>
      <c r="B11" s="767" t="str">
        <f>IF(ISBLANK(IGRF!B21),"",IGRF!B21)</f>
        <v>40</v>
      </c>
      <c r="C11" s="768" t="str">
        <f>IF(ISBLANK(IGRF!C21),"",IGRF!C21)</f>
        <v>speedlejuice</v>
      </c>
      <c r="D11" s="765"/>
      <c r="E11" s="763"/>
      <c r="F11" s="767" t="str">
        <f>IF(ISBLANK(IGRF!I21),"",IGRF!I21)</f>
        <v>360</v>
      </c>
      <c r="G11" s="768" t="str">
        <f>IF(ISBLANK(IGRF!J21),"",IGRF!J21)</f>
        <v>Big Bang Fury</v>
      </c>
      <c r="H11" s="765"/>
      <c r="I11" s="761"/>
      <c r="J11" s="768" t="str">
        <f>IF(ISBLANK(IGRF!C67), "", IGRF!C67)</f>
        <v>Poison Envy</v>
      </c>
      <c r="K11" s="768" t="str">
        <f>IF(ISBLANK(IGRF!C87), "", IGRF!C87)</f>
        <v>Toe Cutter</v>
      </c>
      <c r="L11" s="761"/>
      <c r="M11" s="761"/>
      <c r="N11" s="761"/>
      <c r="O11" s="761"/>
      <c r="P11" s="761"/>
      <c r="Q11" s="761"/>
      <c r="R11" s="761"/>
      <c r="S11" s="761"/>
      <c r="T11" s="761"/>
      <c r="U11" s="761"/>
      <c r="V11" s="761"/>
      <c r="W11" s="761"/>
      <c r="X11" s="761"/>
      <c r="Y11" s="761"/>
      <c r="Z11" s="761"/>
    </row>
    <row r="12" ht="22.5" customHeight="1">
      <c r="A12" s="763"/>
      <c r="B12" s="767" t="str">
        <f>IF(ISBLANK(IGRF!B22),"",IGRF!B22)</f>
        <v>50</v>
      </c>
      <c r="C12" s="768" t="str">
        <f>IF(ISBLANK(IGRF!C22),"",IGRF!C22)</f>
        <v>Scald Eagle</v>
      </c>
      <c r="D12" s="765"/>
      <c r="E12" s="763"/>
      <c r="F12" s="767" t="str">
        <f>IF(ISBLANK(IGRF!I22),"",IGRF!I22)</f>
        <v>37</v>
      </c>
      <c r="G12" s="768" t="str">
        <f>IF(ISBLANK(IGRF!J22),"",IGRF!J22)</f>
        <v>Swagetha</v>
      </c>
      <c r="H12" s="765"/>
      <c r="I12" s="761"/>
      <c r="J12" s="768" t="str">
        <f>IF(ISBLANK(IGRF!C68), "", IGRF!C68)</f>
        <v>Not Your Mom</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505</v>
      </c>
      <c r="C13" s="768" t="str">
        <f>IF(ISBLANK(IGRF!C23),"",IGRF!C23)</f>
        <v>Elyse LeKraken</v>
      </c>
      <c r="D13" s="765"/>
      <c r="E13" s="763"/>
      <c r="F13" s="767" t="str">
        <f>IF(ISBLANK(IGRF!I23),"",IGRF!I23)</f>
        <v>39</v>
      </c>
      <c r="G13" s="768" t="str">
        <f>IF(ISBLANK(IGRF!J23),"",IGRF!J23)</f>
        <v>Gaffney</v>
      </c>
      <c r="H13" s="765"/>
      <c r="I13" s="761"/>
      <c r="J13" s="768" t="str">
        <f>IF(ISBLANK(IGRF!C69), "", IGRF!C69)</f>
        <v>Gypsy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8000</v>
      </c>
      <c r="C14" s="768" t="str">
        <f>IF(ISBLANK(IGRF!C24),"",IGRF!C24)</f>
        <v>Killifornia</v>
      </c>
      <c r="D14" s="765"/>
      <c r="E14" s="763"/>
      <c r="F14" s="767" t="str">
        <f>IF(ISBLANK(IGRF!I24),"",IGRF!I24)</f>
        <v>48</v>
      </c>
      <c r="G14" s="768" t="str">
        <f>IF(ISBLANK(IGRF!J24),"",IGRF!J24)</f>
        <v>Brute</v>
      </c>
      <c r="H14" s="765"/>
      <c r="I14" s="761"/>
      <c r="J14" s="768" t="str">
        <f>IF(ISBLANK(IGRF!C70), "", IGRF!C70)</f>
        <v>Slam-I-Am</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90</v>
      </c>
      <c r="C15" s="768" t="str">
        <f>IF(ISBLANK(IGRF!C25),"",IGRF!C25)</f>
        <v>Wee Bonnie Bruiser</v>
      </c>
      <c r="D15" s="765"/>
      <c r="E15" s="763"/>
      <c r="F15" s="767" t="str">
        <f>IF(ISBLANK(IGRF!I25),"",IGRF!I25)</f>
        <v>700</v>
      </c>
      <c r="G15" s="768" t="str">
        <f>IF(ISBLANK(IGRF!J25),"",IGRF!J25)</f>
        <v>Springroll</v>
      </c>
      <c r="H15" s="765"/>
      <c r="I15" s="761"/>
      <c r="J15" s="768" t="str">
        <f>IF(ISBLANK(IGRF!C71), "", IGRF!C71)</f>
        <v>Whamdalf</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919</v>
      </c>
      <c r="C16" s="768" t="str">
        <f>IF(ISBLANK(IGRF!C26),"",IGRF!C26)</f>
        <v>Grizz</v>
      </c>
      <c r="D16" s="765"/>
      <c r="E16" s="763"/>
      <c r="F16" s="767" t="str">
        <f>IF(ISBLANK(IGRF!I26),"",IGRF!I26)</f>
        <v>71</v>
      </c>
      <c r="G16" s="768" t="str">
        <f>IF(ISBLANK(IGRF!J26),"",IGRF!J26)</f>
        <v>Danger Potato</v>
      </c>
      <c r="H16" s="765"/>
      <c r="I16" s="761"/>
      <c r="J16" s="768" t="str">
        <f>IF(ISBLANK(IGRF!C72), "", IGRF!C72)</f>
        <v>Dee Wrex</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949</v>
      </c>
      <c r="C17" s="768" t="str">
        <f>IF(ISBLANK(IGRF!C27),"",IGRF!C27)</f>
        <v>Coyote</v>
      </c>
      <c r="D17" s="765"/>
      <c r="E17" s="763"/>
      <c r="F17" s="767" t="str">
        <f>IF(ISBLANK(IGRF!I27),"",IGRF!I27)</f>
        <v>79</v>
      </c>
      <c r="G17" s="768" t="str">
        <f>IF(ISBLANK(IGRF!J27),"",IGRF!J27)</f>
        <v>Lil RegulateHer</v>
      </c>
      <c r="H17" s="765"/>
      <c r="I17" s="761"/>
      <c r="J17" s="768" t="str">
        <f>IF(ISBLANK(IGRF!C73), "", IGRF!C73)</f>
        <v>Goldy Knocks</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Chinaski</v>
      </c>
      <c r="D18" s="765"/>
      <c r="E18" s="763"/>
      <c r="F18" s="767" t="str">
        <f>IF(ISBLANK(IGRF!I28),"",IGRF!I28)</f>
        <v>89</v>
      </c>
      <c r="G18" s="768" t="str">
        <f>IF(ISBLANK(IGRF!J28),"",IGRF!J28)</f>
        <v>High Roller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354</v>
      </c>
      <c r="B1" s="775" t="str">
        <f>Score!$A$1</f>
        <v>Denver roller Derby / Mile High Club</v>
      </c>
      <c r="C1" s="8"/>
      <c r="D1" s="9"/>
      <c r="E1" s="776" t="str">
        <f>IF(ISBLANK(IGRF!$B$12), "", IGRF!$B$12)</f>
        <v>Blue</v>
      </c>
      <c r="F1" s="777"/>
      <c r="I1" s="778">
        <f>IF(ISBLANK(IGRF!$B$7), "", IGRF!$B$7)</f>
        <v>45108</v>
      </c>
      <c r="J1" s="779">
        <v>1.0</v>
      </c>
      <c r="K1" s="213"/>
      <c r="L1" s="213"/>
      <c r="M1" s="213"/>
      <c r="N1" s="213"/>
      <c r="O1" s="213"/>
      <c r="P1" s="213"/>
      <c r="Q1" s="213"/>
      <c r="R1" s="213"/>
      <c r="S1" s="213"/>
      <c r="T1" s="213"/>
      <c r="U1" s="213"/>
      <c r="V1" s="213"/>
      <c r="W1" s="213"/>
      <c r="X1" s="213"/>
      <c r="Y1" s="213"/>
      <c r="Z1" s="213"/>
    </row>
    <row r="2" ht="15.0" customHeight="1">
      <c r="A2" s="774" t="s">
        <v>355</v>
      </c>
      <c r="B2" s="780" t="str">
        <f>Score!$T$1</f>
        <v>Rose City Rollers / Rose City Rollers: Axles of Annihilation</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180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356</v>
      </c>
      <c r="C4" s="9"/>
      <c r="D4" s="788" t="s">
        <v>357</v>
      </c>
      <c r="E4" s="8"/>
      <c r="F4" s="9"/>
      <c r="G4" s="789" t="s">
        <v>358</v>
      </c>
      <c r="H4" s="321"/>
      <c r="I4" s="788" t="s">
        <v>47</v>
      </c>
      <c r="J4" s="160"/>
      <c r="K4" s="672"/>
      <c r="L4" s="672"/>
      <c r="M4" s="672"/>
      <c r="N4" s="672"/>
      <c r="O4" s="672"/>
      <c r="P4" s="672"/>
      <c r="Q4" s="672"/>
      <c r="R4" s="672"/>
      <c r="S4" s="672"/>
      <c r="T4" s="672"/>
      <c r="U4" s="672"/>
      <c r="V4" s="672"/>
      <c r="W4" s="672"/>
      <c r="X4" s="672"/>
      <c r="Y4" s="672"/>
      <c r="Z4" s="672"/>
    </row>
    <row r="5" ht="21.0" customHeight="1">
      <c r="A5" s="790" t="s">
        <v>233</v>
      </c>
      <c r="B5" s="791"/>
      <c r="C5" s="49"/>
      <c r="D5" s="792"/>
      <c r="E5" s="793"/>
      <c r="F5" s="794"/>
      <c r="G5" s="792"/>
      <c r="H5" s="795"/>
      <c r="I5" s="796" t="str">
        <f>B1</f>
        <v>Denver roller Derby / Mile High Club</v>
      </c>
      <c r="J5" s="346"/>
      <c r="K5" s="672"/>
      <c r="L5" s="672"/>
      <c r="M5" s="672"/>
      <c r="N5" s="672"/>
      <c r="O5" s="672"/>
      <c r="P5" s="672"/>
      <c r="Q5" s="672"/>
      <c r="R5" s="672"/>
      <c r="S5" s="672"/>
      <c r="T5" s="672"/>
      <c r="U5" s="672"/>
      <c r="V5" s="672"/>
      <c r="W5" s="672"/>
      <c r="X5" s="672"/>
      <c r="Y5" s="672"/>
      <c r="Z5" s="672"/>
    </row>
    <row r="6" ht="21.0" customHeight="1">
      <c r="A6" s="797" t="s">
        <v>219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233</v>
      </c>
      <c r="B7" s="791"/>
      <c r="C7" s="49"/>
      <c r="D7" s="792"/>
      <c r="E7" s="793"/>
      <c r="F7" s="794"/>
      <c r="G7" s="792"/>
      <c r="H7" s="795"/>
      <c r="I7" s="802" t="str">
        <f>B2</f>
        <v>Rose City Rollers / Rose City Rollers: Axles of Annihilation</v>
      </c>
      <c r="J7" s="346"/>
      <c r="K7" s="672"/>
      <c r="L7" s="672"/>
      <c r="M7" s="672"/>
      <c r="N7" s="672"/>
      <c r="O7" s="672"/>
      <c r="P7" s="672"/>
      <c r="Q7" s="672"/>
      <c r="R7" s="672"/>
      <c r="S7" s="672"/>
      <c r="T7" s="672"/>
      <c r="U7" s="672"/>
      <c r="V7" s="672"/>
      <c r="W7" s="672"/>
      <c r="X7" s="672"/>
      <c r="Y7" s="672"/>
      <c r="Z7" s="672"/>
    </row>
    <row r="8" ht="21.0" customHeight="1">
      <c r="A8" s="797" t="s">
        <v>219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360</v>
      </c>
      <c r="C10" s="805" t="s">
        <v>361</v>
      </c>
      <c r="D10" s="805" t="s">
        <v>362</v>
      </c>
      <c r="E10" s="806" t="s">
        <v>363</v>
      </c>
      <c r="F10" s="8"/>
      <c r="G10" s="807"/>
      <c r="H10" s="805"/>
      <c r="I10" s="805" t="s">
        <v>364</v>
      </c>
      <c r="J10" s="808" t="s">
        <v>365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366</v>
      </c>
      <c r="B49" s="824"/>
      <c r="C49" s="824" t="s">
        <v>367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368</v>
      </c>
      <c r="B50" s="43"/>
      <c r="C50" s="43" t="s">
        <v>369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370</v>
      </c>
      <c r="B51" s="828"/>
      <c r="C51" s="828" t="s">
        <v>371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354</v>
      </c>
      <c r="B52" s="775" t="str">
        <f>Score!$A$1</f>
        <v>Denver roller Derby / Mile High Club</v>
      </c>
      <c r="C52" s="8"/>
      <c r="D52" s="9"/>
      <c r="E52" s="776" t="str">
        <f t="shared" ref="E52:E53" si="2">E1</f>
        <v>Blue</v>
      </c>
      <c r="F52" s="777"/>
      <c r="I52" s="778">
        <f>IF(ISBLANK(IGRF!$B$7), "", IGRF!$B$7)</f>
        <v>45108</v>
      </c>
      <c r="J52" s="779">
        <v>2.0</v>
      </c>
      <c r="K52" s="213"/>
      <c r="L52" s="213"/>
      <c r="M52" s="213"/>
      <c r="N52" s="213"/>
      <c r="O52" s="213"/>
      <c r="P52" s="213"/>
      <c r="Q52" s="213"/>
      <c r="R52" s="213"/>
      <c r="S52" s="213"/>
      <c r="T52" s="213"/>
      <c r="U52" s="213"/>
      <c r="V52" s="213"/>
      <c r="W52" s="213"/>
      <c r="X52" s="213"/>
      <c r="Y52" s="213"/>
      <c r="Z52" s="213"/>
    </row>
    <row r="53" ht="15.0" customHeight="1">
      <c r="A53" s="774" t="s">
        <v>355</v>
      </c>
      <c r="B53" s="780" t="str">
        <f>Score!$T$1</f>
        <v>Rose City Rollers / Rose City Rollers: Axles of Annihilation</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180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356</v>
      </c>
      <c r="C55" s="9"/>
      <c r="D55" s="788" t="s">
        <v>357</v>
      </c>
      <c r="E55" s="8"/>
      <c r="F55" s="9"/>
      <c r="G55" s="789" t="s">
        <v>358</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233</v>
      </c>
      <c r="B56" s="791" t="str">
        <f t="shared" ref="B56:B59" si="3">IF(B5="", "",B5 )</f>
        <v/>
      </c>
      <c r="C56" s="53"/>
      <c r="D56" s="792"/>
      <c r="E56" s="793"/>
      <c r="F56" s="794"/>
      <c r="G56" s="792"/>
      <c r="H56" s="795"/>
      <c r="I56" s="802" t="str">
        <f>I5</f>
        <v>Denver roller Derby / Mile High Club</v>
      </c>
      <c r="J56" s="346"/>
      <c r="K56" s="43"/>
      <c r="L56" s="43"/>
      <c r="M56" s="43"/>
      <c r="N56" s="43"/>
      <c r="O56" s="43"/>
      <c r="P56" s="43"/>
      <c r="Q56" s="43"/>
      <c r="R56" s="43"/>
      <c r="S56" s="43"/>
      <c r="T56" s="43"/>
      <c r="U56" s="43"/>
      <c r="V56" s="43"/>
      <c r="W56" s="43"/>
      <c r="X56" s="43"/>
      <c r="Y56" s="43"/>
      <c r="Z56" s="43"/>
    </row>
    <row r="57" ht="21.0" customHeight="1">
      <c r="A57" s="797" t="s">
        <v>219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233</v>
      </c>
      <c r="B58" s="791" t="str">
        <f t="shared" si="3"/>
        <v/>
      </c>
      <c r="C58" s="53"/>
      <c r="D58" s="792"/>
      <c r="E58" s="793"/>
      <c r="F58" s="794"/>
      <c r="G58" s="792"/>
      <c r="H58" s="795"/>
      <c r="I58" s="802" t="str">
        <f>I7</f>
        <v>Rose City Rollers / Rose City Rollers: Axles of Annihilation</v>
      </c>
      <c r="J58" s="346"/>
      <c r="K58" s="43"/>
      <c r="L58" s="43"/>
      <c r="M58" s="43"/>
      <c r="N58" s="43"/>
      <c r="O58" s="43"/>
      <c r="P58" s="43"/>
      <c r="Q58" s="43"/>
      <c r="R58" s="43"/>
      <c r="S58" s="43"/>
      <c r="T58" s="43"/>
      <c r="U58" s="43"/>
      <c r="V58" s="43"/>
      <c r="W58" s="43"/>
      <c r="X58" s="43"/>
      <c r="Y58" s="43"/>
      <c r="Z58" s="43"/>
    </row>
    <row r="59" ht="21.0" customHeight="1">
      <c r="A59" s="797" t="s">
        <v>219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360</v>
      </c>
      <c r="C61" s="831" t="s">
        <v>361</v>
      </c>
      <c r="D61" s="831" t="s">
        <v>362</v>
      </c>
      <c r="E61" s="832" t="s">
        <v>363</v>
      </c>
      <c r="F61" s="14"/>
      <c r="G61" s="42"/>
      <c r="H61" s="831"/>
      <c r="I61" s="831" t="s">
        <v>364</v>
      </c>
      <c r="J61" s="833" t="s">
        <v>365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366</v>
      </c>
      <c r="B100" s="824"/>
      <c r="C100" s="824" t="s">
        <v>372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368</v>
      </c>
      <c r="B101" s="43"/>
      <c r="C101" s="43" t="s">
        <v>373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370</v>
      </c>
      <c r="B102" s="828"/>
      <c r="C102" s="828" t="s">
        <v>374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375</v>
      </c>
      <c r="D8" s="841" t="s">
        <v>120</v>
      </c>
      <c r="E8" s="842" t="s">
        <v>375</v>
      </c>
      <c r="F8" s="843" t="s">
        <v>120</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118</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121</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377</v>
      </c>
      <c r="C13" s="855" t="str">
        <f>IF(ISBLANK(IGRF!B12), "", IGRF!B12)</f>
        <v>Blue</v>
      </c>
      <c r="D13" s="53"/>
      <c r="E13" s="856" t="str">
        <f>IF(ISBLANK(IGRF!I12), "", IGRF!I12)</f>
        <v>White</v>
      </c>
      <c r="F13" s="50"/>
    </row>
    <row r="14" ht="24.0" customHeight="1">
      <c r="A14" s="43"/>
      <c r="B14" s="845" t="s">
        <v>378</v>
      </c>
      <c r="C14" s="857"/>
      <c r="D14" s="858"/>
      <c r="E14" s="859"/>
      <c r="F14" s="87"/>
    </row>
    <row r="15" ht="24.0" customHeight="1">
      <c r="A15" s="43"/>
      <c r="B15" s="845" t="s">
        <v>379</v>
      </c>
      <c r="C15" s="860" t="str">
        <f>IF(ISBLANK(IGRF!B49), "", IGRF!B49)</f>
        <v/>
      </c>
      <c r="D15" s="55"/>
      <c r="E15" s="861" t="str">
        <f>IF(ISBLANK(IGRF!I49), "", IGRF!I49)</f>
        <v/>
      </c>
      <c r="F15" s="87"/>
    </row>
    <row r="16" ht="24.0" customHeight="1">
      <c r="A16" s="43"/>
      <c r="B16" s="845" t="s">
        <v>380</v>
      </c>
      <c r="C16" s="860"/>
      <c r="D16" s="55"/>
      <c r="E16" s="861"/>
      <c r="F16" s="87"/>
    </row>
    <row r="17" ht="24.0" customHeight="1">
      <c r="A17" s="43"/>
      <c r="B17" s="845" t="s">
        <v>381</v>
      </c>
      <c r="C17" s="857"/>
      <c r="D17" s="858"/>
      <c r="E17" s="859"/>
      <c r="F17" s="87"/>
    </row>
    <row r="18" ht="24.0" customHeight="1">
      <c r="A18" s="43"/>
      <c r="B18" s="845" t="s">
        <v>382</v>
      </c>
      <c r="C18" s="862" t="s">
        <v>383</v>
      </c>
      <c r="D18" s="863" t="s">
        <v>384</v>
      </c>
      <c r="E18" s="864" t="s">
        <v>383</v>
      </c>
      <c r="F18" s="865" t="s">
        <v>384</v>
      </c>
    </row>
    <row r="19" ht="61.5" customHeight="1">
      <c r="A19" s="43"/>
      <c r="B19" s="866" t="s">
        <v>385</v>
      </c>
      <c r="C19" s="867"/>
      <c r="D19" s="166"/>
      <c r="E19" s="868"/>
      <c r="F19" s="73"/>
    </row>
    <row r="20" ht="6.75" customHeight="1">
      <c r="A20" s="43"/>
      <c r="B20" s="43"/>
      <c r="C20" s="43"/>
      <c r="D20" s="43"/>
      <c r="E20" s="43"/>
      <c r="F20" s="43"/>
    </row>
    <row r="21" ht="22.5" customHeight="1">
      <c r="A21" s="869" t="s">
        <v>386</v>
      </c>
      <c r="B21" s="761" t="s">
        <v>387</v>
      </c>
    </row>
    <row r="22" ht="22.5" customHeight="1">
      <c r="A22" s="43"/>
      <c r="B22" s="869" t="s">
        <v>386</v>
      </c>
      <c r="C22" s="870" t="str">
        <f>C6</f>
        <v>#REF!</v>
      </c>
      <c r="D22" s="870"/>
      <c r="E22" s="870"/>
      <c r="F22" s="870"/>
    </row>
    <row r="23" ht="22.5" customHeight="1">
      <c r="A23" s="43"/>
      <c r="B23" s="869" t="s">
        <v>386</v>
      </c>
      <c r="C23" s="870" t="str">
        <f>E6</f>
        <v>#REF!</v>
      </c>
      <c r="D23" s="870"/>
      <c r="E23" s="870"/>
      <c r="F23" s="870"/>
    </row>
    <row r="24" ht="22.5" customHeight="1">
      <c r="A24" s="869" t="s">
        <v>386</v>
      </c>
      <c r="B24" s="761" t="s">
        <v>388</v>
      </c>
    </row>
    <row r="25" ht="22.5" customHeight="1">
      <c r="A25" s="871"/>
      <c r="B25" s="872" t="s">
        <v>389</v>
      </c>
      <c r="C25" s="761" t="s">
        <v>329</v>
      </c>
      <c r="D25" s="761"/>
      <c r="E25" s="761"/>
      <c r="F25" s="761"/>
    </row>
    <row r="26" ht="22.5" customHeight="1">
      <c r="A26" s="871"/>
      <c r="B26" s="872" t="s">
        <v>389</v>
      </c>
      <c r="C26" s="761" t="s">
        <v>390</v>
      </c>
      <c r="D26" s="761"/>
      <c r="E26" s="761"/>
      <c r="F26" s="761"/>
    </row>
    <row r="27" ht="22.5" customHeight="1">
      <c r="A27" s="869" t="s">
        <v>386</v>
      </c>
      <c r="B27" s="761" t="s">
        <v>391</v>
      </c>
    </row>
    <row r="28" ht="22.5" customHeight="1">
      <c r="A28" s="871"/>
      <c r="B28" s="869" t="s">
        <v>386</v>
      </c>
      <c r="C28" s="761" t="s">
        <v>392</v>
      </c>
      <c r="D28" s="43"/>
      <c r="E28" s="761"/>
      <c r="F28" s="761"/>
    </row>
    <row r="29" ht="22.5" customHeight="1">
      <c r="A29" s="871"/>
      <c r="B29" s="869" t="s">
        <v>386</v>
      </c>
      <c r="C29" s="761" t="s">
        <v>393</v>
      </c>
      <c r="D29" s="43"/>
      <c r="E29" s="761"/>
      <c r="F29" s="761"/>
    </row>
    <row r="30" ht="22.5" customHeight="1">
      <c r="A30" s="869" t="s">
        <v>386</v>
      </c>
      <c r="B30" s="761" t="s">
        <v>394</v>
      </c>
    </row>
    <row r="31" ht="22.5" customHeight="1">
      <c r="A31" s="869" t="s">
        <v>386</v>
      </c>
      <c r="B31" s="761"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3.5" customHeight="1">
      <c r="A3" s="5"/>
      <c r="B3" s="43"/>
      <c r="C3" s="43" t="s">
        <v>396</v>
      </c>
      <c r="D3" s="43">
        <f>MAX(Score!A42,Score!T42)</f>
        <v>24</v>
      </c>
      <c r="E3" s="43"/>
      <c r="F3" s="43"/>
      <c r="G3" s="43"/>
      <c r="H3" s="43"/>
      <c r="I3" s="43"/>
      <c r="J3" s="43"/>
      <c r="K3" s="43"/>
      <c r="L3" s="43"/>
      <c r="M3" s="43"/>
      <c r="N3" s="43"/>
      <c r="O3" s="43"/>
      <c r="P3" s="43"/>
      <c r="Q3" s="43"/>
      <c r="R3" s="43"/>
      <c r="S3" s="43"/>
      <c r="T3" s="5"/>
      <c r="U3" s="43"/>
      <c r="V3" s="43" t="s">
        <v>396</v>
      </c>
      <c r="W3" s="43">
        <f>D3</f>
        <v>24</v>
      </c>
      <c r="X3" s="43"/>
      <c r="Y3" s="43"/>
      <c r="Z3" s="43"/>
      <c r="AA3" s="43"/>
      <c r="AB3" s="43"/>
      <c r="AC3" s="43"/>
      <c r="AD3" s="43"/>
      <c r="AE3" s="43"/>
      <c r="AF3" s="43"/>
      <c r="AG3" s="43"/>
      <c r="AH3" s="43"/>
      <c r="AI3" s="43"/>
      <c r="AJ3" s="43"/>
      <c r="AK3" s="43"/>
    </row>
    <row r="4" ht="13.5" customHeight="1">
      <c r="A4" s="5"/>
      <c r="B4" s="43"/>
      <c r="C4" s="43" t="s">
        <v>397</v>
      </c>
      <c r="D4" s="43">
        <f>SK!H79</f>
        <v>16</v>
      </c>
      <c r="E4" s="43"/>
      <c r="F4" s="43"/>
      <c r="G4" s="43"/>
      <c r="H4" s="43"/>
      <c r="I4" s="43"/>
      <c r="J4" s="43"/>
      <c r="K4" s="43"/>
      <c r="L4" s="43"/>
      <c r="M4" s="43"/>
      <c r="N4" s="43"/>
      <c r="O4" s="43"/>
      <c r="P4" s="43"/>
      <c r="Q4" s="43"/>
      <c r="R4" s="43"/>
      <c r="S4" s="43"/>
      <c r="T4" s="5"/>
      <c r="U4" s="43"/>
      <c r="V4" s="43" t="s">
        <v>398</v>
      </c>
      <c r="W4" s="43">
        <f>SK!X79</f>
        <v>7</v>
      </c>
      <c r="X4" s="43"/>
      <c r="Y4" s="43"/>
      <c r="Z4" s="43"/>
      <c r="AA4" s="43"/>
      <c r="AB4" s="43"/>
      <c r="AC4" s="43"/>
      <c r="AD4" s="43"/>
      <c r="AE4" s="43"/>
      <c r="AF4" s="43"/>
      <c r="AG4" s="43"/>
      <c r="AH4" s="43"/>
      <c r="AI4" s="43"/>
      <c r="AJ4" s="43"/>
      <c r="AK4" s="43"/>
    </row>
    <row r="5" ht="13.5" customHeight="1">
      <c r="A5" s="5"/>
      <c r="B5" s="43"/>
      <c r="C5" s="43" t="s">
        <v>399</v>
      </c>
      <c r="D5" s="43">
        <f>COUNTIF(Q9:Q28,"&gt;0")</f>
        <v>14</v>
      </c>
      <c r="E5" s="43"/>
      <c r="F5" s="43"/>
      <c r="G5" s="43"/>
      <c r="H5" s="43"/>
      <c r="I5" s="43"/>
      <c r="J5" s="43"/>
      <c r="K5" s="43"/>
      <c r="L5" s="43"/>
      <c r="M5" s="43"/>
      <c r="N5" s="43"/>
      <c r="O5" s="43"/>
      <c r="P5" s="43"/>
      <c r="Q5" s="43"/>
      <c r="R5" s="43"/>
      <c r="S5" s="43"/>
      <c r="T5" s="5"/>
      <c r="U5" s="43"/>
      <c r="V5" s="43" t="s">
        <v>400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401</v>
      </c>
      <c r="B7" s="8"/>
      <c r="C7" s="9"/>
      <c r="D7" s="874"/>
      <c r="E7" s="874"/>
      <c r="F7" s="874"/>
      <c r="G7" s="874"/>
      <c r="H7" s="874"/>
      <c r="I7" s="874"/>
      <c r="J7" s="874"/>
      <c r="K7" s="874"/>
      <c r="L7" s="874"/>
      <c r="M7" s="874"/>
      <c r="N7" s="874"/>
      <c r="O7" s="874"/>
      <c r="P7" s="874"/>
      <c r="Q7" s="874"/>
      <c r="R7" s="874"/>
      <c r="S7" s="43"/>
      <c r="T7" s="873" t="s">
        <v>401</v>
      </c>
      <c r="U7" s="8"/>
      <c r="V7" s="9"/>
      <c r="W7" s="874"/>
      <c r="X7" s="874"/>
      <c r="Y7" s="874"/>
      <c r="Z7" s="874"/>
      <c r="AA7" s="874"/>
      <c r="AB7" s="874"/>
      <c r="AC7" s="874"/>
      <c r="AD7" s="874"/>
      <c r="AE7" s="874"/>
      <c r="AF7" s="874"/>
      <c r="AG7" s="874"/>
      <c r="AH7" s="874"/>
      <c r="AI7" s="874"/>
      <c r="AJ7" s="874"/>
      <c r="AK7" s="874"/>
    </row>
    <row r="8" ht="13.5" customHeight="1">
      <c r="A8" s="875">
        <v>0.0</v>
      </c>
      <c r="B8" s="875" t="s">
        <v>402</v>
      </c>
      <c r="C8" s="875" t="s">
        <v>403</v>
      </c>
      <c r="D8" s="875" t="s">
        <v>261</v>
      </c>
      <c r="E8" s="876" t="s">
        <v>404</v>
      </c>
      <c r="F8" s="877" t="s">
        <v>262</v>
      </c>
      <c r="G8" s="877" t="s">
        <v>262</v>
      </c>
      <c r="H8" s="877" t="s">
        <v>262</v>
      </c>
      <c r="I8" s="877" t="s">
        <v>262</v>
      </c>
      <c r="J8" s="875" t="s">
        <v>405</v>
      </c>
      <c r="K8" s="876" t="s">
        <v>406</v>
      </c>
      <c r="L8" s="875" t="s">
        <v>407</v>
      </c>
      <c r="M8" s="876" t="s">
        <v>408</v>
      </c>
      <c r="N8" s="878" t="s">
        <v>409</v>
      </c>
      <c r="O8" s="875" t="s">
        <v>259</v>
      </c>
      <c r="P8" s="876" t="s">
        <v>410</v>
      </c>
      <c r="Q8" s="875" t="s">
        <v>376</v>
      </c>
      <c r="R8" s="876" t="s">
        <v>411</v>
      </c>
      <c r="S8" s="5"/>
      <c r="T8" s="875">
        <v>0.0</v>
      </c>
      <c r="U8" s="875" t="s">
        <v>402</v>
      </c>
      <c r="V8" s="875" t="s">
        <v>403</v>
      </c>
      <c r="W8" s="875" t="s">
        <v>261</v>
      </c>
      <c r="X8" s="876" t="s">
        <v>404</v>
      </c>
      <c r="Y8" s="877" t="s">
        <v>262</v>
      </c>
      <c r="Z8" s="877" t="s">
        <v>262</v>
      </c>
      <c r="AA8" s="877" t="s">
        <v>262</v>
      </c>
      <c r="AB8" s="877" t="s">
        <v>262</v>
      </c>
      <c r="AC8" s="875" t="s">
        <v>405</v>
      </c>
      <c r="AD8" s="876" t="s">
        <v>406</v>
      </c>
      <c r="AE8" s="875" t="s">
        <v>407</v>
      </c>
      <c r="AF8" s="876" t="s">
        <v>408</v>
      </c>
      <c r="AG8" s="878" t="s">
        <v>409</v>
      </c>
      <c r="AH8" s="875" t="s">
        <v>259</v>
      </c>
      <c r="AI8" s="876" t="s">
        <v>410</v>
      </c>
      <c r="AJ8" s="875" t="s">
        <v>376</v>
      </c>
      <c r="AK8" s="876" t="s">
        <v>411</v>
      </c>
    </row>
    <row r="9" ht="13.5" customHeight="1">
      <c r="A9" s="5">
        <f t="shared" ref="A9:A28" si="1">A8+1</f>
        <v>1</v>
      </c>
      <c r="B9" s="879" t="str">
        <f>IF(ISBLANK(IGRF!B14),"",IGRF!B14)</f>
        <v>10</v>
      </c>
      <c r="C9" s="879" t="str">
        <f>IF(ISBLANK(IGRF!C14),"",IGRF!C14)</f>
        <v>Unprotected Lex</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1</v>
      </c>
      <c r="I9" s="881">
        <f>IF($B9="","",SUMPRODUCT(--(Lineups!S$4:S$41=$B9),--(Lineups!A$4:A$41&lt;&gt;"SP")))</f>
        <v>1</v>
      </c>
      <c r="J9" s="43">
        <f t="shared" ref="J9:J28" si="3">IF(B9="","",SUM(F9:I9))</f>
        <v>4</v>
      </c>
      <c r="K9" s="880">
        <f t="shared" ref="K9:K28" si="4">IF($B9="","",IF($D$3=0,"",J9/$D$3))</f>
        <v>0.1666666667</v>
      </c>
      <c r="L9" s="43">
        <f t="shared" ref="L9:L28" si="5">IF(B9="","",SUM(D9,J9))</f>
        <v>4</v>
      </c>
      <c r="M9" s="880">
        <f t="shared" ref="M9:M28" si="6">IF($B9="","",IF($D$3=0,"",L9/$D$3))</f>
        <v>0.1666666667</v>
      </c>
      <c r="N9" s="882" t="str">
        <f>IF(B9="","",IF(OR(SK!E172="",SK!E172=0),"",SK!H172))</f>
        <v/>
      </c>
      <c r="O9" s="43">
        <f>IF($B9="","",SUMPRODUCT(--(Lineups!C$4:C$41=$B9)))</f>
        <v>0</v>
      </c>
      <c r="P9" s="880">
        <f t="shared" ref="P9:P28" si="7">IF($B9="","",IF($D$3=0,"",O9/$D$3))</f>
        <v>0</v>
      </c>
      <c r="Q9" s="43">
        <f t="shared" ref="Q9:Q28" si="8">IF(B9="","",SUM(L9,O9))</f>
        <v>4</v>
      </c>
      <c r="R9" s="880">
        <f t="shared" ref="R9:R28" si="9">IF($B9="","",IF($D$3=0,"",Q9/$D$3))</f>
        <v>0.1666666667</v>
      </c>
      <c r="S9" s="43"/>
      <c r="T9" s="5">
        <f t="shared" ref="T9:T28" si="10">T8+1</f>
        <v>1</v>
      </c>
      <c r="U9" s="879" t="str">
        <f>IF(ISBLANK(IGRF!I14),"",IGRF!I14)</f>
        <v>11</v>
      </c>
      <c r="V9" s="879" t="str">
        <f>IF(ISBLANK(IGRF!J14),"",IGRF!J14)</f>
        <v>Bertha Beatdown</v>
      </c>
      <c r="W9" s="43">
        <f>IF($U9="","",SUMPRODUCT(--(Lineups!$AG$4:$AG$41=$U9),--(Lineups!$AB$4:$AB$41="")))</f>
        <v>1</v>
      </c>
      <c r="X9" s="880">
        <f t="shared" ref="X9:X28" si="11">IF($U9="","",IF($W$3=0,"",W9/$W$3))</f>
        <v>0.04166666667</v>
      </c>
      <c r="Y9" s="881">
        <f>IF($U9="","",SUMPRODUCT(--(Lineups!$AG$4:$AG$41=$U9),--(Lineups!$AB$4:$AB$41="X")))</f>
        <v>0</v>
      </c>
      <c r="Z9" s="881">
        <f>IF($U9="","",SUMPRODUCT(--(Lineups!AK$4:AK$41=$U9),--(Lineups!AA$4:AA$41&lt;&gt;"SP")))</f>
        <v>2</v>
      </c>
      <c r="AA9" s="881">
        <f>IF($U9="","",SUMPRODUCT(--(Lineups!AO$4:AO$41=$U9),--(Lineups!AA$4:AA$41&lt;&gt;"SP")))</f>
        <v>3</v>
      </c>
      <c r="AB9" s="881">
        <f>IF($U9="","",SUMPRODUCT(--(Lineups!AS$4:AS$41=$U9),--(Lineups!AA$4:AA$41&lt;&gt;"SP")))</f>
        <v>1</v>
      </c>
      <c r="AC9" s="43">
        <f t="shared" ref="AC9:AC28" si="12">IF(U9="","",SUM(Y9:AB9))</f>
        <v>6</v>
      </c>
      <c r="AD9" s="880">
        <f t="shared" ref="AD9:AD28" si="13">IF($U9="","",IF($W$3=0,"",AC9/$W$3))</f>
        <v>0.25</v>
      </c>
      <c r="AE9" s="43">
        <f t="shared" ref="AE9:AE28" si="14">IF(U9="","",SUM(W9,AC9))</f>
        <v>7</v>
      </c>
      <c r="AF9" s="880">
        <f t="shared" ref="AF9:AF28" si="15">IF($U9="","",IF($W$3=0,"",AE9/$W$3))</f>
        <v>0.2916666667</v>
      </c>
      <c r="AG9" s="882" t="str">
        <f>IF(U9="","",IF(OR(SK!U172="",SK!U172=0),"",SK!X172))</f>
        <v/>
      </c>
      <c r="AH9" s="43">
        <f>IF($U9="","",SUMPRODUCT(--(Lineups!AC$4:AC$41=$U9)))</f>
        <v>0</v>
      </c>
      <c r="AI9" s="880">
        <f t="shared" ref="AI9:AI28" si="16">IF($U9="","",IF($W$3=0,"",AH9/$W$3))</f>
        <v>0</v>
      </c>
      <c r="AJ9" s="43">
        <f t="shared" ref="AJ9:AJ28" si="17">IF(U9="","",SUM(AE9,AH9))</f>
        <v>7</v>
      </c>
      <c r="AK9" s="880">
        <f t="shared" ref="AK9:AK28" si="18">IF($U9="","",IF($W$3=0,"",AJ9/$W$3))</f>
        <v>0.2916666667</v>
      </c>
    </row>
    <row r="10" ht="13.5" customHeight="1">
      <c r="A10" s="883">
        <f t="shared" si="1"/>
        <v>2</v>
      </c>
      <c r="B10" s="884" t="str">
        <f>IF(ISBLANK(IGRF!B15),"",IGRF!B15)</f>
        <v>1706</v>
      </c>
      <c r="C10" s="884" t="str">
        <f>IF(ISBLANK(IGRF!C15),"",IGRF!C15)</f>
        <v>Maven</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4</v>
      </c>
      <c r="O10" s="885">
        <f>IF($B10="","",SUMPRODUCT(--(Lineups!C$4:C$41=$B10)))</f>
        <v>8</v>
      </c>
      <c r="P10" s="886">
        <f t="shared" si="7"/>
        <v>0.3333333333</v>
      </c>
      <c r="Q10" s="885">
        <f t="shared" si="8"/>
        <v>8</v>
      </c>
      <c r="R10" s="886">
        <f t="shared" si="9"/>
        <v>0.3333333333</v>
      </c>
      <c r="S10" s="43"/>
      <c r="T10" s="883">
        <f t="shared" si="10"/>
        <v>2</v>
      </c>
      <c r="U10" s="884" t="str">
        <f>IF(ISBLANK(IGRF!I15),"",IGRF!I15)</f>
        <v>128</v>
      </c>
      <c r="V10" s="884" t="str">
        <f>IF(ISBLANK(IGRF!J15),"",IGRF!J15)</f>
        <v>Carl</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1</v>
      </c>
      <c r="AB10" s="881">
        <f>IF($U10="","",SUMPRODUCT(--(Lineups!AS$4:AS$41=$U10),--(Lineups!AA$4:AA$41&lt;&gt;"SP")))</f>
        <v>0</v>
      </c>
      <c r="AC10" s="885">
        <f t="shared" si="12"/>
        <v>2</v>
      </c>
      <c r="AD10" s="886">
        <f t="shared" si="13"/>
        <v>0.08333333333</v>
      </c>
      <c r="AE10" s="885">
        <f t="shared" si="14"/>
        <v>2</v>
      </c>
      <c r="AF10" s="886">
        <f t="shared" si="15"/>
        <v>0.08333333333</v>
      </c>
      <c r="AG10" s="887" t="str">
        <f>IF(U10="","",IF(OR(SK!U175="",SK!U175=0),"",SK!X175))</f>
        <v/>
      </c>
      <c r="AH10" s="885">
        <f>IF($U10="","",SUMPRODUCT(--(Lineups!AC$4:AC$41=$U10)))</f>
        <v>0</v>
      </c>
      <c r="AI10" s="886">
        <f t="shared" si="16"/>
        <v>0</v>
      </c>
      <c r="AJ10" s="885">
        <f t="shared" si="17"/>
        <v>2</v>
      </c>
      <c r="AK10" s="886">
        <f t="shared" si="18"/>
        <v>0.08333333333</v>
      </c>
    </row>
    <row r="11" ht="13.5" customHeight="1">
      <c r="A11" s="5">
        <f t="shared" si="1"/>
        <v>3</v>
      </c>
      <c r="B11" s="879" t="str">
        <f>IF(ISBLANK(IGRF!B16),"",IGRF!B16)</f>
        <v>2</v>
      </c>
      <c r="C11" s="879" t="str">
        <f>IF(ISBLANK(IGRF!C16),"",IGRF!C16)</f>
        <v>Taryn</v>
      </c>
      <c r="D11" s="43">
        <f>IF($B11="","",SUMPRODUCT(--(Lineups!$G$4:$G$41=$B11),--(Lineups!$B$4:$B$41="")))</f>
        <v>2</v>
      </c>
      <c r="E11" s="880">
        <f t="shared" si="2"/>
        <v>0.08333333333</v>
      </c>
      <c r="F11" s="881">
        <f>IF($B11="","",SUMPRODUCT(--(Lineups!$G$4:$G$41=$B11),--(Lineups!$B$4:$B$41="X")))</f>
        <v>0</v>
      </c>
      <c r="G11" s="881">
        <f>IF($B11="","",SUMPRODUCT(--(Lineups!K$4:K$41=$B11),--(Lineups!A$4:A$41&lt;&gt;"SP")))</f>
        <v>2</v>
      </c>
      <c r="H11" s="881">
        <f>IF($B11="","",SUMPRODUCT(--(Lineups!O$4:O$41=$B11),--(Lineups!A$4:A$41&lt;&gt;"SP")))</f>
        <v>4</v>
      </c>
      <c r="I11" s="881">
        <f>IF($B11="","",SUMPRODUCT(--(Lineups!S$4:S$41=$B11),--(Lineups!A$4:A$41&lt;&gt;"SP")))</f>
        <v>3</v>
      </c>
      <c r="J11" s="43">
        <f t="shared" si="3"/>
        <v>9</v>
      </c>
      <c r="K11" s="880">
        <f t="shared" si="4"/>
        <v>0.375</v>
      </c>
      <c r="L11" s="43">
        <f t="shared" si="5"/>
        <v>11</v>
      </c>
      <c r="M11" s="880">
        <f t="shared" si="6"/>
        <v>0.4583333333</v>
      </c>
      <c r="N11" s="882" t="str">
        <f>IF(B11="","",IF(OR(SK!E178="",SK!E178=0),"",SK!H178))</f>
        <v/>
      </c>
      <c r="O11" s="43">
        <f>IF($B11="","",SUMPRODUCT(--(Lineups!C$4:C$41=$B11)))</f>
        <v>0</v>
      </c>
      <c r="P11" s="880">
        <f t="shared" si="7"/>
        <v>0</v>
      </c>
      <c r="Q11" s="43">
        <f t="shared" si="8"/>
        <v>11</v>
      </c>
      <c r="R11" s="880">
        <f t="shared" si="9"/>
        <v>0.4583333333</v>
      </c>
      <c r="S11" s="43"/>
      <c r="T11" s="5">
        <f t="shared" si="10"/>
        <v>3</v>
      </c>
      <c r="U11" s="879" t="str">
        <f>IF(ISBLANK(IGRF!I16),"",IGRF!I16)</f>
        <v>139</v>
      </c>
      <c r="V11" s="879" t="str">
        <f>IF(ISBLANK(IGRF!J16),"",IGRF!J16)</f>
        <v>Katie Postma</v>
      </c>
      <c r="W11" s="43">
        <f>IF($U11="","",SUMPRODUCT(--(Lineups!$AG$4:$AG$41=$U11),--(Lineups!$AB$4:$AB$41="")))</f>
        <v>3</v>
      </c>
      <c r="X11" s="880">
        <f t="shared" si="11"/>
        <v>0.125</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2</v>
      </c>
      <c r="AC11" s="43">
        <f t="shared" si="12"/>
        <v>2</v>
      </c>
      <c r="AD11" s="880">
        <f t="shared" si="13"/>
        <v>0.08333333333</v>
      </c>
      <c r="AE11" s="43">
        <f t="shared" si="14"/>
        <v>5</v>
      </c>
      <c r="AF11" s="880">
        <f t="shared" si="15"/>
        <v>0.2083333333</v>
      </c>
      <c r="AG11" s="882" t="str">
        <f>IF(U11="","",IF(OR(SK!U178="",SK!U178=0),"",SK!X178))</f>
        <v/>
      </c>
      <c r="AH11" s="43">
        <f>IF($U11="","",SUMPRODUCT(--(Lineups!AC$4:AC$41=$U11)))</f>
        <v>0</v>
      </c>
      <c r="AI11" s="880">
        <f t="shared" si="16"/>
        <v>0</v>
      </c>
      <c r="AJ11" s="43">
        <f t="shared" si="17"/>
        <v>5</v>
      </c>
      <c r="AK11" s="880">
        <f t="shared" si="18"/>
        <v>0.2083333333</v>
      </c>
    </row>
    <row r="12" ht="13.5" customHeight="1">
      <c r="A12" s="883">
        <f t="shared" si="1"/>
        <v>4</v>
      </c>
      <c r="B12" s="884" t="str">
        <f>IF(ISBLANK(IGRF!B17),"",IGRF!B17)</f>
        <v>22</v>
      </c>
      <c r="C12" s="884" t="str">
        <f>IF(ISBLANK(IGRF!C17),"",IGRF!C17)</f>
        <v>Scara to Death</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4</v>
      </c>
      <c r="I12" s="881">
        <f>IF($B12="","",SUMPRODUCT(--(Lineups!S$4:S$41=$B12),--(Lineups!A$4:A$41&lt;&gt;"SP")))</f>
        <v>5</v>
      </c>
      <c r="J12" s="885">
        <f t="shared" si="3"/>
        <v>11</v>
      </c>
      <c r="K12" s="886">
        <f t="shared" si="4"/>
        <v>0.4583333333</v>
      </c>
      <c r="L12" s="885">
        <f t="shared" si="5"/>
        <v>11</v>
      </c>
      <c r="M12" s="886">
        <f t="shared" si="6"/>
        <v>0.4583333333</v>
      </c>
      <c r="N12" s="887" t="str">
        <f>IF(B12="","",IF(OR(SK!E181="",SK!E181=0),"",SK!H181))</f>
        <v/>
      </c>
      <c r="O12" s="885">
        <f>IF($B12="","",SUMPRODUCT(--(Lineups!C$4:C$41=$B12)))</f>
        <v>0</v>
      </c>
      <c r="P12" s="886">
        <f t="shared" si="7"/>
        <v>0</v>
      </c>
      <c r="Q12" s="885">
        <f t="shared" si="8"/>
        <v>11</v>
      </c>
      <c r="R12" s="886">
        <f t="shared" si="9"/>
        <v>0.4583333333</v>
      </c>
      <c r="S12" s="43"/>
      <c r="T12" s="883">
        <f t="shared" si="10"/>
        <v>4</v>
      </c>
      <c r="U12" s="884" t="str">
        <f>IF(ISBLANK(IGRF!I17),"",IGRF!I17)</f>
        <v>22</v>
      </c>
      <c r="V12" s="884" t="str">
        <f>IF(ISBLANK(IGRF!J17),"",IGRF!J17)</f>
        <v>Habanero Romero</v>
      </c>
      <c r="W12" s="885">
        <f>IF($U12="","",SUMPRODUCT(--(Lineups!$AG$4:$AG$41=$U12),--(Lineups!$AB$4:$AB$41="")))</f>
        <v>6</v>
      </c>
      <c r="X12" s="886">
        <f t="shared" si="11"/>
        <v>0.25</v>
      </c>
      <c r="Y12" s="881">
        <f>IF($U12="","",SUMPRODUCT(--(Lineups!$AG$4:$AG$41=$U12),--(Lineups!$AB$4:$AB$41="X")))</f>
        <v>0</v>
      </c>
      <c r="Z12" s="881">
        <f>IF($U12="","",SUMPRODUCT(--(Lineups!AK$4:AK$41=$U12),--(Lineups!AA$4:AA$41&lt;&gt;"SP")))</f>
        <v>4</v>
      </c>
      <c r="AA12" s="881">
        <f>IF($U12="","",SUMPRODUCT(--(Lineups!AO$4:AO$41=$U12),--(Lineups!AA$4:AA$41&lt;&gt;"SP")))</f>
        <v>1</v>
      </c>
      <c r="AB12" s="881">
        <f>IF($U12="","",SUMPRODUCT(--(Lineups!AS$4:AS$41=$U12),--(Lineups!AA$4:AA$41&lt;&gt;"SP")))</f>
        <v>1</v>
      </c>
      <c r="AC12" s="885">
        <f t="shared" si="12"/>
        <v>6</v>
      </c>
      <c r="AD12" s="886">
        <f t="shared" si="13"/>
        <v>0.25</v>
      </c>
      <c r="AE12" s="885">
        <f t="shared" si="14"/>
        <v>12</v>
      </c>
      <c r="AF12" s="886">
        <f t="shared" si="15"/>
        <v>0.5</v>
      </c>
      <c r="AG12" s="887" t="str">
        <f>IF(U12="","",IF(OR(SK!U181="",SK!U181=0),"",SK!X181))</f>
        <v/>
      </c>
      <c r="AH12" s="885">
        <f>IF($U12="","",SUMPRODUCT(--(Lineups!AC$4:AC$41=$U12)))</f>
        <v>0</v>
      </c>
      <c r="AI12" s="886">
        <f t="shared" si="16"/>
        <v>0</v>
      </c>
      <c r="AJ12" s="885">
        <f t="shared" si="17"/>
        <v>12</v>
      </c>
      <c r="AK12" s="886">
        <f t="shared" si="18"/>
        <v>0.5</v>
      </c>
    </row>
    <row r="13" ht="13.5" customHeight="1">
      <c r="A13" s="5">
        <f t="shared" si="1"/>
        <v>5</v>
      </c>
      <c r="B13" s="879" t="str">
        <f>IF(ISBLANK(IGRF!B18),"",IGRF!B18)</f>
        <v>27</v>
      </c>
      <c r="C13" s="879" t="str">
        <f>IF(ISBLANK(IGRF!C18),"",IGRF!C18)</f>
        <v>Gobrecht</v>
      </c>
      <c r="D13" s="43">
        <f>IF($B13="","",SUMPRODUCT(--(Lineups!$G$4:$G$41=$B13),--(Lineups!$B$4:$B$41="")))</f>
        <v>9</v>
      </c>
      <c r="E13" s="880">
        <f t="shared" si="2"/>
        <v>0.375</v>
      </c>
      <c r="F13" s="881">
        <f>IF($B13="","",SUMPRODUCT(--(Lineups!$G$4:$G$41=$B13),--(Lineups!$B$4:$B$41="X")))</f>
        <v>0</v>
      </c>
      <c r="G13" s="881">
        <f>IF($B13="","",SUMPRODUCT(--(Lineups!K$4:K$41=$B13),--(Lineups!A$4:A$41&lt;&gt;"SP")))</f>
        <v>0</v>
      </c>
      <c r="H13" s="881">
        <f>IF($B13="","",SUMPRODUCT(--(Lineups!O$4:O$41=$B13),--(Lineups!A$4:A$41&lt;&gt;"SP")))</f>
        <v>1</v>
      </c>
      <c r="I13" s="881">
        <f>IF($B13="","",SUMPRODUCT(--(Lineups!S$4:S$41=$B13),--(Lineups!A$4:A$41&lt;&gt;"SP")))</f>
        <v>1</v>
      </c>
      <c r="J13" s="43">
        <f t="shared" si="3"/>
        <v>2</v>
      </c>
      <c r="K13" s="880">
        <f t="shared" si="4"/>
        <v>0.08333333333</v>
      </c>
      <c r="L13" s="43">
        <f t="shared" si="5"/>
        <v>11</v>
      </c>
      <c r="M13" s="880">
        <f t="shared" si="6"/>
        <v>0.4583333333</v>
      </c>
      <c r="N13" s="882" t="str">
        <f>IF(B13="","",IF(OR(SK!E184="",SK!E184=0),"",SK!H184))</f>
        <v/>
      </c>
      <c r="O13" s="43">
        <f>IF($B13="","",SUMPRODUCT(--(Lineups!C$4:C$41=$B13)))</f>
        <v>0</v>
      </c>
      <c r="P13" s="880">
        <f t="shared" si="7"/>
        <v>0</v>
      </c>
      <c r="Q13" s="43">
        <f t="shared" si="8"/>
        <v>11</v>
      </c>
      <c r="R13" s="880">
        <f t="shared" si="9"/>
        <v>0.4583333333</v>
      </c>
      <c r="S13" s="43"/>
      <c r="T13" s="5">
        <f t="shared" si="10"/>
        <v>5</v>
      </c>
      <c r="U13" s="879" t="str">
        <f>IF(ISBLANK(IGRF!I18),"",IGRF!I18)</f>
        <v>241</v>
      </c>
      <c r="V13" s="879" t="str">
        <f>IF(ISBLANK(IGRF!J18),"",IGRF!J18)</f>
        <v>Lilly Pate</v>
      </c>
      <c r="W13" s="43">
        <f>IF($U13="","",SUMPRODUCT(--(Lineups!$AG$4:$AG$41=$U13),--(Lineups!$AB$4:$AB$41="")))</f>
        <v>0</v>
      </c>
      <c r="X13" s="880">
        <f t="shared" si="11"/>
        <v>0</v>
      </c>
      <c r="Y13" s="881">
        <f>IF($U13="","",SUMPRODUCT(--(Lineups!$AG$4:$AG$41=$U13),--(Lineups!$AB$4:$AB$41="X")))</f>
        <v>0</v>
      </c>
      <c r="Z13" s="881">
        <f>IF($U13="","",SUMPRODUCT(--(Lineups!AK$4:AK$41=$U13),--(Lineups!AA$4:AA$41&lt;&gt;"SP")))</f>
        <v>9</v>
      </c>
      <c r="AA13" s="881">
        <f>IF($U13="","",SUMPRODUCT(--(Lineups!AO$4:AO$41=$U13),--(Lineups!AA$4:AA$41&lt;&gt;"SP")))</f>
        <v>2</v>
      </c>
      <c r="AB13" s="881">
        <f>IF($U13="","",SUMPRODUCT(--(Lineups!AS$4:AS$41=$U13),--(Lineups!AA$4:AA$41&lt;&gt;"SP")))</f>
        <v>2</v>
      </c>
      <c r="AC13" s="43">
        <f t="shared" si="12"/>
        <v>13</v>
      </c>
      <c r="AD13" s="880">
        <f t="shared" si="13"/>
        <v>0.5416666667</v>
      </c>
      <c r="AE13" s="43">
        <f t="shared" si="14"/>
        <v>13</v>
      </c>
      <c r="AF13" s="880">
        <f t="shared" si="15"/>
        <v>0.5416666667</v>
      </c>
      <c r="AG13" s="882" t="str">
        <f>IF(U13="","",IF(OR(SK!U184="",SK!U184=0),"",SK!X184))</f>
        <v/>
      </c>
      <c r="AH13" s="43">
        <f>IF($U13="","",SUMPRODUCT(--(Lineups!AC$4:AC$41=$U13)))</f>
        <v>0</v>
      </c>
      <c r="AI13" s="880">
        <f t="shared" si="16"/>
        <v>0</v>
      </c>
      <c r="AJ13" s="43">
        <f t="shared" si="17"/>
        <v>13</v>
      </c>
      <c r="AK13" s="880">
        <f t="shared" si="18"/>
        <v>0.5416666667</v>
      </c>
    </row>
    <row r="14" ht="13.5" customHeight="1">
      <c r="A14" s="883">
        <f t="shared" si="1"/>
        <v>6</v>
      </c>
      <c r="B14" s="884" t="str">
        <f>IF(ISBLANK(IGRF!B19),"",IGRF!B19)</f>
        <v>33</v>
      </c>
      <c r="C14" s="884" t="str">
        <f>IF(ISBLANK(IGRF!C19),"",IGRF!C19)</f>
        <v>Klein</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5</v>
      </c>
      <c r="O14" s="885">
        <f>IF($B14="","",SUMPRODUCT(--(Lineups!C$4:C$41=$B14)))</f>
        <v>7</v>
      </c>
      <c r="P14" s="886">
        <f t="shared" si="7"/>
        <v>0.2916666667</v>
      </c>
      <c r="Q14" s="885">
        <f t="shared" si="8"/>
        <v>7</v>
      </c>
      <c r="R14" s="886">
        <f t="shared" si="9"/>
        <v>0.2916666667</v>
      </c>
      <c r="S14" s="43"/>
      <c r="T14" s="883">
        <f t="shared" si="10"/>
        <v>6</v>
      </c>
      <c r="U14" s="884" t="str">
        <f>IF(ISBLANK(IGRF!I19),"",IGRF!I19)</f>
        <v>316</v>
      </c>
      <c r="V14" s="884" t="str">
        <f>IF(ISBLANK(IGRF!J19),"",IGRF!J19)</f>
        <v>Eve Anne Hellical</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1</v>
      </c>
      <c r="AH14" s="885">
        <f>IF($U14="","",SUMPRODUCT(--(Lineups!AC$4:AC$41=$U14)))</f>
        <v>6</v>
      </c>
      <c r="AI14" s="886">
        <f t="shared" si="16"/>
        <v>0.25</v>
      </c>
      <c r="AJ14" s="885">
        <f t="shared" si="17"/>
        <v>6</v>
      </c>
      <c r="AK14" s="886">
        <f t="shared" si="18"/>
        <v>0.25</v>
      </c>
    </row>
    <row r="15" ht="13.5" customHeight="1">
      <c r="A15" s="5">
        <f t="shared" si="1"/>
        <v>7</v>
      </c>
      <c r="B15" s="879" t="str">
        <f>IF(ISBLANK(IGRF!B20),"",IGRF!B20)</f>
        <v>357</v>
      </c>
      <c r="C15" s="879" t="str">
        <f>IF(ISBLANK(IGRF!C20),"",IGRF!C20)</f>
        <v>Bia Fraid</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343</v>
      </c>
      <c r="V15" s="879" t="str">
        <f>IF(ISBLANK(IGRF!J20),"",IGRF!J20)</f>
        <v>Trinity</v>
      </c>
      <c r="W15" s="43">
        <f>IF($U15="","",SUMPRODUCT(--(Lineups!$AG$4:$AG$41=$U15),--(Lineups!$AB$4:$AB$41="")))</f>
        <v>1</v>
      </c>
      <c r="X15" s="880">
        <f t="shared" si="11"/>
        <v>0.04166666667</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1</v>
      </c>
      <c r="AC15" s="43">
        <f t="shared" si="12"/>
        <v>1</v>
      </c>
      <c r="AD15" s="880">
        <f t="shared" si="13"/>
        <v>0.04166666667</v>
      </c>
      <c r="AE15" s="43">
        <f t="shared" si="14"/>
        <v>2</v>
      </c>
      <c r="AF15" s="880">
        <f t="shared" si="15"/>
        <v>0.08333333333</v>
      </c>
      <c r="AG15" s="882">
        <f>IF(U15="","",IF(OR(SK!U190="",SK!U190=0),"",SK!X190))</f>
        <v>2</v>
      </c>
      <c r="AH15" s="43">
        <f>IF($U15="","",SUMPRODUCT(--(Lineups!AC$4:AC$41=$U15)))</f>
        <v>5</v>
      </c>
      <c r="AI15" s="880">
        <f t="shared" si="16"/>
        <v>0.2083333333</v>
      </c>
      <c r="AJ15" s="43">
        <f t="shared" si="17"/>
        <v>7</v>
      </c>
      <c r="AK15" s="880">
        <f t="shared" si="18"/>
        <v>0.2916666667</v>
      </c>
    </row>
    <row r="16" ht="13.5" customHeight="1">
      <c r="A16" s="883">
        <f t="shared" si="1"/>
        <v>8</v>
      </c>
      <c r="B16" s="884" t="str">
        <f>IF(ISBLANK(IGRF!B21),"",IGRF!B21)</f>
        <v>40</v>
      </c>
      <c r="C16" s="884" t="str">
        <f>IF(ISBLANK(IGRF!C21),"",IGRF!C21)</f>
        <v>speedlejuice</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1</v>
      </c>
      <c r="O16" s="885">
        <f>IF($B16="","",SUMPRODUCT(--(Lineups!C$4:C$41=$B16)))</f>
        <v>1</v>
      </c>
      <c r="P16" s="886">
        <f t="shared" si="7"/>
        <v>0.04166666667</v>
      </c>
      <c r="Q16" s="885">
        <f t="shared" si="8"/>
        <v>1</v>
      </c>
      <c r="R16" s="886">
        <f t="shared" si="9"/>
        <v>0.04166666667</v>
      </c>
      <c r="S16" s="43"/>
      <c r="T16" s="883">
        <f t="shared" si="10"/>
        <v>8</v>
      </c>
      <c r="U16" s="884" t="str">
        <f>IF(ISBLANK(IGRF!I21),"",IGRF!I21)</f>
        <v>360</v>
      </c>
      <c r="V16" s="884" t="str">
        <f>IF(ISBLANK(IGRF!J21),"",IGRF!J21)</f>
        <v>Big Bang Fury</v>
      </c>
      <c r="W16" s="885">
        <f>IF($U16="","",SUMPRODUCT(--(Lineups!$AG$4:$AG$41=$U16),--(Lineups!$AB$4:$AB$41="")))</f>
        <v>1</v>
      </c>
      <c r="X16" s="886">
        <f t="shared" si="11"/>
        <v>0.04166666667</v>
      </c>
      <c r="Y16" s="881">
        <f>IF($U16="","",SUMPRODUCT(--(Lineups!$AG$4:$AG$41=$U16),--(Lineups!$AB$4:$AB$41="X")))</f>
        <v>0</v>
      </c>
      <c r="Z16" s="881">
        <f>IF($U16="","",SUMPRODUCT(--(Lineups!AK$4:AK$41=$U16),--(Lineups!AA$4:AA$41&lt;&gt;"SP")))</f>
        <v>3</v>
      </c>
      <c r="AA16" s="881">
        <f>IF($U16="","",SUMPRODUCT(--(Lineups!AO$4:AO$41=$U16),--(Lineups!AA$4:AA$41&lt;&gt;"SP")))</f>
        <v>6</v>
      </c>
      <c r="AB16" s="881">
        <f>IF($U16="","",SUMPRODUCT(--(Lineups!AS$4:AS$41=$U16),--(Lineups!AA$4:AA$41&lt;&gt;"SP")))</f>
        <v>5</v>
      </c>
      <c r="AC16" s="885">
        <f t="shared" si="12"/>
        <v>14</v>
      </c>
      <c r="AD16" s="886">
        <f t="shared" si="13"/>
        <v>0.5833333333</v>
      </c>
      <c r="AE16" s="885">
        <f t="shared" si="14"/>
        <v>15</v>
      </c>
      <c r="AF16" s="886">
        <f t="shared" si="15"/>
        <v>0.625</v>
      </c>
      <c r="AG16" s="887" t="str">
        <f>IF(U16="","",IF(OR(SK!U193="",SK!U193=0),"",SK!X193))</f>
        <v/>
      </c>
      <c r="AH16" s="885">
        <f>IF($U16="","",SUMPRODUCT(--(Lineups!AC$4:AC$41=$U16)))</f>
        <v>0</v>
      </c>
      <c r="AI16" s="886">
        <f t="shared" si="16"/>
        <v>0</v>
      </c>
      <c r="AJ16" s="885">
        <f t="shared" si="17"/>
        <v>15</v>
      </c>
      <c r="AK16" s="886">
        <f t="shared" si="18"/>
        <v>0.625</v>
      </c>
    </row>
    <row r="17" ht="13.5" customHeight="1">
      <c r="A17" s="5">
        <f t="shared" si="1"/>
        <v>9</v>
      </c>
      <c r="B17" s="879" t="str">
        <f>IF(ISBLANK(IGRF!B22),"",IGRF!B22)</f>
        <v>50</v>
      </c>
      <c r="C17" s="879" t="str">
        <f>IF(ISBLANK(IGRF!C22),"",IGRF!C22)</f>
        <v>Scald Eagle</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6</v>
      </c>
      <c r="O17" s="43">
        <f>IF($B17="","",SUMPRODUCT(--(Lineups!C$4:C$41=$B17)))</f>
        <v>9</v>
      </c>
      <c r="P17" s="880">
        <f t="shared" si="7"/>
        <v>0.375</v>
      </c>
      <c r="Q17" s="43">
        <f t="shared" si="8"/>
        <v>9</v>
      </c>
      <c r="R17" s="880">
        <f t="shared" si="9"/>
        <v>0.375</v>
      </c>
      <c r="S17" s="43"/>
      <c r="T17" s="5">
        <f t="shared" si="10"/>
        <v>9</v>
      </c>
      <c r="U17" s="879" t="str">
        <f>IF(ISBLANK(IGRF!I22),"",IGRF!I22)</f>
        <v>37</v>
      </c>
      <c r="V17" s="879" t="str">
        <f>IF(ISBLANK(IGRF!J22),"",IGRF!J22)</f>
        <v>Swagetha</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3</v>
      </c>
      <c r="AB17" s="881">
        <f>IF($U17="","",SUMPRODUCT(--(Lineups!AS$4:AS$41=$U17),--(Lineups!AA$4:AA$41&lt;&gt;"SP")))</f>
        <v>4</v>
      </c>
      <c r="AC17" s="43">
        <f t="shared" si="12"/>
        <v>7</v>
      </c>
      <c r="AD17" s="880">
        <f t="shared" si="13"/>
        <v>0.2916666667</v>
      </c>
      <c r="AE17" s="43">
        <f t="shared" si="14"/>
        <v>7</v>
      </c>
      <c r="AF17" s="880">
        <f t="shared" si="15"/>
        <v>0.2916666667</v>
      </c>
      <c r="AG17" s="882" t="str">
        <f>IF(U17="","",IF(OR(SK!U196="",SK!U196=0),"",SK!X196))</f>
        <v/>
      </c>
      <c r="AH17" s="43">
        <f>IF($U17="","",SUMPRODUCT(--(Lineups!AC$4:AC$41=$U17)))</f>
        <v>0</v>
      </c>
      <c r="AI17" s="880">
        <f t="shared" si="16"/>
        <v>0</v>
      </c>
      <c r="AJ17" s="43">
        <f t="shared" si="17"/>
        <v>7</v>
      </c>
      <c r="AK17" s="880">
        <f t="shared" si="18"/>
        <v>0.2916666667</v>
      </c>
    </row>
    <row r="18" ht="13.5" customHeight="1">
      <c r="A18" s="883">
        <f t="shared" si="1"/>
        <v>10</v>
      </c>
      <c r="B18" s="884" t="str">
        <f>IF(ISBLANK(IGRF!B23),"",IGRF!B23)</f>
        <v>505</v>
      </c>
      <c r="C18" s="884" t="str">
        <f>IF(ISBLANK(IGRF!C23),"",IGRF!C23)</f>
        <v>Elyse LeKraken</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6</v>
      </c>
      <c r="I18" s="881">
        <f>IF($B18="","",SUMPRODUCT(--(Lineups!S$4:S$41=$B18),--(Lineups!A$4:A$41&lt;&gt;"SP")))</f>
        <v>4</v>
      </c>
      <c r="J18" s="885">
        <f t="shared" si="3"/>
        <v>11</v>
      </c>
      <c r="K18" s="886">
        <f t="shared" si="4"/>
        <v>0.4583333333</v>
      </c>
      <c r="L18" s="885">
        <f t="shared" si="5"/>
        <v>11</v>
      </c>
      <c r="M18" s="886">
        <f t="shared" si="6"/>
        <v>0.4583333333</v>
      </c>
      <c r="N18" s="887" t="str">
        <f>IF(B18="","",IF(OR(SK!E199="",SK!E199=0),"",SK!H199))</f>
        <v/>
      </c>
      <c r="O18" s="885">
        <f>IF($B18="","",SUMPRODUCT(--(Lineups!C$4:C$41=$B18)))</f>
        <v>0</v>
      </c>
      <c r="P18" s="886">
        <f t="shared" si="7"/>
        <v>0</v>
      </c>
      <c r="Q18" s="885">
        <f t="shared" si="8"/>
        <v>11</v>
      </c>
      <c r="R18" s="886">
        <f t="shared" si="9"/>
        <v>0.4583333333</v>
      </c>
      <c r="S18" s="43"/>
      <c r="T18" s="883">
        <f t="shared" si="10"/>
        <v>10</v>
      </c>
      <c r="U18" s="884" t="str">
        <f>IF(ISBLANK(IGRF!I23),"",IGRF!I23)</f>
        <v>39</v>
      </c>
      <c r="V18" s="884" t="str">
        <f>IF(ISBLANK(IGRF!J23),"",IGRF!J23)</f>
        <v>Gaffney</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5</v>
      </c>
      <c r="AB18" s="881">
        <f>IF($U18="","",SUMPRODUCT(--(Lineups!AS$4:AS$41=$U18),--(Lineups!AA$4:AA$41&lt;&gt;"SP")))</f>
        <v>4</v>
      </c>
      <c r="AC18" s="885">
        <f t="shared" si="12"/>
        <v>11</v>
      </c>
      <c r="AD18" s="886">
        <f t="shared" si="13"/>
        <v>0.4583333333</v>
      </c>
      <c r="AE18" s="885">
        <f t="shared" si="14"/>
        <v>11</v>
      </c>
      <c r="AF18" s="886">
        <f t="shared" si="15"/>
        <v>0.4583333333</v>
      </c>
      <c r="AG18" s="887" t="str">
        <f>IF(U18="","",IF(OR(SK!U199="",SK!U199=0),"",SK!X199))</f>
        <v/>
      </c>
      <c r="AH18" s="885">
        <f>IF($U18="","",SUMPRODUCT(--(Lineups!AC$4:AC$41=$U18)))</f>
        <v>0</v>
      </c>
      <c r="AI18" s="886">
        <f t="shared" si="16"/>
        <v>0</v>
      </c>
      <c r="AJ18" s="885">
        <f t="shared" si="17"/>
        <v>11</v>
      </c>
      <c r="AK18" s="886">
        <f t="shared" si="18"/>
        <v>0.4583333333</v>
      </c>
    </row>
    <row r="19" ht="13.5" customHeight="1">
      <c r="A19" s="5">
        <f t="shared" si="1"/>
        <v>11</v>
      </c>
      <c r="B19" s="879" t="str">
        <f>IF(ISBLANK(IGRF!B24),"",IGRF!B24)</f>
        <v>8000</v>
      </c>
      <c r="C19" s="879" t="str">
        <f>IF(ISBLANK(IGRF!C24),"",IGRF!C24)</f>
        <v>Killifornia</v>
      </c>
      <c r="D19" s="43">
        <f>IF($B19="","",SUMPRODUCT(--(Lineups!$G$4:$G$41=$B19),--(Lineups!$B$4:$B$41="")))</f>
        <v>9</v>
      </c>
      <c r="E19" s="880">
        <f t="shared" si="2"/>
        <v>0.375</v>
      </c>
      <c r="F19" s="881">
        <f>IF($B19="","",SUMPRODUCT(--(Lineups!$G$4:$G$41=$B19),--(Lineups!$B$4:$B$41="X")))</f>
        <v>0</v>
      </c>
      <c r="G19" s="881">
        <f>IF($B19="","",SUMPRODUCT(--(Lineups!K$4:K$41=$B19),--(Lineups!A$4:A$41&lt;&gt;"SP")))</f>
        <v>1</v>
      </c>
      <c r="H19" s="881">
        <f>IF($B19="","",SUMPRODUCT(--(Lineups!O$4:O$41=$B19),--(Lineups!A$4:A$41&lt;&gt;"SP")))</f>
        <v>0</v>
      </c>
      <c r="I19" s="881">
        <f>IF($B19="","",SUMPRODUCT(--(Lineups!S$4:S$41=$B19),--(Lineups!A$4:A$41&lt;&gt;"SP")))</f>
        <v>0</v>
      </c>
      <c r="J19" s="43">
        <f t="shared" si="3"/>
        <v>1</v>
      </c>
      <c r="K19" s="880">
        <f t="shared" si="4"/>
        <v>0.04166666667</v>
      </c>
      <c r="L19" s="43">
        <f t="shared" si="5"/>
        <v>10</v>
      </c>
      <c r="M19" s="880">
        <f t="shared" si="6"/>
        <v>0.4166666667</v>
      </c>
      <c r="N19" s="882" t="str">
        <f>IF(B19="","",IF(OR(SK!E202="",SK!E202=0),"",SK!H202))</f>
        <v/>
      </c>
      <c r="O19" s="43">
        <f>IF($B19="","",SUMPRODUCT(--(Lineups!C$4:C$41=$B19)))</f>
        <v>0</v>
      </c>
      <c r="P19" s="880">
        <f t="shared" si="7"/>
        <v>0</v>
      </c>
      <c r="Q19" s="43">
        <f t="shared" si="8"/>
        <v>10</v>
      </c>
      <c r="R19" s="880">
        <f t="shared" si="9"/>
        <v>0.4166666667</v>
      </c>
      <c r="S19" s="43"/>
      <c r="T19" s="5">
        <f t="shared" si="10"/>
        <v>11</v>
      </c>
      <c r="U19" s="879" t="str">
        <f>IF(ISBLANK(IGRF!I24),"",IGRF!I24)</f>
        <v>48</v>
      </c>
      <c r="V19" s="879" t="str">
        <f>IF(ISBLANK(IGRF!J24),"",IGRF!J24)</f>
        <v>Brute</v>
      </c>
      <c r="W19" s="43">
        <f>IF($U19="","",SUMPRODUCT(--(Lineups!$AG$4:$AG$41=$U19),--(Lineups!$AB$4:$AB$41="")))</f>
        <v>13</v>
      </c>
      <c r="X19" s="880">
        <f t="shared" si="11"/>
        <v>0.5416666667</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13</v>
      </c>
      <c r="AF19" s="880">
        <f t="shared" si="15"/>
        <v>0.5416666667</v>
      </c>
      <c r="AG19" s="882">
        <f>IF(U19="","",IF(OR(SK!U202="",SK!U202=0),"",SK!X202))</f>
        <v>0</v>
      </c>
      <c r="AH19" s="43">
        <f>IF($U19="","",SUMPRODUCT(--(Lineups!AC$4:AC$41=$U19)))</f>
        <v>2</v>
      </c>
      <c r="AI19" s="880">
        <f t="shared" si="16"/>
        <v>0.08333333333</v>
      </c>
      <c r="AJ19" s="43">
        <f t="shared" si="17"/>
        <v>15</v>
      </c>
      <c r="AK19" s="880">
        <f t="shared" si="18"/>
        <v>0.625</v>
      </c>
    </row>
    <row r="20" ht="13.5" customHeight="1">
      <c r="A20" s="883">
        <f t="shared" si="1"/>
        <v>12</v>
      </c>
      <c r="B20" s="884" t="str">
        <f>IF(ISBLANK(IGRF!B25),"",IGRF!B25)</f>
        <v>90</v>
      </c>
      <c r="C20" s="884" t="str">
        <f>IF(ISBLANK(IGRF!C25),"",IGRF!C25)</f>
        <v>Wee Bonnie Bruiser</v>
      </c>
      <c r="D20" s="885">
        <f>IF($B20="","",SUMPRODUCT(--(Lineups!$G$4:$G$41=$B20),--(Lineups!$B$4:$B$41="")))</f>
        <v>4</v>
      </c>
      <c r="E20" s="886">
        <f t="shared" si="2"/>
        <v>0.1666666667</v>
      </c>
      <c r="F20" s="881">
        <f>IF($B20="","",SUMPRODUCT(--(Lineups!$G$4:$G$41=$B20),--(Lineups!$B$4:$B$41="X")))</f>
        <v>0</v>
      </c>
      <c r="G20" s="881">
        <f>IF($B20="","",SUMPRODUCT(--(Lineups!K$4:K$41=$B20),--(Lineups!A$4:A$41&lt;&gt;"SP")))</f>
        <v>1</v>
      </c>
      <c r="H20" s="881">
        <f>IF($B20="","",SUMPRODUCT(--(Lineups!O$4:O$41=$B20),--(Lineups!A$4:A$41&lt;&gt;"SP")))</f>
        <v>0</v>
      </c>
      <c r="I20" s="881">
        <f>IF($B20="","",SUMPRODUCT(--(Lineups!S$4:S$41=$B20),--(Lineups!A$4:A$41&lt;&gt;"SP")))</f>
        <v>0</v>
      </c>
      <c r="J20" s="885">
        <f t="shared" si="3"/>
        <v>1</v>
      </c>
      <c r="K20" s="886">
        <f t="shared" si="4"/>
        <v>0.04166666667</v>
      </c>
      <c r="L20" s="885">
        <f t="shared" si="5"/>
        <v>5</v>
      </c>
      <c r="M20" s="886">
        <f t="shared" si="6"/>
        <v>0.2083333333</v>
      </c>
      <c r="N20" s="887" t="str">
        <f>IF(B20="","",IF(OR(SK!E205="",SK!E205=0),"",SK!H205))</f>
        <v/>
      </c>
      <c r="O20" s="885">
        <f>IF($B20="","",SUMPRODUCT(--(Lineups!C$4:C$41=$B20)))</f>
        <v>0</v>
      </c>
      <c r="P20" s="886">
        <f t="shared" si="7"/>
        <v>0</v>
      </c>
      <c r="Q20" s="885">
        <f t="shared" si="8"/>
        <v>5</v>
      </c>
      <c r="R20" s="886">
        <f t="shared" si="9"/>
        <v>0.2083333333</v>
      </c>
      <c r="S20" s="43"/>
      <c r="T20" s="883">
        <f t="shared" si="10"/>
        <v>12</v>
      </c>
      <c r="U20" s="884" t="str">
        <f>IF(ISBLANK(IGRF!I25),"",IGRF!I25)</f>
        <v>700</v>
      </c>
      <c r="V20" s="884" t="str">
        <f>IF(ISBLANK(IGRF!J25),"",IGRF!J25)</f>
        <v>Springroll</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1</v>
      </c>
      <c r="AH20" s="885">
        <f>IF($U20="","",SUMPRODUCT(--(Lineups!AC$4:AC$41=$U20)))</f>
        <v>5</v>
      </c>
      <c r="AI20" s="886">
        <f t="shared" si="16"/>
        <v>0.2083333333</v>
      </c>
      <c r="AJ20" s="885">
        <f t="shared" si="17"/>
        <v>5</v>
      </c>
      <c r="AK20" s="886">
        <f t="shared" si="18"/>
        <v>0.2083333333</v>
      </c>
    </row>
    <row r="21" ht="13.5" customHeight="1">
      <c r="A21" s="5">
        <f t="shared" si="1"/>
        <v>13</v>
      </c>
      <c r="B21" s="879" t="str">
        <f>IF(ISBLANK(IGRF!B26),"",IGRF!B26)</f>
        <v>919</v>
      </c>
      <c r="C21" s="879" t="str">
        <f>IF(ISBLANK(IGRF!C26),"",IGRF!C26)</f>
        <v>Grizz</v>
      </c>
      <c r="D21" s="43">
        <f>IF($B21="","",SUMPRODUCT(--(Lineups!$G$4:$G$41=$B21),--(Lineups!$B$4:$B$41="")))</f>
        <v>0</v>
      </c>
      <c r="E21" s="880">
        <f t="shared" si="2"/>
        <v>0</v>
      </c>
      <c r="F21" s="881">
        <f>IF($B21="","",SUMPRODUCT(--(Lineups!$G$4:$G$41=$B21),--(Lineups!$B$4:$B$41="X")))</f>
        <v>0</v>
      </c>
      <c r="G21" s="881">
        <f>IF($B21="","",SUMPRODUCT(--(Lineups!K$4:K$41=$B21),--(Lineups!A$4:A$41&lt;&gt;"SP")))</f>
        <v>7</v>
      </c>
      <c r="H21" s="881">
        <f>IF($B21="","",SUMPRODUCT(--(Lineups!O$4:O$41=$B21),--(Lineups!A$4:A$41&lt;&gt;"SP")))</f>
        <v>2</v>
      </c>
      <c r="I21" s="881">
        <f>IF($B21="","",SUMPRODUCT(--(Lineups!S$4:S$41=$B21),--(Lineups!A$4:A$41&lt;&gt;"SP")))</f>
        <v>3</v>
      </c>
      <c r="J21" s="43">
        <f t="shared" si="3"/>
        <v>12</v>
      </c>
      <c r="K21" s="880">
        <f t="shared" si="4"/>
        <v>0.5</v>
      </c>
      <c r="L21" s="43">
        <f t="shared" si="5"/>
        <v>12</v>
      </c>
      <c r="M21" s="880">
        <f t="shared" si="6"/>
        <v>0.5</v>
      </c>
      <c r="N21" s="882" t="str">
        <f>IF(B21="","",IF(OR(SK!E208="",SK!E208=0),"",SK!H208))</f>
        <v/>
      </c>
      <c r="O21" s="43">
        <f>IF($B21="","",SUMPRODUCT(--(Lineups!C$4:C$41=$B21)))</f>
        <v>0</v>
      </c>
      <c r="P21" s="880">
        <f t="shared" si="7"/>
        <v>0</v>
      </c>
      <c r="Q21" s="43">
        <f t="shared" si="8"/>
        <v>12</v>
      </c>
      <c r="R21" s="880">
        <f t="shared" si="9"/>
        <v>0.5</v>
      </c>
      <c r="S21" s="43"/>
      <c r="T21" s="5">
        <f t="shared" si="10"/>
        <v>13</v>
      </c>
      <c r="U21" s="879" t="str">
        <f>IF(ISBLANK(IGRF!I26),"",IGRF!I26)</f>
        <v>71</v>
      </c>
      <c r="V21" s="879" t="str">
        <f>IF(ISBLANK(IGRF!J26),"",IGRF!J26)</f>
        <v>Danger Potato</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0</v>
      </c>
      <c r="AH21" s="43">
        <f>IF($U21="","",SUMPRODUCT(--(Lineups!AC$4:AC$41=$U21)))</f>
        <v>2</v>
      </c>
      <c r="AI21" s="880">
        <f t="shared" si="16"/>
        <v>0.08333333333</v>
      </c>
      <c r="AJ21" s="43">
        <f t="shared" si="17"/>
        <v>2</v>
      </c>
      <c r="AK21" s="880">
        <f t="shared" si="18"/>
        <v>0.08333333333</v>
      </c>
    </row>
    <row r="22" ht="13.5" customHeight="1">
      <c r="A22" s="883">
        <f t="shared" si="1"/>
        <v>14</v>
      </c>
      <c r="B22" s="884" t="str">
        <f>IF(ISBLANK(IGRF!B27),"",IGRF!B27)</f>
        <v>949</v>
      </c>
      <c r="C22" s="884" t="str">
        <f>IF(ISBLANK(IGRF!C27),"",IGRF!C27)</f>
        <v>Coyote</v>
      </c>
      <c r="D22" s="885">
        <f>IF($B22="","",SUMPRODUCT(--(Lineups!$G$4:$G$41=$B22),--(Lineups!$B$4:$B$41="")))</f>
        <v>0</v>
      </c>
      <c r="E22" s="886">
        <f t="shared" si="2"/>
        <v>0</v>
      </c>
      <c r="F22" s="881">
        <f>IF($B22="","",SUMPRODUCT(--(Lineups!$G$4:$G$41=$B22),--(Lineups!$B$4:$B$41="X")))</f>
        <v>0</v>
      </c>
      <c r="G22" s="881">
        <f>IF($B22="","",SUMPRODUCT(--(Lineups!K$4:K$41=$B22),--(Lineups!A$4:A$41&lt;&gt;"SP")))</f>
        <v>4</v>
      </c>
      <c r="H22" s="881">
        <f>IF($B22="","",SUMPRODUCT(--(Lineups!O$4:O$41=$B22),--(Lineups!A$4:A$41&lt;&gt;"SP")))</f>
        <v>2</v>
      </c>
      <c r="I22" s="881">
        <f>IF($B22="","",SUMPRODUCT(--(Lineups!S$4:S$41=$B22),--(Lineups!A$4:A$41&lt;&gt;"SP")))</f>
        <v>3</v>
      </c>
      <c r="J22" s="885">
        <f t="shared" si="3"/>
        <v>9</v>
      </c>
      <c r="K22" s="886">
        <f t="shared" si="4"/>
        <v>0.375</v>
      </c>
      <c r="L22" s="885">
        <f t="shared" si="5"/>
        <v>9</v>
      </c>
      <c r="M22" s="886">
        <f t="shared" si="6"/>
        <v>0.375</v>
      </c>
      <c r="N22" s="887" t="str">
        <f>IF(B22="","",IF(OR(SK!E211="",SK!E211=0),"",SK!H211))</f>
        <v/>
      </c>
      <c r="O22" s="885">
        <f>IF($B22="","",SUMPRODUCT(--(Lineups!C$4:C$41=$B22)))</f>
        <v>0</v>
      </c>
      <c r="P22" s="886">
        <f t="shared" si="7"/>
        <v>0</v>
      </c>
      <c r="Q22" s="885">
        <f t="shared" si="8"/>
        <v>9</v>
      </c>
      <c r="R22" s="886">
        <f t="shared" si="9"/>
        <v>0.375</v>
      </c>
      <c r="S22" s="43"/>
      <c r="T22" s="883">
        <f t="shared" si="10"/>
        <v>14</v>
      </c>
      <c r="U22" s="884" t="str">
        <f>IF(ISBLANK(IGRF!I27),"",IGRF!I27)</f>
        <v>79</v>
      </c>
      <c r="V22" s="884" t="str">
        <f>IF(ISBLANK(IGRF!J27),"",IGRF!J27)</f>
        <v>Lil RegulateHer</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3</v>
      </c>
      <c r="AH22" s="885">
        <f>IF($U22="","",SUMPRODUCT(--(Lineups!AC$4:AC$41=$U22)))</f>
        <v>5</v>
      </c>
      <c r="AI22" s="886">
        <f t="shared" si="16"/>
        <v>0.2083333333</v>
      </c>
      <c r="AJ22" s="885">
        <f t="shared" si="17"/>
        <v>5</v>
      </c>
      <c r="AK22" s="886">
        <f t="shared" si="18"/>
        <v>0.2083333333</v>
      </c>
    </row>
    <row r="23" ht="13.5" customHeight="1">
      <c r="A23" s="5">
        <f t="shared" si="1"/>
        <v>15</v>
      </c>
      <c r="B23" s="879" t="str">
        <f>IF(ISBLANK(IGRF!B28),"",IGRF!B28)</f>
        <v>99</v>
      </c>
      <c r="C23" s="879" t="str">
        <f>IF(ISBLANK(IGRF!C28),"",IGRF!C28)</f>
        <v>Chinaski</v>
      </c>
      <c r="D23" s="43">
        <f>IF($B23="","",SUMPRODUCT(--(Lineups!$G$4:$G$41=$B23),--(Lineups!$B$4:$B$41="")))</f>
        <v>0</v>
      </c>
      <c r="E23" s="880">
        <f t="shared" si="2"/>
        <v>0</v>
      </c>
      <c r="F23" s="881">
        <f>IF($B23="","",SUMPRODUCT(--(Lineups!$G$4:$G$41=$B23),--(Lineups!$B$4:$B$41="X")))</f>
        <v>0</v>
      </c>
      <c r="G23" s="881">
        <f>IF($B23="","",SUMPRODUCT(--(Lineups!K$4:K$41=$B23),--(Lineups!A$4:A$41&lt;&gt;"SP")))</f>
        <v>4</v>
      </c>
      <c r="H23" s="881">
        <f>IF($B23="","",SUMPRODUCT(--(Lineups!O$4:O$41=$B23),--(Lineups!A$4:A$41&lt;&gt;"SP")))</f>
        <v>4</v>
      </c>
      <c r="I23" s="881">
        <f>IF($B23="","",SUMPRODUCT(--(Lineups!S$4:S$41=$B23),--(Lineups!A$4:A$41&lt;&gt;"SP")))</f>
        <v>4</v>
      </c>
      <c r="J23" s="43">
        <f t="shared" si="3"/>
        <v>12</v>
      </c>
      <c r="K23" s="880">
        <f t="shared" si="4"/>
        <v>0.5</v>
      </c>
      <c r="L23" s="43">
        <f t="shared" si="5"/>
        <v>12</v>
      </c>
      <c r="M23" s="880">
        <f t="shared" si="6"/>
        <v>0.5</v>
      </c>
      <c r="N23" s="882" t="str">
        <f>IF(B23="","",IF(OR(SK!E214="",SK!E214=0),"",SK!H214))</f>
        <v/>
      </c>
      <c r="O23" s="43">
        <f>IF($B23="","",SUMPRODUCT(--(Lineups!C$4:C$41=$B23)))</f>
        <v>0</v>
      </c>
      <c r="P23" s="880">
        <f t="shared" si="7"/>
        <v>0</v>
      </c>
      <c r="Q23" s="43">
        <f t="shared" si="8"/>
        <v>12</v>
      </c>
      <c r="R23" s="880">
        <f t="shared" si="9"/>
        <v>0.5</v>
      </c>
      <c r="S23" s="43"/>
      <c r="T23" s="5">
        <f t="shared" si="10"/>
        <v>15</v>
      </c>
      <c r="U23" s="879" t="str">
        <f>IF(ISBLANK(IGRF!I28),"",IGRF!I28)</f>
        <v>89</v>
      </c>
      <c r="V23" s="879" t="str">
        <f>IF(ISBLANK(IGRF!J28),"",IGRF!J28)</f>
        <v>High Roller</v>
      </c>
      <c r="W23" s="43">
        <f>IF($U23="","",SUMPRODUCT(--(Lineups!$AG$4:$AG$41=$U23),--(Lineups!$AB$4:$AB$41="")))</f>
        <v>0</v>
      </c>
      <c r="X23" s="880">
        <f t="shared" si="11"/>
        <v>0</v>
      </c>
      <c r="Y23" s="881">
        <f>IF($U23="","",SUMPRODUCT(--(Lineups!$AG$4:$AG$41=$U23),--(Lineups!$AB$4:$AB$41="X")))</f>
        <v>0</v>
      </c>
      <c r="Z23" s="881">
        <f>IF($U23="","",SUMPRODUCT(--(Lineups!AK$4:AK$41=$U23),--(Lineups!AA$4:AA$41&lt;&gt;"SP")))</f>
        <v>4</v>
      </c>
      <c r="AA23" s="881">
        <f>IF($U23="","",SUMPRODUCT(--(Lineups!AO$4:AO$41=$U23),--(Lineups!AA$4:AA$41&lt;&gt;"SP")))</f>
        <v>4</v>
      </c>
      <c r="AB23" s="881">
        <f>IF($U23="","",SUMPRODUCT(--(Lineups!AS$4:AS$41=$U23),--(Lineups!AA$4:AA$41&lt;&gt;"SP")))</f>
        <v>5</v>
      </c>
      <c r="AC23" s="43">
        <f t="shared" si="12"/>
        <v>13</v>
      </c>
      <c r="AD23" s="880">
        <f t="shared" si="13"/>
        <v>0.5416666667</v>
      </c>
      <c r="AE23" s="43">
        <f t="shared" si="14"/>
        <v>13</v>
      </c>
      <c r="AF23" s="880">
        <f t="shared" si="15"/>
        <v>0.5416666667</v>
      </c>
      <c r="AG23" s="882" t="str">
        <f>IF(U23="","",IF(OR(SK!U214="",SK!U214=0),"",SK!X214))</f>
        <v/>
      </c>
      <c r="AH23" s="43">
        <f>IF($U23="","",SUMPRODUCT(--(Lineups!AC$4:AC$41=$U23)))</f>
        <v>0</v>
      </c>
      <c r="AI23" s="880">
        <f t="shared" si="16"/>
        <v>0</v>
      </c>
      <c r="AJ23" s="43">
        <f t="shared" si="17"/>
        <v>13</v>
      </c>
      <c r="AK23" s="880">
        <f t="shared" si="18"/>
        <v>0.5416666667</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412</v>
      </c>
      <c r="B30" s="8"/>
      <c r="C30" s="9"/>
      <c r="D30" s="874"/>
      <c r="E30" s="874"/>
      <c r="F30" s="874"/>
      <c r="G30" s="874"/>
      <c r="H30" s="874"/>
      <c r="I30" s="874"/>
      <c r="J30" s="874"/>
      <c r="K30" s="874"/>
      <c r="L30" s="874"/>
      <c r="M30" s="874"/>
      <c r="N30" s="874"/>
      <c r="O30" s="874"/>
      <c r="P30" s="874"/>
      <c r="Q30" s="874"/>
      <c r="R30" s="874"/>
      <c r="S30" s="43"/>
      <c r="T30" s="873" t="s">
        <v>412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402</v>
      </c>
      <c r="C31" s="875" t="s">
        <v>403</v>
      </c>
      <c r="D31" s="875" t="s">
        <v>261</v>
      </c>
      <c r="E31" s="5"/>
      <c r="F31" s="877" t="s">
        <v>262</v>
      </c>
      <c r="G31" s="877" t="s">
        <v>262</v>
      </c>
      <c r="H31" s="877" t="s">
        <v>262</v>
      </c>
      <c r="I31" s="877" t="s">
        <v>262</v>
      </c>
      <c r="J31" s="875" t="s">
        <v>405</v>
      </c>
      <c r="K31" s="5"/>
      <c r="L31" s="875" t="s">
        <v>407</v>
      </c>
      <c r="M31" s="5"/>
      <c r="N31" s="878" t="s">
        <v>409</v>
      </c>
      <c r="O31" s="875" t="s">
        <v>259</v>
      </c>
      <c r="P31" s="5"/>
      <c r="Q31" s="875" t="s">
        <v>376</v>
      </c>
      <c r="R31" s="5"/>
      <c r="S31" s="5"/>
      <c r="T31" s="875">
        <v>0.0</v>
      </c>
      <c r="U31" s="875" t="s">
        <v>402</v>
      </c>
      <c r="V31" s="875" t="s">
        <v>403</v>
      </c>
      <c r="W31" s="875" t="s">
        <v>261</v>
      </c>
      <c r="X31" s="5"/>
      <c r="Y31" s="877" t="s">
        <v>262</v>
      </c>
      <c r="Z31" s="877" t="s">
        <v>262</v>
      </c>
      <c r="AA31" s="877" t="s">
        <v>262</v>
      </c>
      <c r="AB31" s="877" t="s">
        <v>262</v>
      </c>
      <c r="AC31" s="875" t="s">
        <v>405</v>
      </c>
      <c r="AD31" s="5"/>
      <c r="AE31" s="875" t="s">
        <v>407</v>
      </c>
      <c r="AF31" s="5"/>
      <c r="AG31" s="878" t="s">
        <v>409</v>
      </c>
      <c r="AH31" s="875" t="s">
        <v>259</v>
      </c>
      <c r="AI31" s="5"/>
      <c r="AJ31" s="875" t="s">
        <v>376</v>
      </c>
      <c r="AK31" s="5"/>
    </row>
    <row r="32" ht="13.5" customHeight="1">
      <c r="A32" s="5">
        <f t="shared" ref="A32:A51" si="23">A31+1</f>
        <v>1</v>
      </c>
      <c r="B32" s="630" t="str">
        <f t="shared" ref="B32:C32" si="19">B9</f>
        <v>10</v>
      </c>
      <c r="C32" s="630" t="str">
        <f t="shared" si="19"/>
        <v>Unprotected Lex</v>
      </c>
      <c r="D32" s="5">
        <f t="shared" ref="D32:D51" si="25">IF($B32="","",D55-D78)</f>
        <v>0</v>
      </c>
      <c r="E32" s="43"/>
      <c r="F32" s="881">
        <f t="shared" ref="F32:I32" si="20">IF($B32="","",F55-F78)</f>
        <v>0</v>
      </c>
      <c r="G32" s="881">
        <f t="shared" si="20"/>
        <v>6</v>
      </c>
      <c r="H32" s="881">
        <f t="shared" si="20"/>
        <v>20</v>
      </c>
      <c r="I32" s="881">
        <f t="shared" si="20"/>
        <v>12</v>
      </c>
      <c r="J32" s="5">
        <f t="shared" ref="J32:J51" si="27">IF(B32="","",SUM(F32:I32))</f>
        <v>38</v>
      </c>
      <c r="K32" s="43"/>
      <c r="L32" s="5">
        <f t="shared" ref="L32:L51" si="28">IF(B32="","",SUM(D32,J32))</f>
        <v>38</v>
      </c>
      <c r="M32" s="43"/>
      <c r="N32" s="43"/>
      <c r="O32" s="5">
        <f t="shared" ref="O32:O51" si="29">IF($B32="","",O55-O78)</f>
        <v>0</v>
      </c>
      <c r="P32" s="43"/>
      <c r="Q32" s="5">
        <f t="shared" ref="Q32:Q51" si="30">IF(B32="","",SUM(L32,O32))</f>
        <v>38</v>
      </c>
      <c r="R32" s="43"/>
      <c r="S32" s="43"/>
      <c r="T32" s="5">
        <f t="shared" ref="T32:T51" si="31">T31+1</f>
        <v>1</v>
      </c>
      <c r="U32" s="630" t="str">
        <f t="shared" ref="U32:V32" si="21">U9</f>
        <v>11</v>
      </c>
      <c r="V32" s="630" t="str">
        <f t="shared" si="21"/>
        <v>Bertha Beatdown</v>
      </c>
      <c r="W32" s="5">
        <f t="shared" ref="W32:W51" si="33">IF($U32="","",W55-W78)</f>
        <v>-4</v>
      </c>
      <c r="X32" s="43"/>
      <c r="Y32" s="881">
        <f t="shared" ref="Y32:AB32" si="22">IF($U32="","",Y55-Y78)</f>
        <v>0</v>
      </c>
      <c r="Z32" s="881">
        <f t="shared" si="22"/>
        <v>-8</v>
      </c>
      <c r="AA32" s="881">
        <f t="shared" si="22"/>
        <v>-16</v>
      </c>
      <c r="AB32" s="881">
        <f t="shared" si="22"/>
        <v>-2</v>
      </c>
      <c r="AC32" s="5">
        <f t="shared" ref="AC32:AC51" si="35">IF(U32="","",SUM(Y32:AB32))</f>
        <v>-26</v>
      </c>
      <c r="AD32" s="43"/>
      <c r="AE32" s="5">
        <f t="shared" ref="AE32:AE51" si="36">IF(U32="","",SUM(W32,AC32))</f>
        <v>-30</v>
      </c>
      <c r="AF32" s="43"/>
      <c r="AG32" s="43"/>
      <c r="AH32" s="5">
        <f t="shared" ref="AH32:AH51" si="37">IF($U32="","",AH55-AH78)</f>
        <v>0</v>
      </c>
      <c r="AI32" s="43"/>
      <c r="AJ32" s="5">
        <f t="shared" ref="AJ32:AJ51" si="38">IF(U32="","",SUM(AE32,AH32))</f>
        <v>-30</v>
      </c>
      <c r="AK32" s="43"/>
    </row>
    <row r="33" ht="13.5" customHeight="1">
      <c r="A33" s="883">
        <f t="shared" si="23"/>
        <v>2</v>
      </c>
      <c r="B33" s="888" t="str">
        <f t="shared" ref="B33:C33" si="24">B10</f>
        <v>1706</v>
      </c>
      <c r="C33" s="888" t="str">
        <f t="shared" si="24"/>
        <v>Maven</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38</v>
      </c>
      <c r="P33" s="43"/>
      <c r="Q33" s="883">
        <f t="shared" si="30"/>
        <v>38</v>
      </c>
      <c r="R33" s="43"/>
      <c r="S33" s="43"/>
      <c r="T33" s="883">
        <f t="shared" si="31"/>
        <v>2</v>
      </c>
      <c r="U33" s="888" t="str">
        <f t="shared" ref="U33:V33" si="32">U10</f>
        <v>128</v>
      </c>
      <c r="V33" s="888" t="str">
        <f t="shared" si="32"/>
        <v>Carl</v>
      </c>
      <c r="W33" s="883">
        <f t="shared" si="33"/>
        <v>0</v>
      </c>
      <c r="X33" s="43"/>
      <c r="Y33" s="881">
        <f t="shared" ref="Y33:AB33" si="34">IF($U33="","",Y56-Y79)</f>
        <v>0</v>
      </c>
      <c r="Z33" s="881">
        <f t="shared" si="34"/>
        <v>-8</v>
      </c>
      <c r="AA33" s="881">
        <f t="shared" si="34"/>
        <v>4</v>
      </c>
      <c r="AB33" s="881">
        <f t="shared" si="34"/>
        <v>0</v>
      </c>
      <c r="AC33" s="883">
        <f t="shared" si="35"/>
        <v>-4</v>
      </c>
      <c r="AD33" s="43"/>
      <c r="AE33" s="883">
        <f t="shared" si="36"/>
        <v>-4</v>
      </c>
      <c r="AF33" s="43"/>
      <c r="AG33" s="43"/>
      <c r="AH33" s="883">
        <f t="shared" si="37"/>
        <v>0</v>
      </c>
      <c r="AI33" s="43"/>
      <c r="AJ33" s="883">
        <f t="shared" si="38"/>
        <v>-4</v>
      </c>
      <c r="AK33" s="43"/>
    </row>
    <row r="34" ht="13.5" customHeight="1">
      <c r="A34" s="5">
        <f t="shared" si="23"/>
        <v>3</v>
      </c>
      <c r="B34" s="630" t="str">
        <f t="shared" ref="B34:C34" si="39">B11</f>
        <v>2</v>
      </c>
      <c r="C34" s="630" t="str">
        <f t="shared" si="39"/>
        <v>Taryn</v>
      </c>
      <c r="D34" s="5">
        <f t="shared" si="25"/>
        <v>-1</v>
      </c>
      <c r="E34" s="43"/>
      <c r="F34" s="881">
        <f t="shared" ref="F34:I34" si="40">IF($B34="","",F57-F80)</f>
        <v>0</v>
      </c>
      <c r="G34" s="881">
        <f t="shared" si="40"/>
        <v>6</v>
      </c>
      <c r="H34" s="881">
        <f t="shared" si="40"/>
        <v>19</v>
      </c>
      <c r="I34" s="881">
        <f t="shared" si="40"/>
        <v>4</v>
      </c>
      <c r="J34" s="5">
        <f t="shared" si="27"/>
        <v>29</v>
      </c>
      <c r="K34" s="43"/>
      <c r="L34" s="5">
        <f t="shared" si="28"/>
        <v>28</v>
      </c>
      <c r="M34" s="43"/>
      <c r="N34" s="43"/>
      <c r="O34" s="5">
        <f t="shared" si="29"/>
        <v>0</v>
      </c>
      <c r="P34" s="43"/>
      <c r="Q34" s="5">
        <f t="shared" si="30"/>
        <v>28</v>
      </c>
      <c r="R34" s="43"/>
      <c r="S34" s="43"/>
      <c r="T34" s="5">
        <f t="shared" si="31"/>
        <v>3</v>
      </c>
      <c r="U34" s="630" t="str">
        <f t="shared" ref="U34:V34" si="41">U11</f>
        <v>139</v>
      </c>
      <c r="V34" s="630" t="str">
        <f t="shared" si="41"/>
        <v>Katie Postma</v>
      </c>
      <c r="W34" s="5">
        <f t="shared" si="33"/>
        <v>-23</v>
      </c>
      <c r="X34" s="43"/>
      <c r="Y34" s="881">
        <f t="shared" ref="Y34:AB34" si="42">IF($U34="","",Y57-Y80)</f>
        <v>0</v>
      </c>
      <c r="Z34" s="881">
        <f t="shared" si="42"/>
        <v>0</v>
      </c>
      <c r="AA34" s="881">
        <f t="shared" si="42"/>
        <v>0</v>
      </c>
      <c r="AB34" s="881">
        <f t="shared" si="42"/>
        <v>-4</v>
      </c>
      <c r="AC34" s="5">
        <f t="shared" si="35"/>
        <v>-4</v>
      </c>
      <c r="AD34" s="43"/>
      <c r="AE34" s="5">
        <f t="shared" si="36"/>
        <v>-27</v>
      </c>
      <c r="AF34" s="43"/>
      <c r="AG34" s="43"/>
      <c r="AH34" s="5">
        <f t="shared" si="37"/>
        <v>0</v>
      </c>
      <c r="AI34" s="43"/>
      <c r="AJ34" s="5">
        <f t="shared" si="38"/>
        <v>-27</v>
      </c>
      <c r="AK34" s="43"/>
    </row>
    <row r="35" ht="13.5" customHeight="1">
      <c r="A35" s="883">
        <f t="shared" si="23"/>
        <v>4</v>
      </c>
      <c r="B35" s="888" t="str">
        <f t="shared" ref="B35:C35" si="43">B12</f>
        <v>22</v>
      </c>
      <c r="C35" s="888" t="str">
        <f t="shared" si="43"/>
        <v>Scara to Death</v>
      </c>
      <c r="D35" s="883">
        <f t="shared" si="25"/>
        <v>0</v>
      </c>
      <c r="E35" s="43"/>
      <c r="F35" s="881">
        <f t="shared" ref="F35:I35" si="44">IF($B35="","",F58-F81)</f>
        <v>0</v>
      </c>
      <c r="G35" s="881">
        <f t="shared" si="44"/>
        <v>24</v>
      </c>
      <c r="H35" s="881">
        <f t="shared" si="44"/>
        <v>6</v>
      </c>
      <c r="I35" s="881">
        <f t="shared" si="44"/>
        <v>5</v>
      </c>
      <c r="J35" s="883">
        <f t="shared" si="27"/>
        <v>35</v>
      </c>
      <c r="K35" s="43"/>
      <c r="L35" s="883">
        <f t="shared" si="28"/>
        <v>35</v>
      </c>
      <c r="M35" s="43"/>
      <c r="N35" s="43"/>
      <c r="O35" s="883">
        <f t="shared" si="29"/>
        <v>0</v>
      </c>
      <c r="P35" s="43"/>
      <c r="Q35" s="883">
        <f t="shared" si="30"/>
        <v>35</v>
      </c>
      <c r="R35" s="43"/>
      <c r="S35" s="43"/>
      <c r="T35" s="883">
        <f t="shared" si="31"/>
        <v>4</v>
      </c>
      <c r="U35" s="888" t="str">
        <f t="shared" ref="U35:V35" si="45">U12</f>
        <v>22</v>
      </c>
      <c r="V35" s="888" t="str">
        <f t="shared" si="45"/>
        <v>Habanero Romero</v>
      </c>
      <c r="W35" s="883">
        <f t="shared" si="33"/>
        <v>-22</v>
      </c>
      <c r="X35" s="43"/>
      <c r="Y35" s="881">
        <f t="shared" ref="Y35:AB35" si="46">IF($U35="","",Y58-Y81)</f>
        <v>0</v>
      </c>
      <c r="Z35" s="881">
        <f t="shared" si="46"/>
        <v>-35</v>
      </c>
      <c r="AA35" s="881">
        <f t="shared" si="46"/>
        <v>-1</v>
      </c>
      <c r="AB35" s="881">
        <f t="shared" si="46"/>
        <v>-4</v>
      </c>
      <c r="AC35" s="883">
        <f t="shared" si="35"/>
        <v>-40</v>
      </c>
      <c r="AD35" s="43"/>
      <c r="AE35" s="883">
        <f t="shared" si="36"/>
        <v>-62</v>
      </c>
      <c r="AF35" s="43"/>
      <c r="AG35" s="43"/>
      <c r="AH35" s="883">
        <f t="shared" si="37"/>
        <v>0</v>
      </c>
      <c r="AI35" s="43"/>
      <c r="AJ35" s="883">
        <f t="shared" si="38"/>
        <v>-62</v>
      </c>
      <c r="AK35" s="43"/>
    </row>
    <row r="36" ht="13.5" customHeight="1">
      <c r="A36" s="5">
        <f t="shared" si="23"/>
        <v>5</v>
      </c>
      <c r="B36" s="630" t="str">
        <f t="shared" ref="B36:C36" si="47">B13</f>
        <v>27</v>
      </c>
      <c r="C36" s="630" t="str">
        <f t="shared" si="47"/>
        <v>Gobrecht</v>
      </c>
      <c r="D36" s="5">
        <f t="shared" si="25"/>
        <v>54</v>
      </c>
      <c r="E36" s="43"/>
      <c r="F36" s="881">
        <f t="shared" ref="F36:I36" si="48">IF($B36="","",F59-F82)</f>
        <v>0</v>
      </c>
      <c r="G36" s="881">
        <f t="shared" si="48"/>
        <v>0</v>
      </c>
      <c r="H36" s="881">
        <f t="shared" si="48"/>
        <v>6</v>
      </c>
      <c r="I36" s="881">
        <f t="shared" si="48"/>
        <v>2</v>
      </c>
      <c r="J36" s="5">
        <f t="shared" si="27"/>
        <v>8</v>
      </c>
      <c r="K36" s="43"/>
      <c r="L36" s="5">
        <f t="shared" si="28"/>
        <v>62</v>
      </c>
      <c r="M36" s="43"/>
      <c r="N36" s="43"/>
      <c r="O36" s="5">
        <f t="shared" si="29"/>
        <v>0</v>
      </c>
      <c r="P36" s="43"/>
      <c r="Q36" s="5">
        <f t="shared" si="30"/>
        <v>62</v>
      </c>
      <c r="R36" s="43"/>
      <c r="S36" s="43"/>
      <c r="T36" s="5">
        <f t="shared" si="31"/>
        <v>5</v>
      </c>
      <c r="U36" s="630" t="str">
        <f t="shared" ref="U36:V36" si="49">U13</f>
        <v>241</v>
      </c>
      <c r="V36" s="630" t="str">
        <f t="shared" si="49"/>
        <v>Lilly Pate</v>
      </c>
      <c r="W36" s="5">
        <f t="shared" si="33"/>
        <v>0</v>
      </c>
      <c r="X36" s="43"/>
      <c r="Y36" s="881">
        <f t="shared" ref="Y36:AB36" si="50">IF($U36="","",Y59-Y82)</f>
        <v>0</v>
      </c>
      <c r="Z36" s="881">
        <f t="shared" si="50"/>
        <v>-16</v>
      </c>
      <c r="AA36" s="881">
        <f t="shared" si="50"/>
        <v>-11</v>
      </c>
      <c r="AB36" s="881">
        <f t="shared" si="50"/>
        <v>-4</v>
      </c>
      <c r="AC36" s="5">
        <f t="shared" si="35"/>
        <v>-31</v>
      </c>
      <c r="AD36" s="43"/>
      <c r="AE36" s="5">
        <f t="shared" si="36"/>
        <v>-31</v>
      </c>
      <c r="AF36" s="43"/>
      <c r="AG36" s="43"/>
      <c r="AH36" s="5">
        <f t="shared" si="37"/>
        <v>0</v>
      </c>
      <c r="AI36" s="43"/>
      <c r="AJ36" s="5">
        <f t="shared" si="38"/>
        <v>-31</v>
      </c>
      <c r="AK36" s="43"/>
    </row>
    <row r="37" ht="13.5" customHeight="1">
      <c r="A37" s="883">
        <f t="shared" si="23"/>
        <v>6</v>
      </c>
      <c r="B37" s="888" t="str">
        <f t="shared" ref="B37:C37" si="51">B14</f>
        <v>33</v>
      </c>
      <c r="C37" s="888" t="str">
        <f t="shared" si="51"/>
        <v>Klein</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8</v>
      </c>
      <c r="P37" s="43"/>
      <c r="Q37" s="883">
        <f t="shared" si="30"/>
        <v>8</v>
      </c>
      <c r="R37" s="43"/>
      <c r="S37" s="43"/>
      <c r="T37" s="883">
        <f t="shared" si="31"/>
        <v>6</v>
      </c>
      <c r="U37" s="888" t="str">
        <f t="shared" ref="U37:V37" si="53">U14</f>
        <v>316</v>
      </c>
      <c r="V37" s="888" t="str">
        <f t="shared" si="53"/>
        <v>Eve Anne Hellical</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-16</v>
      </c>
      <c r="AI37" s="43"/>
      <c r="AJ37" s="883">
        <f t="shared" si="38"/>
        <v>-16</v>
      </c>
      <c r="AK37" s="43"/>
    </row>
    <row r="38" ht="13.5" customHeight="1">
      <c r="A38" s="5">
        <f t="shared" si="23"/>
        <v>7</v>
      </c>
      <c r="B38" s="630" t="str">
        <f t="shared" ref="B38:C38" si="55">B15</f>
        <v>357</v>
      </c>
      <c r="C38" s="630" t="str">
        <f t="shared" si="55"/>
        <v>Bia Fraid</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343</v>
      </c>
      <c r="V38" s="630" t="str">
        <f t="shared" si="57"/>
        <v>Trinity</v>
      </c>
      <c r="W38" s="5">
        <f t="shared" si="33"/>
        <v>0</v>
      </c>
      <c r="X38" s="43"/>
      <c r="Y38" s="881">
        <f t="shared" ref="Y38:AB38" si="58">IF($U38="","",Y61-Y84)</f>
        <v>0</v>
      </c>
      <c r="Z38" s="881">
        <f t="shared" si="58"/>
        <v>0</v>
      </c>
      <c r="AA38" s="881">
        <f t="shared" si="58"/>
        <v>0</v>
      </c>
      <c r="AB38" s="881">
        <f t="shared" si="58"/>
        <v>-10</v>
      </c>
      <c r="AC38" s="5">
        <f t="shared" si="35"/>
        <v>-10</v>
      </c>
      <c r="AD38" s="43"/>
      <c r="AE38" s="5">
        <f t="shared" si="36"/>
        <v>-10</v>
      </c>
      <c r="AF38" s="43"/>
      <c r="AG38" s="43"/>
      <c r="AH38" s="5">
        <f t="shared" si="37"/>
        <v>-12</v>
      </c>
      <c r="AI38" s="43"/>
      <c r="AJ38" s="5">
        <f t="shared" si="38"/>
        <v>-22</v>
      </c>
      <c r="AK38" s="43"/>
    </row>
    <row r="39" ht="13.5" customHeight="1">
      <c r="A39" s="883">
        <f t="shared" si="23"/>
        <v>8</v>
      </c>
      <c r="B39" s="888" t="str">
        <f t="shared" ref="B39:C39" si="59">B16</f>
        <v>40</v>
      </c>
      <c r="C39" s="888" t="str">
        <f t="shared" si="59"/>
        <v>speedlejuice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4</v>
      </c>
      <c r="P39" s="43"/>
      <c r="Q39" s="883">
        <f t="shared" si="30"/>
        <v>4</v>
      </c>
      <c r="R39" s="43"/>
      <c r="S39" s="43"/>
      <c r="T39" s="883">
        <f t="shared" si="31"/>
        <v>8</v>
      </c>
      <c r="U39" s="888" t="str">
        <f t="shared" ref="U39:V39" si="61">U16</f>
        <v>360</v>
      </c>
      <c r="V39" s="888" t="str">
        <f t="shared" si="61"/>
        <v>Big Bang Fury</v>
      </c>
      <c r="W39" s="883">
        <f t="shared" si="33"/>
        <v>-2</v>
      </c>
      <c r="X39" s="43"/>
      <c r="Y39" s="881">
        <f t="shared" ref="Y39:AB39" si="62">IF($U39="","",Y62-Y85)</f>
        <v>0</v>
      </c>
      <c r="Z39" s="881">
        <f t="shared" si="62"/>
        <v>-10</v>
      </c>
      <c r="AA39" s="881">
        <f t="shared" si="62"/>
        <v>-36</v>
      </c>
      <c r="AB39" s="881">
        <f t="shared" si="62"/>
        <v>-11</v>
      </c>
      <c r="AC39" s="883">
        <f t="shared" si="35"/>
        <v>-57</v>
      </c>
      <c r="AD39" s="43"/>
      <c r="AE39" s="883">
        <f t="shared" si="36"/>
        <v>-59</v>
      </c>
      <c r="AF39" s="43"/>
      <c r="AG39" s="43"/>
      <c r="AH39" s="883">
        <f t="shared" si="37"/>
        <v>0</v>
      </c>
      <c r="AI39" s="43"/>
      <c r="AJ39" s="883">
        <f t="shared" si="38"/>
        <v>-59</v>
      </c>
      <c r="AK39" s="43"/>
    </row>
    <row r="40" ht="13.5" customHeight="1">
      <c r="A40" s="5">
        <f t="shared" si="23"/>
        <v>9</v>
      </c>
      <c r="B40" s="630" t="str">
        <f t="shared" ref="B40:C40" si="63">B17</f>
        <v>50</v>
      </c>
      <c r="C40" s="630" t="str">
        <f t="shared" si="63"/>
        <v>Scald Eagle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36</v>
      </c>
      <c r="P40" s="43"/>
      <c r="Q40" s="5">
        <f t="shared" si="30"/>
        <v>36</v>
      </c>
      <c r="R40" s="43"/>
      <c r="S40" s="43"/>
      <c r="T40" s="5">
        <f t="shared" si="31"/>
        <v>9</v>
      </c>
      <c r="U40" s="630" t="str">
        <f t="shared" ref="U40:V40" si="65">U17</f>
        <v>37</v>
      </c>
      <c r="V40" s="630" t="str">
        <f t="shared" si="65"/>
        <v>Swagetha</v>
      </c>
      <c r="W40" s="5">
        <f t="shared" si="33"/>
        <v>0</v>
      </c>
      <c r="X40" s="43"/>
      <c r="Y40" s="881">
        <f t="shared" ref="Y40:AB40" si="66">IF($U40="","",Y63-Y86)</f>
        <v>0</v>
      </c>
      <c r="Z40" s="881">
        <f t="shared" si="66"/>
        <v>0</v>
      </c>
      <c r="AA40" s="881">
        <f t="shared" si="66"/>
        <v>-5</v>
      </c>
      <c r="AB40" s="881">
        <f t="shared" si="66"/>
        <v>-5</v>
      </c>
      <c r="AC40" s="5">
        <f t="shared" si="35"/>
        <v>-10</v>
      </c>
      <c r="AD40" s="43"/>
      <c r="AE40" s="5">
        <f t="shared" si="36"/>
        <v>-10</v>
      </c>
      <c r="AF40" s="43"/>
      <c r="AG40" s="43"/>
      <c r="AH40" s="5">
        <f t="shared" si="37"/>
        <v>0</v>
      </c>
      <c r="AI40" s="43"/>
      <c r="AJ40" s="5">
        <f t="shared" si="38"/>
        <v>-10</v>
      </c>
      <c r="AK40" s="43"/>
    </row>
    <row r="41" ht="13.5" customHeight="1">
      <c r="A41" s="883">
        <f t="shared" si="23"/>
        <v>10</v>
      </c>
      <c r="B41" s="888" t="str">
        <f t="shared" ref="B41:C41" si="67">B18</f>
        <v>505</v>
      </c>
      <c r="C41" s="888" t="str">
        <f t="shared" si="67"/>
        <v>Elyse LeKraken</v>
      </c>
      <c r="D41" s="883">
        <f t="shared" si="25"/>
        <v>0</v>
      </c>
      <c r="E41" s="43"/>
      <c r="F41" s="881">
        <f t="shared" ref="F41:I41" si="68">IF($B41="","",F64-F87)</f>
        <v>0</v>
      </c>
      <c r="G41" s="881">
        <f t="shared" si="68"/>
        <v>-3</v>
      </c>
      <c r="H41" s="881">
        <f t="shared" si="68"/>
        <v>37</v>
      </c>
      <c r="I41" s="881">
        <f t="shared" si="68"/>
        <v>-1</v>
      </c>
      <c r="J41" s="883">
        <f t="shared" si="27"/>
        <v>33</v>
      </c>
      <c r="K41" s="43"/>
      <c r="L41" s="883">
        <f t="shared" si="28"/>
        <v>33</v>
      </c>
      <c r="M41" s="43"/>
      <c r="N41" s="43"/>
      <c r="O41" s="883">
        <f t="shared" si="29"/>
        <v>0</v>
      </c>
      <c r="P41" s="43"/>
      <c r="Q41" s="883">
        <f t="shared" si="30"/>
        <v>33</v>
      </c>
      <c r="R41" s="43"/>
      <c r="S41" s="43"/>
      <c r="T41" s="883">
        <f t="shared" si="31"/>
        <v>10</v>
      </c>
      <c r="U41" s="888" t="str">
        <f t="shared" ref="U41:V41" si="69">U18</f>
        <v>39</v>
      </c>
      <c r="V41" s="888" t="str">
        <f t="shared" si="69"/>
        <v>Gaffney</v>
      </c>
      <c r="W41" s="883">
        <f t="shared" si="33"/>
        <v>0</v>
      </c>
      <c r="X41" s="43"/>
      <c r="Y41" s="881">
        <f t="shared" ref="Y41:AB41" si="70">IF($U41="","",Y64-Y87)</f>
        <v>0</v>
      </c>
      <c r="Z41" s="881">
        <f t="shared" si="70"/>
        <v>4</v>
      </c>
      <c r="AA41" s="881">
        <f t="shared" si="70"/>
        <v>-9</v>
      </c>
      <c r="AB41" s="881">
        <f t="shared" si="70"/>
        <v>-10</v>
      </c>
      <c r="AC41" s="883">
        <f t="shared" si="35"/>
        <v>-15</v>
      </c>
      <c r="AD41" s="43"/>
      <c r="AE41" s="883">
        <f t="shared" si="36"/>
        <v>-15</v>
      </c>
      <c r="AF41" s="43"/>
      <c r="AG41" s="43"/>
      <c r="AH41" s="883">
        <f t="shared" si="37"/>
        <v>0</v>
      </c>
      <c r="AI41" s="43"/>
      <c r="AJ41" s="883">
        <f t="shared" si="38"/>
        <v>-15</v>
      </c>
      <c r="AK41" s="43"/>
    </row>
    <row r="42" ht="13.5" customHeight="1">
      <c r="A42" s="5">
        <f t="shared" si="23"/>
        <v>11</v>
      </c>
      <c r="B42" s="630" t="str">
        <f t="shared" ref="B42:C42" si="71">B19</f>
        <v>8000</v>
      </c>
      <c r="C42" s="630" t="str">
        <f t="shared" si="71"/>
        <v>Killifornia</v>
      </c>
      <c r="D42" s="5">
        <f t="shared" si="25"/>
        <v>12</v>
      </c>
      <c r="E42" s="43"/>
      <c r="F42" s="881">
        <f t="shared" ref="F42:I42" si="72">IF($B42="","",F65-F88)</f>
        <v>0</v>
      </c>
      <c r="G42" s="881">
        <f t="shared" si="72"/>
        <v>4</v>
      </c>
      <c r="H42" s="881">
        <f t="shared" si="72"/>
        <v>0</v>
      </c>
      <c r="I42" s="881">
        <f t="shared" si="72"/>
        <v>0</v>
      </c>
      <c r="J42" s="5">
        <f t="shared" si="27"/>
        <v>4</v>
      </c>
      <c r="K42" s="43"/>
      <c r="L42" s="5">
        <f t="shared" si="28"/>
        <v>16</v>
      </c>
      <c r="M42" s="43"/>
      <c r="N42" s="43"/>
      <c r="O42" s="5">
        <f t="shared" si="29"/>
        <v>0</v>
      </c>
      <c r="P42" s="43"/>
      <c r="Q42" s="5">
        <f t="shared" si="30"/>
        <v>16</v>
      </c>
      <c r="R42" s="43"/>
      <c r="S42" s="43"/>
      <c r="T42" s="5">
        <f t="shared" si="31"/>
        <v>11</v>
      </c>
      <c r="U42" s="630" t="str">
        <f t="shared" ref="U42:V42" si="73">U19</f>
        <v>48</v>
      </c>
      <c r="V42" s="630" t="str">
        <f t="shared" si="73"/>
        <v>Brute</v>
      </c>
      <c r="W42" s="5">
        <f t="shared" si="33"/>
        <v>-35</v>
      </c>
      <c r="X42" s="43"/>
      <c r="Y42" s="881">
        <f t="shared" ref="Y42:AB42" si="74">IF($U42="","",Y65-Y88)</f>
        <v>0</v>
      </c>
      <c r="Z42" s="881">
        <f t="shared" si="74"/>
        <v>0</v>
      </c>
      <c r="AA42" s="881">
        <f t="shared" si="74"/>
        <v>0</v>
      </c>
      <c r="AB42" s="881">
        <f t="shared" si="74"/>
        <v>0</v>
      </c>
      <c r="AC42" s="5">
        <f t="shared" si="35"/>
        <v>0</v>
      </c>
      <c r="AD42" s="43"/>
      <c r="AE42" s="5">
        <f t="shared" si="36"/>
        <v>-35</v>
      </c>
      <c r="AF42" s="43"/>
      <c r="AG42" s="43"/>
      <c r="AH42" s="5">
        <f t="shared" si="37"/>
        <v>-12</v>
      </c>
      <c r="AI42" s="43"/>
      <c r="AJ42" s="5">
        <f t="shared" si="38"/>
        <v>-47</v>
      </c>
      <c r="AK42" s="43"/>
    </row>
    <row r="43" ht="13.5" customHeight="1">
      <c r="A43" s="883">
        <f t="shared" si="23"/>
        <v>12</v>
      </c>
      <c r="B43" s="888" t="str">
        <f t="shared" ref="B43:C43" si="75">B20</f>
        <v>90</v>
      </c>
      <c r="C43" s="888" t="str">
        <f t="shared" si="75"/>
        <v>Wee Bonnie Bruiser</v>
      </c>
      <c r="D43" s="883">
        <f t="shared" si="25"/>
        <v>21</v>
      </c>
      <c r="E43" s="43"/>
      <c r="F43" s="881">
        <f t="shared" ref="F43:I43" si="76">IF($B43="","",F66-F89)</f>
        <v>0</v>
      </c>
      <c r="G43" s="881">
        <f t="shared" si="76"/>
        <v>6</v>
      </c>
      <c r="H43" s="881">
        <f t="shared" si="76"/>
        <v>0</v>
      </c>
      <c r="I43" s="881">
        <f t="shared" si="76"/>
        <v>0</v>
      </c>
      <c r="J43" s="883">
        <f t="shared" si="27"/>
        <v>6</v>
      </c>
      <c r="K43" s="43"/>
      <c r="L43" s="883">
        <f t="shared" si="28"/>
        <v>27</v>
      </c>
      <c r="M43" s="43"/>
      <c r="N43" s="43"/>
      <c r="O43" s="883">
        <f t="shared" si="29"/>
        <v>0</v>
      </c>
      <c r="P43" s="43"/>
      <c r="Q43" s="883">
        <f t="shared" si="30"/>
        <v>27</v>
      </c>
      <c r="R43" s="43"/>
      <c r="S43" s="43"/>
      <c r="T43" s="883">
        <f t="shared" si="31"/>
        <v>12</v>
      </c>
      <c r="U43" s="888" t="str">
        <f t="shared" ref="U43:V43" si="77">U20</f>
        <v>700</v>
      </c>
      <c r="V43" s="888" t="str">
        <f t="shared" si="77"/>
        <v>Springroll</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-11</v>
      </c>
      <c r="AI43" s="43"/>
      <c r="AJ43" s="883">
        <f t="shared" si="38"/>
        <v>-11</v>
      </c>
      <c r="AK43" s="43"/>
    </row>
    <row r="44" ht="13.5" customHeight="1">
      <c r="A44" s="5">
        <f t="shared" si="23"/>
        <v>13</v>
      </c>
      <c r="B44" s="630" t="str">
        <f t="shared" ref="B44:C44" si="79">B21</f>
        <v>919</v>
      </c>
      <c r="C44" s="630" t="str">
        <f t="shared" si="79"/>
        <v>Grizz</v>
      </c>
      <c r="D44" s="5">
        <f t="shared" si="25"/>
        <v>0</v>
      </c>
      <c r="E44" s="43"/>
      <c r="F44" s="881">
        <f t="shared" ref="F44:I44" si="80">IF($B44="","",F67-F90)</f>
        <v>0</v>
      </c>
      <c r="G44" s="881">
        <f t="shared" si="80"/>
        <v>25</v>
      </c>
      <c r="H44" s="881">
        <f t="shared" si="80"/>
        <v>-7</v>
      </c>
      <c r="I44" s="881">
        <f t="shared" si="80"/>
        <v>9</v>
      </c>
      <c r="J44" s="5">
        <f t="shared" si="27"/>
        <v>27</v>
      </c>
      <c r="K44" s="43"/>
      <c r="L44" s="5">
        <f t="shared" si="28"/>
        <v>27</v>
      </c>
      <c r="M44" s="43"/>
      <c r="N44" s="43"/>
      <c r="O44" s="5">
        <f t="shared" si="29"/>
        <v>0</v>
      </c>
      <c r="P44" s="43"/>
      <c r="Q44" s="5">
        <f t="shared" si="30"/>
        <v>27</v>
      </c>
      <c r="R44" s="43"/>
      <c r="S44" s="43"/>
      <c r="T44" s="5">
        <f t="shared" si="31"/>
        <v>13</v>
      </c>
      <c r="U44" s="630" t="str">
        <f t="shared" ref="U44:V44" si="81">U21</f>
        <v>71</v>
      </c>
      <c r="V44" s="630" t="str">
        <f t="shared" si="81"/>
        <v>Danger Potato</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-31</v>
      </c>
      <c r="AI44" s="43"/>
      <c r="AJ44" s="5">
        <f t="shared" si="38"/>
        <v>-31</v>
      </c>
      <c r="AK44" s="43"/>
    </row>
    <row r="45" ht="13.5" customHeight="1">
      <c r="A45" s="883">
        <f t="shared" si="23"/>
        <v>14</v>
      </c>
      <c r="B45" s="888" t="str">
        <f t="shared" ref="B45:C45" si="83">B22</f>
        <v>949</v>
      </c>
      <c r="C45" s="888" t="str">
        <f t="shared" si="83"/>
        <v>Coyote</v>
      </c>
      <c r="D45" s="883">
        <f t="shared" si="25"/>
        <v>0</v>
      </c>
      <c r="E45" s="43"/>
      <c r="F45" s="881">
        <f t="shared" ref="F45:I45" si="84">IF($B45="","",F68-F91)</f>
        <v>0</v>
      </c>
      <c r="G45" s="881">
        <f t="shared" si="84"/>
        <v>13</v>
      </c>
      <c r="H45" s="881">
        <f t="shared" si="84"/>
        <v>2</v>
      </c>
      <c r="I45" s="881">
        <f t="shared" si="84"/>
        <v>32</v>
      </c>
      <c r="J45" s="883">
        <f t="shared" si="27"/>
        <v>47</v>
      </c>
      <c r="K45" s="43"/>
      <c r="L45" s="883">
        <f t="shared" si="28"/>
        <v>47</v>
      </c>
      <c r="M45" s="43"/>
      <c r="N45" s="43"/>
      <c r="O45" s="883">
        <f t="shared" si="29"/>
        <v>0</v>
      </c>
      <c r="P45" s="43"/>
      <c r="Q45" s="883">
        <f t="shared" si="30"/>
        <v>47</v>
      </c>
      <c r="R45" s="43"/>
      <c r="S45" s="43"/>
      <c r="T45" s="883">
        <f t="shared" si="31"/>
        <v>14</v>
      </c>
      <c r="U45" s="888" t="str">
        <f t="shared" ref="U45:V45" si="85">U22</f>
        <v>79</v>
      </c>
      <c r="V45" s="888" t="str">
        <f t="shared" si="85"/>
        <v>Lil RegulateHer</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-4</v>
      </c>
      <c r="AI45" s="43"/>
      <c r="AJ45" s="883">
        <f t="shared" si="38"/>
        <v>-4</v>
      </c>
      <c r="AK45" s="43"/>
    </row>
    <row r="46" ht="13.5" customHeight="1">
      <c r="A46" s="5">
        <f t="shared" si="23"/>
        <v>15</v>
      </c>
      <c r="B46" s="630" t="str">
        <f t="shared" ref="B46:C46" si="87">B23</f>
        <v>99</v>
      </c>
      <c r="C46" s="630" t="str">
        <f t="shared" si="87"/>
        <v>Chinaski</v>
      </c>
      <c r="D46" s="5">
        <f t="shared" si="25"/>
        <v>0</v>
      </c>
      <c r="E46" s="43"/>
      <c r="F46" s="881">
        <f t="shared" ref="F46:I46" si="88">IF($B46="","",F69-F92)</f>
        <v>0</v>
      </c>
      <c r="G46" s="881">
        <f t="shared" si="88"/>
        <v>5</v>
      </c>
      <c r="H46" s="881">
        <f t="shared" si="88"/>
        <v>3</v>
      </c>
      <c r="I46" s="881">
        <f t="shared" si="88"/>
        <v>23</v>
      </c>
      <c r="J46" s="5">
        <f t="shared" si="27"/>
        <v>31</v>
      </c>
      <c r="K46" s="43"/>
      <c r="L46" s="5">
        <f t="shared" si="28"/>
        <v>31</v>
      </c>
      <c r="M46" s="43"/>
      <c r="N46" s="43"/>
      <c r="O46" s="5">
        <f t="shared" si="29"/>
        <v>0</v>
      </c>
      <c r="P46" s="43"/>
      <c r="Q46" s="5">
        <f t="shared" si="30"/>
        <v>31</v>
      </c>
      <c r="R46" s="43"/>
      <c r="S46" s="43"/>
      <c r="T46" s="5">
        <f t="shared" si="31"/>
        <v>15</v>
      </c>
      <c r="U46" s="630" t="str">
        <f t="shared" ref="U46:V46" si="89">U23</f>
        <v>89</v>
      </c>
      <c r="V46" s="630" t="str">
        <f t="shared" si="89"/>
        <v>High Roller</v>
      </c>
      <c r="W46" s="5">
        <f t="shared" si="33"/>
        <v>0</v>
      </c>
      <c r="X46" s="43"/>
      <c r="Y46" s="881">
        <f t="shared" ref="Y46:AB46" si="90">IF($U46="","",Y69-Y92)</f>
        <v>0</v>
      </c>
      <c r="Z46" s="881">
        <f t="shared" si="90"/>
        <v>-13</v>
      </c>
      <c r="AA46" s="881">
        <f t="shared" si="90"/>
        <v>-12</v>
      </c>
      <c r="AB46" s="881">
        <f t="shared" si="90"/>
        <v>-36</v>
      </c>
      <c r="AC46" s="5">
        <f t="shared" si="35"/>
        <v>-61</v>
      </c>
      <c r="AD46" s="43"/>
      <c r="AE46" s="5">
        <f t="shared" si="36"/>
        <v>-61</v>
      </c>
      <c r="AF46" s="43"/>
      <c r="AG46" s="43"/>
      <c r="AH46" s="5">
        <f t="shared" si="37"/>
        <v>0</v>
      </c>
      <c r="AI46" s="43"/>
      <c r="AJ46" s="5">
        <f t="shared" si="38"/>
        <v>-61</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413</v>
      </c>
      <c r="B53" s="8"/>
      <c r="C53" s="9"/>
      <c r="D53" s="874"/>
      <c r="E53" s="874"/>
      <c r="F53" s="874"/>
      <c r="G53" s="874"/>
      <c r="H53" s="874"/>
      <c r="I53" s="874"/>
      <c r="J53" s="874"/>
      <c r="K53" s="874"/>
      <c r="L53" s="874"/>
      <c r="M53" s="874"/>
      <c r="N53" s="874"/>
      <c r="O53" s="874"/>
      <c r="P53" s="874"/>
      <c r="Q53" s="874"/>
      <c r="R53" s="874"/>
      <c r="S53" s="43"/>
      <c r="T53" s="873" t="s">
        <v>413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402</v>
      </c>
      <c r="C54" s="875" t="s">
        <v>403</v>
      </c>
      <c r="D54" s="875" t="s">
        <v>261</v>
      </c>
      <c r="E54" s="5"/>
      <c r="F54" s="877" t="s">
        <v>262</v>
      </c>
      <c r="G54" s="877" t="s">
        <v>262</v>
      </c>
      <c r="H54" s="877" t="s">
        <v>262</v>
      </c>
      <c r="I54" s="877" t="s">
        <v>262</v>
      </c>
      <c r="J54" s="875" t="s">
        <v>405</v>
      </c>
      <c r="K54" s="5"/>
      <c r="L54" s="875" t="s">
        <v>407</v>
      </c>
      <c r="M54" s="5"/>
      <c r="N54" s="878" t="s">
        <v>409</v>
      </c>
      <c r="O54" s="875" t="s">
        <v>259</v>
      </c>
      <c r="P54" s="5"/>
      <c r="Q54" s="875" t="s">
        <v>376</v>
      </c>
      <c r="R54" s="5"/>
      <c r="S54" s="5"/>
      <c r="T54" s="875">
        <v>0.0</v>
      </c>
      <c r="U54" s="875" t="s">
        <v>402</v>
      </c>
      <c r="V54" s="875" t="s">
        <v>403</v>
      </c>
      <c r="W54" s="875" t="s">
        <v>261</v>
      </c>
      <c r="X54" s="5"/>
      <c r="Y54" s="877" t="s">
        <v>262</v>
      </c>
      <c r="Z54" s="877" t="s">
        <v>262</v>
      </c>
      <c r="AA54" s="877" t="s">
        <v>262</v>
      </c>
      <c r="AB54" s="877" t="s">
        <v>262</v>
      </c>
      <c r="AC54" s="875" t="s">
        <v>405</v>
      </c>
      <c r="AD54" s="5"/>
      <c r="AE54" s="875" t="s">
        <v>407</v>
      </c>
      <c r="AF54" s="5"/>
      <c r="AG54" s="878" t="s">
        <v>409</v>
      </c>
      <c r="AH54" s="875" t="s">
        <v>259</v>
      </c>
      <c r="AI54" s="5"/>
      <c r="AJ54" s="875" t="s">
        <v>376</v>
      </c>
      <c r="AK54" s="5"/>
    </row>
    <row r="55" ht="13.5" customHeight="1">
      <c r="A55" s="5">
        <f t="shared" ref="A55:A74" si="113">A54+1</f>
        <v>1</v>
      </c>
      <c r="B55" s="630" t="str">
        <f t="shared" ref="B55:C55" si="111">B9</f>
        <v>10</v>
      </c>
      <c r="C55" s="630" t="str">
        <f t="shared" si="111"/>
        <v>Unprotected Lex</v>
      </c>
      <c r="D55" s="5">
        <f>IF($B55="","",SUMPRODUCT(--(Lineups!$G$4:$G$41=$B55),--(Lineups!$B$4:$B$41=""),Lineups!$W$4:$W$41))</f>
        <v>0</v>
      </c>
      <c r="E55" s="43"/>
      <c r="F55" s="881">
        <f>IF($B55="","",SUMPRODUCT(--(Lineups!$G$4:$G$41=$B55),--(Lineups!$B$4:$B$41="X"),Lineups!$W$4:$W$41))</f>
        <v>0</v>
      </c>
      <c r="G55" s="881">
        <f>IF($B55="","",SUMPRODUCT(--(Lineups!$K$4:$K$41=$B55),Lineups!$W$4:$W$41))</f>
        <v>6</v>
      </c>
      <c r="H55" s="881">
        <f>IF($B55="","",SUMPRODUCT(--(Lineups!$O$4:$O$41=$B55),Lineups!$W$4:$W$41))</f>
        <v>20</v>
      </c>
      <c r="I55" s="881">
        <f>IF($B55="","",SUMPRODUCT(--(Lineups!$S$4:$S$41=$B55),Lineups!$W$4:$W$41))</f>
        <v>12</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30" t="str">
        <f t="shared" ref="U55:V55" si="112">U9</f>
        <v>11</v>
      </c>
      <c r="V55" s="630" t="str">
        <f t="shared" si="112"/>
        <v>Bertha Beatdown</v>
      </c>
      <c r="W55" s="5">
        <f>IF($U55="","",SUMPRODUCT(--(Lineups!$AG$4:$AG$41=$U55),--(Lineups!$AB$4:$AB$41=""),Lineups!$AW$4:$AW$41))</f>
        <v>0</v>
      </c>
      <c r="X55" s="43"/>
      <c r="Y55" s="881">
        <f>IF($U55="","",SUMPRODUCT(--(Lineups!$AG$4:$AG$41=$U55),--(Lineups!$AB$4:$AB$41="X"),Lineups!$AW$4:$AW$41))</f>
        <v>0</v>
      </c>
      <c r="Z55" s="881">
        <f>IF($U55="","",SUMPRODUCT(--(Lineups!$AK$4:$AK$41=$U55),Lineups!$AW$4:$AW$41))</f>
        <v>4</v>
      </c>
      <c r="AA55" s="881">
        <f>IF($U55="","",SUMPRODUCT(--(Lineups!$AO$4:$AO$41=$U55),Lineups!$AW$4:$AW$41))</f>
        <v>0</v>
      </c>
      <c r="AB55" s="881">
        <f>IF($U55="","",SUMPRODUCT(--(Lineups!$AS$4:$AS$41=$U55),Lineups!$AW$4:$AW$41))</f>
        <v>0</v>
      </c>
      <c r="AC55" s="5">
        <f t="shared" ref="AC55:AC74" si="120">IF(U55="","",SUM(Y55:AB55))</f>
        <v>4</v>
      </c>
      <c r="AD55" s="43"/>
      <c r="AE55" s="5">
        <f t="shared" ref="AE55:AE74" si="121">IF(U55="","",SUM(W55,AC55))</f>
        <v>4</v>
      </c>
      <c r="AF55" s="43"/>
      <c r="AG55" s="43"/>
      <c r="AH55" s="5">
        <f>IF($U55="","",SUMPRODUCT(--(Lineups!$AC$4:$AC$41=$U55),Lineups!$AW$4:$AW$41))</f>
        <v>0</v>
      </c>
      <c r="AI55" s="43"/>
      <c r="AJ55" s="5">
        <f t="shared" ref="AJ55:AJ74" si="122">IF(U55="","",SUM(AE55,AH55))</f>
        <v>4</v>
      </c>
      <c r="AK55" s="43"/>
    </row>
    <row r="56" ht="13.5" customHeight="1">
      <c r="A56" s="883">
        <f t="shared" si="113"/>
        <v>2</v>
      </c>
      <c r="B56" s="888" t="str">
        <f t="shared" ref="B56:C56" si="114">B10</f>
        <v>1706</v>
      </c>
      <c r="C56" s="888" t="str">
        <f t="shared" si="114"/>
        <v>Maven</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53</v>
      </c>
      <c r="P56" s="43"/>
      <c r="Q56" s="883">
        <f t="shared" si="117"/>
        <v>53</v>
      </c>
      <c r="R56" s="43"/>
      <c r="S56" s="43"/>
      <c r="T56" s="883">
        <f t="shared" si="118"/>
        <v>2</v>
      </c>
      <c r="U56" s="888" t="str">
        <f t="shared" ref="U56:V56" si="119">U10</f>
        <v>128</v>
      </c>
      <c r="V56" s="888" t="str">
        <f t="shared" si="119"/>
        <v>Carl</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4</v>
      </c>
      <c r="AB56" s="881">
        <f>IF($U56="","",SUMPRODUCT(--(Lineups!$AS$4:$AS$41=$U56),Lineups!$AW$4:$AW$41))</f>
        <v>0</v>
      </c>
      <c r="AC56" s="883">
        <f t="shared" si="120"/>
        <v>4</v>
      </c>
      <c r="AD56" s="43"/>
      <c r="AE56" s="883">
        <f t="shared" si="121"/>
        <v>4</v>
      </c>
      <c r="AF56" s="43"/>
      <c r="AG56" s="43"/>
      <c r="AH56" s="883">
        <f>IF($U56="","",SUMPRODUCT(--(Lineups!$AC$4:$AC$41=$U56),Lineups!$AW$4:$AW$41))</f>
        <v>0</v>
      </c>
      <c r="AI56" s="43"/>
      <c r="AJ56" s="883">
        <f t="shared" si="122"/>
        <v>4</v>
      </c>
      <c r="AK56" s="43"/>
    </row>
    <row r="57" ht="13.5" customHeight="1">
      <c r="A57" s="5">
        <f t="shared" si="113"/>
        <v>3</v>
      </c>
      <c r="B57" s="630" t="str">
        <f t="shared" ref="B57:C57" si="123">B11</f>
        <v>2</v>
      </c>
      <c r="C57" s="630" t="str">
        <f t="shared" si="123"/>
        <v>Taryn</v>
      </c>
      <c r="D57" s="5">
        <f>IF($B57="","",SUMPRODUCT(--(Lineups!$G$4:$G$41=$B57),--(Lineups!$B$4:$B$41=""),Lineups!$W$4:$W$41))</f>
        <v>1</v>
      </c>
      <c r="E57" s="43"/>
      <c r="F57" s="881">
        <f>IF($B57="","",SUMPRODUCT(--(Lineups!$G$4:$G$41=$B57),--(Lineups!$B$4:$B$41="X"),Lineups!$W$4:$W$41))</f>
        <v>0</v>
      </c>
      <c r="G57" s="881">
        <f>IF($B57="","",SUMPRODUCT(--(Lineups!$K$4:$K$41=$B57),Lineups!$W$4:$W$41))</f>
        <v>8</v>
      </c>
      <c r="H57" s="881">
        <f>IF($B57="","",SUMPRODUCT(--(Lineups!$O$4:$O$41=$B57),Lineups!$W$4:$W$41))</f>
        <v>19</v>
      </c>
      <c r="I57" s="881">
        <f>IF($B57="","",SUMPRODUCT(--(Lineups!$S$4:$S$41=$B57),Lineups!$W$4:$W$41))</f>
        <v>8</v>
      </c>
      <c r="J57" s="5">
        <f t="shared" si="115"/>
        <v>35</v>
      </c>
      <c r="K57" s="43"/>
      <c r="L57" s="5">
        <f t="shared" si="116"/>
        <v>36</v>
      </c>
      <c r="M57" s="43"/>
      <c r="N57" s="43"/>
      <c r="O57" s="5">
        <f>IF($B57="","",SUMPRODUCT(--(Lineups!$C$4:$C$41=$B57),Lineups!$W$4:$W$41))</f>
        <v>0</v>
      </c>
      <c r="P57" s="43"/>
      <c r="Q57" s="5">
        <f t="shared" si="117"/>
        <v>36</v>
      </c>
      <c r="R57" s="43"/>
      <c r="S57" s="43"/>
      <c r="T57" s="5">
        <f t="shared" si="118"/>
        <v>3</v>
      </c>
      <c r="U57" s="630" t="str">
        <f t="shared" ref="U57:V57" si="124">U11</f>
        <v>139</v>
      </c>
      <c r="V57" s="630" t="str">
        <f t="shared" si="124"/>
        <v>Katie Postma</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4</v>
      </c>
      <c r="AC57" s="5">
        <f t="shared" si="120"/>
        <v>4</v>
      </c>
      <c r="AD57" s="43"/>
      <c r="AE57" s="5">
        <f t="shared" si="121"/>
        <v>4</v>
      </c>
      <c r="AF57" s="43"/>
      <c r="AG57" s="43"/>
      <c r="AH57" s="5">
        <f>IF($U57="","",SUMPRODUCT(--(Lineups!$AC$4:$AC$41=$U57),Lineups!$AW$4:$AW$41))</f>
        <v>0</v>
      </c>
      <c r="AI57" s="43"/>
      <c r="AJ57" s="5">
        <f t="shared" si="122"/>
        <v>4</v>
      </c>
      <c r="AK57" s="43"/>
    </row>
    <row r="58" ht="13.5" customHeight="1">
      <c r="A58" s="883">
        <f t="shared" si="113"/>
        <v>4</v>
      </c>
      <c r="B58" s="888" t="str">
        <f t="shared" ref="B58:C58" si="125">B12</f>
        <v>22</v>
      </c>
      <c r="C58" s="888" t="str">
        <f t="shared" si="125"/>
        <v>Scara to Death</v>
      </c>
      <c r="D58" s="883">
        <f>IF($B58="","",SUMPRODUCT(--(Lineups!$G$4:$G$41=$B58),--(Lineups!$B$4:$B$41=""),Lineups!$W$4:$W$41))</f>
        <v>0</v>
      </c>
      <c r="E58" s="43"/>
      <c r="F58" s="881">
        <f>IF($B58="","",SUMPRODUCT(--(Lineups!$G$4:$G$41=$B58),--(Lineups!$B$4:$B$41="X"),Lineups!$W$4:$W$41))</f>
        <v>0</v>
      </c>
      <c r="G58" s="881">
        <f>IF($B58="","",SUMPRODUCT(--(Lineups!$K$4:$K$41=$B58),Lineups!$W$4:$W$41))</f>
        <v>24</v>
      </c>
      <c r="H58" s="881">
        <f>IF($B58="","",SUMPRODUCT(--(Lineups!$O$4:$O$41=$B58),Lineups!$W$4:$W$41))</f>
        <v>10</v>
      </c>
      <c r="I58" s="881">
        <f>IF($B58="","",SUMPRODUCT(--(Lineups!$S$4:$S$41=$B58),Lineups!$W$4:$W$41))</f>
        <v>7</v>
      </c>
      <c r="J58" s="883">
        <f t="shared" si="115"/>
        <v>41</v>
      </c>
      <c r="K58" s="43"/>
      <c r="L58" s="883">
        <f t="shared" si="116"/>
        <v>41</v>
      </c>
      <c r="M58" s="43"/>
      <c r="N58" s="43"/>
      <c r="O58" s="883">
        <f>IF($B58="","",SUMPRODUCT(--(Lineups!$C$4:$C$41=$B58),Lineups!$W$4:$W$41))</f>
        <v>0</v>
      </c>
      <c r="P58" s="43"/>
      <c r="Q58" s="883">
        <f t="shared" si="117"/>
        <v>41</v>
      </c>
      <c r="R58" s="43"/>
      <c r="S58" s="43"/>
      <c r="T58" s="883">
        <f t="shared" si="118"/>
        <v>4</v>
      </c>
      <c r="U58" s="888" t="str">
        <f t="shared" ref="U58:V58" si="126">U12</f>
        <v>22</v>
      </c>
      <c r="V58" s="888" t="str">
        <f t="shared" si="126"/>
        <v>Habanero Romero</v>
      </c>
      <c r="W58" s="883">
        <f>IF($U58="","",SUMPRODUCT(--(Lineups!$AG$4:$AG$41=$U58),--(Lineups!$AB$4:$AB$41=""),Lineups!$AW$4:$AW$41))</f>
        <v>6</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6</v>
      </c>
      <c r="AF58" s="43"/>
      <c r="AG58" s="43"/>
      <c r="AH58" s="883">
        <f>IF($U58="","",SUMPRODUCT(--(Lineups!$AC$4:$AC$41=$U58),Lineups!$AW$4:$AW$41))</f>
        <v>0</v>
      </c>
      <c r="AI58" s="43"/>
      <c r="AJ58" s="883">
        <f t="shared" si="122"/>
        <v>6</v>
      </c>
      <c r="AK58" s="43"/>
    </row>
    <row r="59" ht="13.5" customHeight="1">
      <c r="A59" s="5">
        <f t="shared" si="113"/>
        <v>5</v>
      </c>
      <c r="B59" s="630" t="str">
        <f t="shared" ref="B59:C59" si="127">B13</f>
        <v>27</v>
      </c>
      <c r="C59" s="630" t="str">
        <f t="shared" si="127"/>
        <v>Gobrecht</v>
      </c>
      <c r="D59" s="5">
        <f>IF($B59="","",SUMPRODUCT(--(Lineups!$G$4:$G$41=$B59),--(Lineups!$B$4:$B$41=""),Lineups!$W$4:$W$41))</f>
        <v>58</v>
      </c>
      <c r="E59" s="43"/>
      <c r="F59" s="881">
        <f>IF($B59="","",SUMPRODUCT(--(Lineups!$G$4:$G$41=$B59),--(Lineups!$B$4:$B$41="X"),Lineups!$W$4:$W$41))</f>
        <v>0</v>
      </c>
      <c r="G59" s="881">
        <f>IF($B59="","",SUMPRODUCT(--(Lineups!$K$4:$K$41=$B59),Lineups!$W$4:$W$41))</f>
        <v>0</v>
      </c>
      <c r="H59" s="881">
        <f>IF($B59="","",SUMPRODUCT(--(Lineups!$O$4:$O$41=$B59),Lineups!$W$4:$W$41))</f>
        <v>6</v>
      </c>
      <c r="I59" s="881">
        <f>IF($B59="","",SUMPRODUCT(--(Lineups!$S$4:$S$41=$B59),Lineups!$W$4:$W$41))</f>
        <v>2</v>
      </c>
      <c r="J59" s="5">
        <f t="shared" si="115"/>
        <v>8</v>
      </c>
      <c r="K59" s="43"/>
      <c r="L59" s="5">
        <f t="shared" si="116"/>
        <v>66</v>
      </c>
      <c r="M59" s="43"/>
      <c r="N59" s="43"/>
      <c r="O59" s="5">
        <f>IF($B59="","",SUMPRODUCT(--(Lineups!$C$4:$C$41=$B59),Lineups!$W$4:$W$41))</f>
        <v>0</v>
      </c>
      <c r="P59" s="43"/>
      <c r="Q59" s="5">
        <f t="shared" si="117"/>
        <v>66</v>
      </c>
      <c r="R59" s="43"/>
      <c r="S59" s="43"/>
      <c r="T59" s="5">
        <f t="shared" si="118"/>
        <v>5</v>
      </c>
      <c r="U59" s="630" t="str">
        <f t="shared" ref="U59:V59" si="128">U13</f>
        <v>241</v>
      </c>
      <c r="V59" s="630" t="str">
        <f t="shared" si="128"/>
        <v>Lilly Pate</v>
      </c>
      <c r="W59" s="5">
        <f>IF($U59="","",SUMPRODUCT(--(Lineups!$AG$4:$AG$41=$U59),--(Lineups!$AB$4:$AB$41=""),Lineups!$AW$4:$AW$41))</f>
        <v>0</v>
      </c>
      <c r="X59" s="43"/>
      <c r="Y59" s="881">
        <f>IF($U59="","",SUMPRODUCT(--(Lineups!$AG$4:$AG$41=$U59),--(Lineups!$AB$4:$AB$41="X"),Lineups!$AW$4:$AW$41))</f>
        <v>0</v>
      </c>
      <c r="Z59" s="881">
        <f>IF($U59="","",SUMPRODUCT(--(Lineups!$AK$4:$AK$41=$U59),Lineups!$AW$4:$AW$41))</f>
        <v>18</v>
      </c>
      <c r="AA59" s="881">
        <f>IF($U59="","",SUMPRODUCT(--(Lineups!$AO$4:$AO$41=$U59),Lineups!$AW$4:$AW$41))</f>
        <v>0</v>
      </c>
      <c r="AB59" s="881">
        <f>IF($U59="","",SUMPRODUCT(--(Lineups!$AS$4:$AS$41=$U59),Lineups!$AW$4:$AW$41))</f>
        <v>4</v>
      </c>
      <c r="AC59" s="5">
        <f t="shared" si="120"/>
        <v>22</v>
      </c>
      <c r="AD59" s="43"/>
      <c r="AE59" s="5">
        <f t="shared" si="121"/>
        <v>22</v>
      </c>
      <c r="AF59" s="43"/>
      <c r="AG59" s="43"/>
      <c r="AH59" s="5">
        <f>IF($U59="","",SUMPRODUCT(--(Lineups!$AC$4:$AC$41=$U59),Lineups!$AW$4:$AW$41))</f>
        <v>0</v>
      </c>
      <c r="AI59" s="43"/>
      <c r="AJ59" s="5">
        <f t="shared" si="122"/>
        <v>22</v>
      </c>
      <c r="AK59" s="43"/>
    </row>
    <row r="60" ht="13.5" customHeight="1">
      <c r="A60" s="883">
        <f t="shared" si="113"/>
        <v>6</v>
      </c>
      <c r="B60" s="888" t="str">
        <f t="shared" ref="B60:C60" si="129">B14</f>
        <v>33</v>
      </c>
      <c r="C60" s="888" t="str">
        <f t="shared" si="129"/>
        <v>Klein</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16</v>
      </c>
      <c r="P60" s="43"/>
      <c r="Q60" s="883">
        <f t="shared" si="117"/>
        <v>16</v>
      </c>
      <c r="R60" s="43"/>
      <c r="S60" s="43"/>
      <c r="T60" s="883">
        <f t="shared" si="118"/>
        <v>6</v>
      </c>
      <c r="U60" s="888" t="str">
        <f t="shared" ref="U60:V60" si="130">U14</f>
        <v>316</v>
      </c>
      <c r="V60" s="888" t="str">
        <f t="shared" si="130"/>
        <v>Eve Anne Hellical</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4</v>
      </c>
      <c r="AI60" s="43"/>
      <c r="AJ60" s="883">
        <f t="shared" si="122"/>
        <v>4</v>
      </c>
      <c r="AK60" s="43"/>
    </row>
    <row r="61" ht="13.5" customHeight="1">
      <c r="A61" s="5">
        <f t="shared" si="113"/>
        <v>7</v>
      </c>
      <c r="B61" s="630" t="str">
        <f t="shared" ref="B61:C61" si="131">B15</f>
        <v>357</v>
      </c>
      <c r="C61" s="630" t="str">
        <f t="shared" si="131"/>
        <v>Bia Fraid</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343</v>
      </c>
      <c r="V61" s="630" t="str">
        <f t="shared" si="132"/>
        <v>Trinity</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3.5" customHeight="1">
      <c r="A62" s="883">
        <f t="shared" si="113"/>
        <v>8</v>
      </c>
      <c r="B62" s="888" t="str">
        <f t="shared" ref="B62:C62" si="133">B16</f>
        <v>40</v>
      </c>
      <c r="C62" s="888" t="str">
        <f t="shared" si="133"/>
        <v>speedlejuice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4</v>
      </c>
      <c r="P62" s="43"/>
      <c r="Q62" s="883">
        <f t="shared" si="117"/>
        <v>4</v>
      </c>
      <c r="R62" s="43"/>
      <c r="S62" s="43"/>
      <c r="T62" s="883">
        <f t="shared" si="118"/>
        <v>8</v>
      </c>
      <c r="U62" s="888" t="str">
        <f t="shared" ref="U62:V62" si="134">U16</f>
        <v>360</v>
      </c>
      <c r="V62" s="888" t="str">
        <f t="shared" si="134"/>
        <v>Big Bang Fury</v>
      </c>
      <c r="W62" s="883">
        <f>IF($U62="","",SUMPRODUCT(--(Lineups!$AG$4:$AG$41=$U62),--(Lineups!$AB$4:$AB$41=""),Lineups!$AW$4:$AW$41))</f>
        <v>0</v>
      </c>
      <c r="X62" s="43"/>
      <c r="Y62" s="881">
        <f>IF($U62="","",SUMPRODUCT(--(Lineups!$AG$4:$AG$41=$U62),--(Lineups!$AB$4:$AB$41="X"),Lineups!$AW$4:$AW$41))</f>
        <v>0</v>
      </c>
      <c r="Z62" s="881">
        <f>IF($U62="","",SUMPRODUCT(--(Lineups!$AK$4:$AK$41=$U62),Lineups!$AW$4:$AW$41))</f>
        <v>2</v>
      </c>
      <c r="AA62" s="881">
        <f>IF($U62="","",SUMPRODUCT(--(Lineups!$AO$4:$AO$41=$U62),Lineups!$AW$4:$AW$41))</f>
        <v>4</v>
      </c>
      <c r="AB62" s="881">
        <f>IF($U62="","",SUMPRODUCT(--(Lineups!$AS$4:$AS$41=$U62),Lineups!$AW$4:$AW$41))</f>
        <v>0</v>
      </c>
      <c r="AC62" s="883">
        <f t="shared" si="120"/>
        <v>6</v>
      </c>
      <c r="AD62" s="43"/>
      <c r="AE62" s="883">
        <f t="shared" si="121"/>
        <v>6</v>
      </c>
      <c r="AF62" s="43"/>
      <c r="AG62" s="43"/>
      <c r="AH62" s="883">
        <f>IF($U62="","",SUMPRODUCT(--(Lineups!$AC$4:$AC$41=$U62),Lineups!$AW$4:$AW$41))</f>
        <v>0</v>
      </c>
      <c r="AI62" s="43"/>
      <c r="AJ62" s="883">
        <f t="shared" si="122"/>
        <v>6</v>
      </c>
      <c r="AK62" s="43"/>
    </row>
    <row r="63" ht="13.5" customHeight="1">
      <c r="A63" s="5">
        <f t="shared" si="113"/>
        <v>9</v>
      </c>
      <c r="B63" s="630" t="str">
        <f t="shared" ref="B63:C63" si="135">B17</f>
        <v>50</v>
      </c>
      <c r="C63" s="630" t="str">
        <f t="shared" si="135"/>
        <v>Scald Eagle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41</v>
      </c>
      <c r="P63" s="43"/>
      <c r="Q63" s="5">
        <f t="shared" si="117"/>
        <v>41</v>
      </c>
      <c r="R63" s="43"/>
      <c r="S63" s="43"/>
      <c r="T63" s="5">
        <f t="shared" si="118"/>
        <v>9</v>
      </c>
      <c r="U63" s="630" t="str">
        <f t="shared" ref="U63:V63" si="136">U17</f>
        <v>37</v>
      </c>
      <c r="V63" s="630" t="str">
        <f t="shared" si="136"/>
        <v>Swagetha</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11</v>
      </c>
      <c r="AB63" s="881">
        <f>IF($U63="","",SUMPRODUCT(--(Lineups!$AS$4:$AS$41=$U63),Lineups!$AW$4:$AW$41))</f>
        <v>3</v>
      </c>
      <c r="AC63" s="5">
        <f t="shared" si="120"/>
        <v>14</v>
      </c>
      <c r="AD63" s="43"/>
      <c r="AE63" s="5">
        <f t="shared" si="121"/>
        <v>14</v>
      </c>
      <c r="AF63" s="43"/>
      <c r="AG63" s="43"/>
      <c r="AH63" s="5">
        <f>IF($U63="","",SUMPRODUCT(--(Lineups!$AC$4:$AC$41=$U63),Lineups!$AW$4:$AW$41))</f>
        <v>0</v>
      </c>
      <c r="AI63" s="43"/>
      <c r="AJ63" s="5">
        <f t="shared" si="122"/>
        <v>14</v>
      </c>
      <c r="AK63" s="43"/>
    </row>
    <row r="64" ht="13.5" customHeight="1">
      <c r="A64" s="883">
        <f t="shared" si="113"/>
        <v>10</v>
      </c>
      <c r="B64" s="888" t="str">
        <f t="shared" ref="B64:C64" si="137">B18</f>
        <v>505</v>
      </c>
      <c r="C64" s="888" t="str">
        <f t="shared" si="137"/>
        <v>Elyse LeKraken</v>
      </c>
      <c r="D64" s="883">
        <f>IF($B64="","",SUMPRODUCT(--(Lineups!$G$4:$G$41=$B64),--(Lineups!$B$4:$B$41=""),Lineups!$W$4:$W$41))</f>
        <v>0</v>
      </c>
      <c r="E64" s="43"/>
      <c r="F64" s="881">
        <f>IF($B64="","",SUMPRODUCT(--(Lineups!$G$4:$G$41=$B64),--(Lineups!$B$4:$B$41="X"),Lineups!$W$4:$W$41))</f>
        <v>0</v>
      </c>
      <c r="G64" s="881">
        <f>IF($B64="","",SUMPRODUCT(--(Lineups!$K$4:$K$41=$B64),Lineups!$W$4:$W$41))</f>
        <v>8</v>
      </c>
      <c r="H64" s="881">
        <f>IF($B64="","",SUMPRODUCT(--(Lineups!$O$4:$O$41=$B64),Lineups!$W$4:$W$41))</f>
        <v>41</v>
      </c>
      <c r="I64" s="881">
        <f>IF($B64="","",SUMPRODUCT(--(Lineups!$S$4:$S$41=$B64),Lineups!$W$4:$W$41))</f>
        <v>6</v>
      </c>
      <c r="J64" s="883">
        <f t="shared" si="115"/>
        <v>55</v>
      </c>
      <c r="K64" s="43"/>
      <c r="L64" s="883">
        <f t="shared" si="116"/>
        <v>55</v>
      </c>
      <c r="M64" s="43"/>
      <c r="N64" s="43"/>
      <c r="O64" s="883">
        <f>IF($B64="","",SUMPRODUCT(--(Lineups!$C$4:$C$41=$B64),Lineups!$W$4:$W$41))</f>
        <v>0</v>
      </c>
      <c r="P64" s="43"/>
      <c r="Q64" s="883">
        <f t="shared" si="117"/>
        <v>55</v>
      </c>
      <c r="R64" s="43"/>
      <c r="S64" s="43"/>
      <c r="T64" s="883">
        <f t="shared" si="118"/>
        <v>10</v>
      </c>
      <c r="U64" s="888" t="str">
        <f t="shared" ref="U64:V64" si="138">U18</f>
        <v>39</v>
      </c>
      <c r="V64" s="888" t="str">
        <f t="shared" si="138"/>
        <v>Gaffney</v>
      </c>
      <c r="W64" s="883">
        <f>IF($U64="","",SUMPRODUCT(--(Lineups!$AG$4:$AG$41=$U64),--(Lineups!$AB$4:$AB$41=""),Lineups!$AW$4:$AW$41))</f>
        <v>0</v>
      </c>
      <c r="X64" s="43"/>
      <c r="Y64" s="881">
        <f>IF($U64="","",SUMPRODUCT(--(Lineups!$AG$4:$AG$41=$U64),--(Lineups!$AB$4:$AB$41="X"),Lineups!$AW$4:$AW$41))</f>
        <v>0</v>
      </c>
      <c r="Z64" s="881">
        <f>IF($U64="","",SUMPRODUCT(--(Lineups!$AK$4:$AK$41=$U64),Lineups!$AW$4:$AW$41))</f>
        <v>4</v>
      </c>
      <c r="AA64" s="881">
        <f>IF($U64="","",SUMPRODUCT(--(Lineups!$AO$4:$AO$41=$U64),Lineups!$AW$4:$AW$41))</f>
        <v>7</v>
      </c>
      <c r="AB64" s="881">
        <f>IF($U64="","",SUMPRODUCT(--(Lineups!$AS$4:$AS$41=$U64),Lineups!$AW$4:$AW$41))</f>
        <v>13</v>
      </c>
      <c r="AC64" s="883">
        <f t="shared" si="120"/>
        <v>24</v>
      </c>
      <c r="AD64" s="43"/>
      <c r="AE64" s="883">
        <f t="shared" si="121"/>
        <v>24</v>
      </c>
      <c r="AF64" s="43"/>
      <c r="AG64" s="43"/>
      <c r="AH64" s="883">
        <f>IF($U64="","",SUMPRODUCT(--(Lineups!$AC$4:$AC$41=$U64),Lineups!$AW$4:$AW$41))</f>
        <v>0</v>
      </c>
      <c r="AI64" s="43"/>
      <c r="AJ64" s="883">
        <f t="shared" si="122"/>
        <v>24</v>
      </c>
      <c r="AK64" s="43"/>
    </row>
    <row r="65" ht="13.5" customHeight="1">
      <c r="A65" s="5">
        <f t="shared" si="113"/>
        <v>11</v>
      </c>
      <c r="B65" s="630" t="str">
        <f t="shared" ref="B65:C65" si="139">B19</f>
        <v>8000</v>
      </c>
      <c r="C65" s="630" t="str">
        <f t="shared" si="139"/>
        <v>Killifornia</v>
      </c>
      <c r="D65" s="5">
        <f>IF($B65="","",SUMPRODUCT(--(Lineups!$G$4:$G$41=$B65),--(Lineups!$B$4:$B$41=""),Lineups!$W$4:$W$41))</f>
        <v>34</v>
      </c>
      <c r="E65" s="43"/>
      <c r="F65" s="881">
        <f>IF($B65="","",SUMPRODUCT(--(Lineups!$G$4:$G$41=$B65),--(Lineups!$B$4:$B$41="X"),Lineups!$W$4:$W$41))</f>
        <v>0</v>
      </c>
      <c r="G65" s="881">
        <f>IF($B65="","",SUMPRODUCT(--(Lineups!$K$4:$K$41=$B65),Lineups!$W$4:$W$41))</f>
        <v>4</v>
      </c>
      <c r="H65" s="881">
        <f>IF($B65="","",SUMPRODUCT(--(Lineups!$O$4:$O$41=$B65),Lineups!$W$4:$W$41))</f>
        <v>0</v>
      </c>
      <c r="I65" s="881">
        <f>IF($B65="","",SUMPRODUCT(--(Lineups!$S$4:$S$41=$B65),Lineups!$W$4:$W$41))</f>
        <v>0</v>
      </c>
      <c r="J65" s="5">
        <f t="shared" si="115"/>
        <v>4</v>
      </c>
      <c r="K65" s="43"/>
      <c r="L65" s="5">
        <f t="shared" si="116"/>
        <v>38</v>
      </c>
      <c r="M65" s="43"/>
      <c r="N65" s="43"/>
      <c r="O65" s="5">
        <f>IF($B65="","",SUMPRODUCT(--(Lineups!$C$4:$C$41=$B65),Lineups!$W$4:$W$41))</f>
        <v>0</v>
      </c>
      <c r="P65" s="43"/>
      <c r="Q65" s="5">
        <f t="shared" si="117"/>
        <v>38</v>
      </c>
      <c r="R65" s="43"/>
      <c r="S65" s="43"/>
      <c r="T65" s="5">
        <f t="shared" si="118"/>
        <v>11</v>
      </c>
      <c r="U65" s="630" t="str">
        <f t="shared" ref="U65:V65" si="140">U19</f>
        <v>48</v>
      </c>
      <c r="V65" s="630" t="str">
        <f t="shared" si="140"/>
        <v>Brute</v>
      </c>
      <c r="W65" s="5">
        <f>IF($U65="","",SUMPRODUCT(--(Lineups!$AG$4:$AG$41=$U65),--(Lineups!$AB$4:$AB$41=""),Lineups!$AW$4:$AW$41))</f>
        <v>22</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22</v>
      </c>
      <c r="AF65" s="43"/>
      <c r="AG65" s="43"/>
      <c r="AH65" s="5">
        <f>IF($U65="","",SUMPRODUCT(--(Lineups!$AC$4:$AC$41=$U65),Lineups!$AW$4:$AW$41))</f>
        <v>0</v>
      </c>
      <c r="AI65" s="43"/>
      <c r="AJ65" s="5">
        <f t="shared" si="122"/>
        <v>22</v>
      </c>
      <c r="AK65" s="43"/>
    </row>
    <row r="66" ht="13.5" customHeight="1">
      <c r="A66" s="883">
        <f t="shared" si="113"/>
        <v>12</v>
      </c>
      <c r="B66" s="888" t="str">
        <f t="shared" ref="B66:C66" si="141">B20</f>
        <v>90</v>
      </c>
      <c r="C66" s="888" t="str">
        <f t="shared" si="141"/>
        <v>Wee Bonnie Bruiser</v>
      </c>
      <c r="D66" s="883">
        <f>IF($B66="","",SUMPRODUCT(--(Lineups!$G$4:$G$41=$B66),--(Lineups!$B$4:$B$41=""),Lineups!$W$4:$W$41))</f>
        <v>21</v>
      </c>
      <c r="E66" s="43"/>
      <c r="F66" s="881">
        <f>IF($B66="","",SUMPRODUCT(--(Lineups!$G$4:$G$41=$B66),--(Lineups!$B$4:$B$41="X"),Lineups!$W$4:$W$41))</f>
        <v>0</v>
      </c>
      <c r="G66" s="881">
        <f>IF($B66="","",SUMPRODUCT(--(Lineups!$K$4:$K$41=$B66),Lineups!$W$4:$W$41))</f>
        <v>6</v>
      </c>
      <c r="H66" s="881">
        <f>IF($B66="","",SUMPRODUCT(--(Lineups!$O$4:$O$41=$B66),Lineups!$W$4:$W$41))</f>
        <v>0</v>
      </c>
      <c r="I66" s="881">
        <f>IF($B66="","",SUMPRODUCT(--(Lineups!$S$4:$S$41=$B66),Lineups!$W$4:$W$41))</f>
        <v>0</v>
      </c>
      <c r="J66" s="883">
        <f t="shared" si="115"/>
        <v>6</v>
      </c>
      <c r="K66" s="43"/>
      <c r="L66" s="883">
        <f t="shared" si="116"/>
        <v>27</v>
      </c>
      <c r="M66" s="43"/>
      <c r="N66" s="43"/>
      <c r="O66" s="883">
        <f>IF($B66="","",SUMPRODUCT(--(Lineups!$C$4:$C$41=$B66),Lineups!$W$4:$W$41))</f>
        <v>0</v>
      </c>
      <c r="P66" s="43"/>
      <c r="Q66" s="883">
        <f t="shared" si="117"/>
        <v>27</v>
      </c>
      <c r="R66" s="43"/>
      <c r="S66" s="43"/>
      <c r="T66" s="883">
        <f t="shared" si="118"/>
        <v>12</v>
      </c>
      <c r="U66" s="888" t="str">
        <f t="shared" ref="U66:V66" si="142">U20</f>
        <v>700</v>
      </c>
      <c r="V66" s="888" t="str">
        <f t="shared" si="142"/>
        <v>Springroll</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v>
      </c>
      <c r="AI66" s="43"/>
      <c r="AJ66" s="883">
        <f t="shared" si="122"/>
        <v>2</v>
      </c>
      <c r="AK66" s="43"/>
    </row>
    <row r="67" ht="13.5" customHeight="1">
      <c r="A67" s="5">
        <f t="shared" si="113"/>
        <v>13</v>
      </c>
      <c r="B67" s="630" t="str">
        <f t="shared" ref="B67:C67" si="143">B21</f>
        <v>919</v>
      </c>
      <c r="C67" s="630" t="str">
        <f t="shared" si="143"/>
        <v>Grizz</v>
      </c>
      <c r="D67" s="5">
        <f>IF($B67="","",SUMPRODUCT(--(Lineups!$G$4:$G$41=$B67),--(Lineups!$B$4:$B$41=""),Lineups!$W$4:$W$41))</f>
        <v>0</v>
      </c>
      <c r="E67" s="43"/>
      <c r="F67" s="881">
        <f>IF($B67="","",SUMPRODUCT(--(Lineups!$G$4:$G$41=$B67),--(Lineups!$B$4:$B$41="X"),Lineups!$W$4:$W$41))</f>
        <v>0</v>
      </c>
      <c r="G67" s="881">
        <f>IF($B67="","",SUMPRODUCT(--(Lineups!$K$4:$K$41=$B67),Lineups!$W$4:$W$41))</f>
        <v>29</v>
      </c>
      <c r="H67" s="881">
        <f>IF($B67="","",SUMPRODUCT(--(Lineups!$O$4:$O$41=$B67),Lineups!$W$4:$W$41))</f>
        <v>0</v>
      </c>
      <c r="I67" s="881">
        <f>IF($B67="","",SUMPRODUCT(--(Lineups!$S$4:$S$41=$B67),Lineups!$W$4:$W$41))</f>
        <v>20</v>
      </c>
      <c r="J67" s="5">
        <f t="shared" si="115"/>
        <v>49</v>
      </c>
      <c r="K67" s="43"/>
      <c r="L67" s="5">
        <f t="shared" si="116"/>
        <v>49</v>
      </c>
      <c r="M67" s="43"/>
      <c r="N67" s="43"/>
      <c r="O67" s="5">
        <f>IF($B67="","",SUMPRODUCT(--(Lineups!$C$4:$C$41=$B67),Lineups!$W$4:$W$41))</f>
        <v>0</v>
      </c>
      <c r="P67" s="43"/>
      <c r="Q67" s="5">
        <f t="shared" si="117"/>
        <v>49</v>
      </c>
      <c r="R67" s="43"/>
      <c r="S67" s="43"/>
      <c r="T67" s="5">
        <f t="shared" si="118"/>
        <v>13</v>
      </c>
      <c r="U67" s="630" t="str">
        <f t="shared" ref="U67:V67" si="144">U21</f>
        <v>71</v>
      </c>
      <c r="V67" s="630" t="str">
        <f t="shared" si="144"/>
        <v>Danger Potato</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3">
        <f t="shared" si="113"/>
        <v>14</v>
      </c>
      <c r="B68" s="888" t="str">
        <f t="shared" ref="B68:C68" si="145">B22</f>
        <v>949</v>
      </c>
      <c r="C68" s="888" t="str">
        <f t="shared" si="145"/>
        <v>Coyote</v>
      </c>
      <c r="D68" s="883">
        <f>IF($B68="","",SUMPRODUCT(--(Lineups!$G$4:$G$41=$B68),--(Lineups!$B$4:$B$41=""),Lineups!$W$4:$W$41))</f>
        <v>0</v>
      </c>
      <c r="E68" s="43"/>
      <c r="F68" s="881">
        <f>IF($B68="","",SUMPRODUCT(--(Lineups!$G$4:$G$41=$B68),--(Lineups!$B$4:$B$41="X"),Lineups!$W$4:$W$41))</f>
        <v>0</v>
      </c>
      <c r="G68" s="881">
        <f>IF($B68="","",SUMPRODUCT(--(Lineups!$K$4:$K$41=$B68),Lineups!$W$4:$W$41))</f>
        <v>17</v>
      </c>
      <c r="H68" s="881">
        <f>IF($B68="","",SUMPRODUCT(--(Lineups!$O$4:$O$41=$B68),Lineups!$W$4:$W$41))</f>
        <v>4</v>
      </c>
      <c r="I68" s="881">
        <f>IF($B68="","",SUMPRODUCT(--(Lineups!$S$4:$S$41=$B68),Lineups!$W$4:$W$41))</f>
        <v>32</v>
      </c>
      <c r="J68" s="883">
        <f t="shared" si="115"/>
        <v>53</v>
      </c>
      <c r="K68" s="43"/>
      <c r="L68" s="883">
        <f t="shared" si="116"/>
        <v>53</v>
      </c>
      <c r="M68" s="43"/>
      <c r="N68" s="43"/>
      <c r="O68" s="883">
        <f>IF($B68="","",SUMPRODUCT(--(Lineups!$C$4:$C$41=$B68),Lineups!$W$4:$W$41))</f>
        <v>0</v>
      </c>
      <c r="P68" s="43"/>
      <c r="Q68" s="883">
        <f t="shared" si="117"/>
        <v>53</v>
      </c>
      <c r="R68" s="43"/>
      <c r="S68" s="43"/>
      <c r="T68" s="883">
        <f t="shared" si="118"/>
        <v>14</v>
      </c>
      <c r="U68" s="888" t="str">
        <f t="shared" ref="U68:V68" si="146">U22</f>
        <v>79</v>
      </c>
      <c r="V68" s="888" t="str">
        <f t="shared" si="146"/>
        <v>Lil RegulateHer</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14</v>
      </c>
      <c r="AI68" s="43"/>
      <c r="AJ68" s="883">
        <f t="shared" si="122"/>
        <v>14</v>
      </c>
      <c r="AK68" s="43"/>
    </row>
    <row r="69" ht="13.5" customHeight="1">
      <c r="A69" s="5">
        <f t="shared" si="113"/>
        <v>15</v>
      </c>
      <c r="B69" s="630" t="str">
        <f t="shared" ref="B69:C69" si="147">B23</f>
        <v>99</v>
      </c>
      <c r="C69" s="630" t="str">
        <f t="shared" si="147"/>
        <v>Chinaski</v>
      </c>
      <c r="D69" s="5">
        <f>IF($B69="","",SUMPRODUCT(--(Lineups!$G$4:$G$41=$B69),--(Lineups!$B$4:$B$41=""),Lineups!$W$4:$W$41))</f>
        <v>0</v>
      </c>
      <c r="E69" s="43"/>
      <c r="F69" s="881">
        <f>IF($B69="","",SUMPRODUCT(--(Lineups!$G$4:$G$41=$B69),--(Lineups!$B$4:$B$41="X"),Lineups!$W$4:$W$41))</f>
        <v>0</v>
      </c>
      <c r="G69" s="881">
        <f>IF($B69="","",SUMPRODUCT(--(Lineups!$K$4:$K$41=$B69),Lineups!$W$4:$W$41))</f>
        <v>12</v>
      </c>
      <c r="H69" s="881">
        <f>IF($B69="","",SUMPRODUCT(--(Lineups!$O$4:$O$41=$B69),Lineups!$W$4:$W$41))</f>
        <v>14</v>
      </c>
      <c r="I69" s="881">
        <f>IF($B69="","",SUMPRODUCT(--(Lineups!$S$4:$S$41=$B69),Lineups!$W$4:$W$41))</f>
        <v>27</v>
      </c>
      <c r="J69" s="5">
        <f t="shared" si="115"/>
        <v>53</v>
      </c>
      <c r="K69" s="43"/>
      <c r="L69" s="5">
        <f t="shared" si="116"/>
        <v>53</v>
      </c>
      <c r="M69" s="43"/>
      <c r="N69" s="43"/>
      <c r="O69" s="5">
        <f>IF($B69="","",SUMPRODUCT(--(Lineups!$C$4:$C$41=$B69),Lineups!$W$4:$W$41))</f>
        <v>0</v>
      </c>
      <c r="P69" s="43"/>
      <c r="Q69" s="5">
        <f t="shared" si="117"/>
        <v>53</v>
      </c>
      <c r="R69" s="43"/>
      <c r="S69" s="43"/>
      <c r="T69" s="5">
        <f t="shared" si="118"/>
        <v>15</v>
      </c>
      <c r="U69" s="630" t="str">
        <f t="shared" ref="U69:V69" si="148">U23</f>
        <v>89</v>
      </c>
      <c r="V69" s="630" t="str">
        <f t="shared" si="148"/>
        <v>High Roller</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2</v>
      </c>
      <c r="AB69" s="881">
        <f>IF($U69="","",SUMPRODUCT(--(Lineups!$AS$4:$AS$41=$U69),Lineups!$AW$4:$AW$41))</f>
        <v>4</v>
      </c>
      <c r="AC69" s="5">
        <f t="shared" si="120"/>
        <v>6</v>
      </c>
      <c r="AD69" s="43"/>
      <c r="AE69" s="5">
        <f t="shared" si="121"/>
        <v>6</v>
      </c>
      <c r="AF69" s="43"/>
      <c r="AG69" s="43"/>
      <c r="AH69" s="5">
        <f>IF($U69="","",SUMPRODUCT(--(Lineups!$AC$4:$AC$41=$U69),Lineups!$AW$4:$AW$41))</f>
        <v>0</v>
      </c>
      <c r="AI69" s="43"/>
      <c r="AJ69" s="5">
        <f t="shared" si="122"/>
        <v>6</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414</v>
      </c>
      <c r="B76" s="8"/>
      <c r="C76" s="9"/>
      <c r="D76" s="874"/>
      <c r="E76" s="874"/>
      <c r="F76" s="874"/>
      <c r="G76" s="874"/>
      <c r="H76" s="874"/>
      <c r="I76" s="874"/>
      <c r="J76" s="874"/>
      <c r="K76" s="874"/>
      <c r="L76" s="874"/>
      <c r="M76" s="874"/>
      <c r="N76" s="874"/>
      <c r="O76" s="874"/>
      <c r="P76" s="874"/>
      <c r="Q76" s="874"/>
      <c r="R76" s="874"/>
      <c r="S76" s="43"/>
      <c r="T76" s="873" t="s">
        <v>414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402</v>
      </c>
      <c r="C77" s="875" t="s">
        <v>403</v>
      </c>
      <c r="D77" s="875" t="s">
        <v>261</v>
      </c>
      <c r="E77" s="5"/>
      <c r="F77" s="877" t="s">
        <v>262</v>
      </c>
      <c r="G77" s="877" t="s">
        <v>262</v>
      </c>
      <c r="H77" s="877" t="s">
        <v>262</v>
      </c>
      <c r="I77" s="877" t="s">
        <v>262</v>
      </c>
      <c r="J77" s="875" t="s">
        <v>405</v>
      </c>
      <c r="K77" s="5"/>
      <c r="L77" s="875" t="s">
        <v>407</v>
      </c>
      <c r="M77" s="5"/>
      <c r="N77" s="878" t="s">
        <v>409</v>
      </c>
      <c r="O77" s="875" t="s">
        <v>259</v>
      </c>
      <c r="P77" s="5"/>
      <c r="Q77" s="875" t="s">
        <v>376</v>
      </c>
      <c r="R77" s="5"/>
      <c r="S77" s="5"/>
      <c r="T77" s="875">
        <v>0.0</v>
      </c>
      <c r="U77" s="875" t="s">
        <v>402</v>
      </c>
      <c r="V77" s="875" t="s">
        <v>403</v>
      </c>
      <c r="W77" s="875" t="s">
        <v>261</v>
      </c>
      <c r="X77" s="5"/>
      <c r="Y77" s="877" t="s">
        <v>262</v>
      </c>
      <c r="Z77" s="877" t="s">
        <v>262</v>
      </c>
      <c r="AA77" s="877" t="s">
        <v>262</v>
      </c>
      <c r="AB77" s="877" t="s">
        <v>262</v>
      </c>
      <c r="AC77" s="875" t="s">
        <v>405</v>
      </c>
      <c r="AD77" s="5"/>
      <c r="AE77" s="875" t="s">
        <v>407</v>
      </c>
      <c r="AF77" s="5"/>
      <c r="AG77" s="878" t="s">
        <v>409</v>
      </c>
      <c r="AH77" s="875" t="s">
        <v>259</v>
      </c>
      <c r="AI77" s="5"/>
      <c r="AJ77" s="875" t="s">
        <v>376</v>
      </c>
      <c r="AK77" s="5"/>
    </row>
    <row r="78" ht="13.5" customHeight="1">
      <c r="A78" s="5">
        <f t="shared" ref="A78:A97" si="161">A77+1</f>
        <v>1</v>
      </c>
      <c r="B78" s="630" t="str">
        <f t="shared" ref="B78:C78" si="159">B9</f>
        <v>10</v>
      </c>
      <c r="C78" s="630" t="str">
        <f t="shared" si="159"/>
        <v>Unprotected Lex</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11</v>
      </c>
      <c r="V78" s="630" t="str">
        <f t="shared" si="160"/>
        <v>Bertha Beatdown</v>
      </c>
      <c r="W78" s="5">
        <f>IF($U78="","",SUMPRODUCT(--(Lineups!$AG$4:$AG$41=$U78),--(Lineups!$AB$4:$AB$41=""),Lineups!$W$4:$W$41)+SUMPRODUCT(--(Lineups!$AA$5:$AA$42="SP*"),--(Lineups!$AG$4:$AG$41=$U78),--(Lineups!$AB$4:$AB$41=""),Lineups!$W$5:$W$42))</f>
        <v>4</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12</v>
      </c>
      <c r="AA78" s="881">
        <f>IF($U78="","",SUMPRODUCT(--(Lineups!$AO$4:$AO$41=$U78),Lineups!$W$4:$W$41) + SUMPRODUCT(--(Lineups!$AA$5:$AA$42="SP*"),--(Lineups!$AO$4:$AO$41=$U78),Lineups!$W$5:$W$42))</f>
        <v>16</v>
      </c>
      <c r="AB78" s="881">
        <f>IF($U78="","",SUMPRODUCT(--(Lineups!$AS$4:$AS$41=$U78),Lineups!$W$4:$W$41) + SUMPRODUCT(--(Lineups!$AA$5:$AA$42="SP*"),--(Lineups!$AS$4:$AS$41=$U78),Lineups!$W$5:$W$42))</f>
        <v>2</v>
      </c>
      <c r="AC78" s="5">
        <f t="shared" ref="AC78:AC97" si="168">IF(U78="","",SUM(Y78:AB78))</f>
        <v>30</v>
      </c>
      <c r="AD78" s="43"/>
      <c r="AE78" s="5">
        <f t="shared" ref="AE78:AE97" si="169">IF(U78="","",SUM(W78,AC78))</f>
        <v>34</v>
      </c>
      <c r="AF78" s="43"/>
      <c r="AG78" s="43"/>
      <c r="AH78" s="5">
        <f>IF($U78="","",SUMPRODUCT(--(Lineups!$AC$4:$AC$41=$U78),Lineups!$W$4:$W$41) + SUMPRODUCT(--(Lineups!$AA$5:$AA$42="SP*"),--(Lineups!$AC$4:$AC$41=$U78),Lineups!$W$5:$W$42))</f>
        <v>0</v>
      </c>
      <c r="AI78" s="43"/>
      <c r="AJ78" s="5">
        <f t="shared" ref="AJ78:AJ97" si="170">IF(U78="","",SUM(AE78,AH78))</f>
        <v>34</v>
      </c>
      <c r="AK78" s="43"/>
    </row>
    <row r="79" ht="13.5" customHeight="1">
      <c r="A79" s="883">
        <f t="shared" si="161"/>
        <v>2</v>
      </c>
      <c r="B79" s="888" t="str">
        <f t="shared" ref="B79:C79" si="162">B10</f>
        <v>1706</v>
      </c>
      <c r="C79" s="888" t="str">
        <f t="shared" si="162"/>
        <v>Maven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15</v>
      </c>
      <c r="P79" s="43"/>
      <c r="Q79" s="883">
        <f t="shared" si="165"/>
        <v>15</v>
      </c>
      <c r="R79" s="43"/>
      <c r="S79" s="43"/>
      <c r="T79" s="883">
        <f t="shared" si="166"/>
        <v>2</v>
      </c>
      <c r="U79" s="888" t="str">
        <f t="shared" ref="U79:V79" si="167">U10</f>
        <v>128</v>
      </c>
      <c r="V79" s="888" t="str">
        <f t="shared" si="167"/>
        <v>Carl</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8</v>
      </c>
      <c r="AD79" s="43"/>
      <c r="AE79" s="883">
        <f t="shared" si="169"/>
        <v>8</v>
      </c>
      <c r="AF79" s="43"/>
      <c r="AG79" s="43"/>
      <c r="AH79" s="883">
        <f>IF($U79="","",SUMPRODUCT(--(Lineups!$AC$4:$AC$41=$U79),Lineups!$W$4:$W$41) + SUMPRODUCT(--(Lineups!$AA$5:$AA$42="SP*"),--(Lineups!$AC$4:$AC$41=$U79),Lineups!$W$5:$W$42))</f>
        <v>0</v>
      </c>
      <c r="AI79" s="43"/>
      <c r="AJ79" s="883">
        <f t="shared" si="170"/>
        <v>8</v>
      </c>
      <c r="AK79" s="43"/>
    </row>
    <row r="80" ht="13.5" customHeight="1">
      <c r="A80" s="5">
        <f t="shared" si="161"/>
        <v>3</v>
      </c>
      <c r="B80" s="630" t="str">
        <f t="shared" ref="B80:C80" si="171">B11</f>
        <v>2</v>
      </c>
      <c r="C80" s="630" t="str">
        <f t="shared" si="171"/>
        <v>Taryn</v>
      </c>
      <c r="D80" s="5">
        <f>IF($B80="","",SUMPRODUCT(--(Lineups!$G$4:$G$41=$B80),--(Lineups!$B$4:$B$41=""),Lineups!$AW$4:$AW$41)+SUMPRODUCT(--(Lineups!$A$5:$A$42="SP*"),--(Lineups!$G$4:$G$41=$B80),--(Lineups!$B$4:$B$41=""),Lineups!$AW$5:$AW$42))</f>
        <v>2</v>
      </c>
      <c r="E80" s="43"/>
      <c r="F80" s="881">
        <f>IF($B80="","",SUMPRODUCT(--(Lineups!$G$4:$G$41=$B80),--(Lineups!$B$4:$B$41="X"),Lineups!$AW$4:$AW$41)+SUMPRODUCT(--(Lineups!$A$5:$A$42="SP*"),--(Lineups!$G$4:$G$41=$B80),--(Lineups!$B$4:$B$41="X"),Lineups!$AW$5:$AW$42))</f>
        <v>0</v>
      </c>
      <c r="G80" s="881">
        <f>IF($B80="","",SUMPRODUCT(--(Lineups!$K$4:$K$41=$B80),Lineups!$AW$4:$AW$41) + SUMPRODUCT(--(Lineups!$A$5:$A$42="SP*"),--(Lineups!$K$4:$K$41=$B80),Lineups!$AW$5:$AW$42))</f>
        <v>2</v>
      </c>
      <c r="H80" s="881">
        <f>IF($B80="","",SUMPRODUCT(--(Lineups!$O$4:$O$41=$B80),Lineups!$AW$4:$AW$41) + SUMPRODUCT(--(Lineups!$A$5:$A$42="SP*"),--(Lineups!$O$4:$O$41=$B80),Lineups!$AW$5:$AW$42))</f>
        <v>0</v>
      </c>
      <c r="I80" s="881">
        <f>IF($B80="","",SUMPRODUCT(--(Lineups!$S$4:$S$41=$B80),Lineups!$AW$4:$AW$41) + SUMPRODUCT(--(Lineups!$A$5:$A$42="SP*"),--(Lineups!$S$4:$S$41=$B80),Lineups!$AW$5:$AW$42))</f>
        <v>4</v>
      </c>
      <c r="J80" s="5">
        <f t="shared" si="163"/>
        <v>6</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0" t="str">
        <f t="shared" ref="U80:V80" si="172">U11</f>
        <v>139</v>
      </c>
      <c r="V80" s="630" t="str">
        <f t="shared" si="172"/>
        <v>Katie Postma</v>
      </c>
      <c r="W80" s="5">
        <f>IF($U80="","",SUMPRODUCT(--(Lineups!$AG$4:$AG$41=$U80),--(Lineups!$AB$4:$AB$41=""),Lineups!$W$4:$W$41)+SUMPRODUCT(--(Lineups!$AA$5:$AA$42="SP*"),--(Lineups!$AG$4:$AG$41=$U80),--(Lineups!$AB$4:$AB$41=""),Lineups!$W$5:$W$42))</f>
        <v>23</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8</v>
      </c>
      <c r="AC80" s="5">
        <f t="shared" si="168"/>
        <v>8</v>
      </c>
      <c r="AD80" s="43"/>
      <c r="AE80" s="5">
        <f t="shared" si="169"/>
        <v>31</v>
      </c>
      <c r="AF80" s="43"/>
      <c r="AG80" s="43"/>
      <c r="AH80" s="5">
        <f>IF($U80="","",SUMPRODUCT(--(Lineups!$AC$4:$AC$41=$U80),Lineups!$W$4:$W$41) + SUMPRODUCT(--(Lineups!$AA$5:$AA$42="SP*"),--(Lineups!$AC$4:$AC$41=$U80),Lineups!$W$5:$W$42))</f>
        <v>0</v>
      </c>
      <c r="AI80" s="43"/>
      <c r="AJ80" s="5">
        <f t="shared" si="170"/>
        <v>31</v>
      </c>
      <c r="AK80" s="43"/>
    </row>
    <row r="81" ht="13.5" customHeight="1">
      <c r="A81" s="883">
        <f t="shared" si="161"/>
        <v>4</v>
      </c>
      <c r="B81" s="888" t="str">
        <f t="shared" ref="B81:C81" si="173">B12</f>
        <v>22</v>
      </c>
      <c r="C81" s="888" t="str">
        <f t="shared" si="173"/>
        <v>Scara to Death</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4</v>
      </c>
      <c r="I81" s="881">
        <f>IF($B81="","",SUMPRODUCT(--(Lineups!$S$4:$S$41=$B81),Lineups!$AW$4:$AW$41) + SUMPRODUCT(--(Lineups!$A$5:$A$42="SP*"),--(Lineups!$S$4:$S$41=$B81),Lineups!$AW$5:$AW$42))</f>
        <v>2</v>
      </c>
      <c r="J81" s="883">
        <f t="shared" si="163"/>
        <v>6</v>
      </c>
      <c r="K81" s="43"/>
      <c r="L81" s="883">
        <f t="shared" si="164"/>
        <v>6</v>
      </c>
      <c r="M81" s="43"/>
      <c r="N81" s="43"/>
      <c r="O81" s="883">
        <f>IF($B81="","",SUMPRODUCT(--(Lineups!$C$4:$C$41=$B81),Lineups!$AW$4:$AW$41) + SUMPRODUCT(--(Lineups!$A$5:$A$42="SP*"),--(Lineups!$C$4:$C$41=$B81),Lineups!$AW$5:$AW$42))</f>
        <v>0</v>
      </c>
      <c r="P81" s="43"/>
      <c r="Q81" s="883">
        <f t="shared" si="165"/>
        <v>6</v>
      </c>
      <c r="R81" s="43"/>
      <c r="S81" s="43"/>
      <c r="T81" s="883">
        <f t="shared" si="166"/>
        <v>4</v>
      </c>
      <c r="U81" s="888" t="str">
        <f t="shared" ref="U81:V81" si="174">U12</f>
        <v>22</v>
      </c>
      <c r="V81" s="888" t="str">
        <f t="shared" si="174"/>
        <v>Habanero Romero</v>
      </c>
      <c r="W81" s="883">
        <f>IF($U81="","",SUMPRODUCT(--(Lineups!$AG$4:$AG$41=$U81),--(Lineups!$AB$4:$AB$41=""),Lineups!$W$4:$W$41)+SUMPRODUCT(--(Lineups!$AA$5:$AA$42="SP*"),--(Lineups!$AG$4:$AG$41=$U81),--(Lineups!$AB$4:$AB$41=""),Lineups!$W$5:$W$42))</f>
        <v>28</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35</v>
      </c>
      <c r="AA81" s="881">
        <f>IF($U81="","",SUMPRODUCT(--(Lineups!$AO$4:$AO$41=$U81),Lineups!$W$4:$W$41) + SUMPRODUCT(--(Lineups!$AA$5:$AA$42="SP*"),--(Lineups!$AO$4:$AO$41=$U81),Lineups!$W$5:$W$42))</f>
        <v>1</v>
      </c>
      <c r="AB81" s="881">
        <f>IF($U81="","",SUMPRODUCT(--(Lineups!$AS$4:$AS$41=$U81),Lineups!$W$4:$W$41) + SUMPRODUCT(--(Lineups!$AA$5:$AA$42="SP*"),--(Lineups!$AS$4:$AS$41=$U81),Lineups!$W$5:$W$42))</f>
        <v>4</v>
      </c>
      <c r="AC81" s="883">
        <f t="shared" si="168"/>
        <v>40</v>
      </c>
      <c r="AD81" s="43"/>
      <c r="AE81" s="883">
        <f t="shared" si="169"/>
        <v>68</v>
      </c>
      <c r="AF81" s="43"/>
      <c r="AG81" s="43"/>
      <c r="AH81" s="883">
        <f>IF($U81="","",SUMPRODUCT(--(Lineups!$AC$4:$AC$41=$U81),Lineups!$W$4:$W$41) + SUMPRODUCT(--(Lineups!$AA$5:$AA$42="SP*"),--(Lineups!$AC$4:$AC$41=$U81),Lineups!$W$5:$W$42))</f>
        <v>0</v>
      </c>
      <c r="AI81" s="43"/>
      <c r="AJ81" s="883">
        <f t="shared" si="170"/>
        <v>68</v>
      </c>
      <c r="AK81" s="43"/>
    </row>
    <row r="82" ht="13.5" customHeight="1">
      <c r="A82" s="5">
        <f t="shared" si="161"/>
        <v>5</v>
      </c>
      <c r="B82" s="630" t="str">
        <f t="shared" ref="B82:C82" si="175">B13</f>
        <v>27</v>
      </c>
      <c r="C82" s="630" t="str">
        <f t="shared" si="175"/>
        <v>Gobrecht</v>
      </c>
      <c r="D82" s="5">
        <f>IF($B82="","",SUMPRODUCT(--(Lineups!$G$4:$G$41=$B82),--(Lineups!$B$4:$B$41=""),Lineups!$AW$4:$AW$41)+SUMPRODUCT(--(Lineups!$A$5:$A$42="SP*"),--(Lineups!$G$4:$G$41=$B82),--(Lineups!$B$4:$B$41=""),Lineups!$AW$5:$AW$42))</f>
        <v>4</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30" t="str">
        <f t="shared" ref="U82:V82" si="176">U13</f>
        <v>241</v>
      </c>
      <c r="V82" s="630" t="str">
        <f t="shared" si="176"/>
        <v>Lilly Pate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34</v>
      </c>
      <c r="AA82" s="881">
        <f>IF($U82="","",SUMPRODUCT(--(Lineups!$AO$4:$AO$41=$U82),Lineups!$W$4:$W$41) + SUMPRODUCT(--(Lineups!$AA$5:$AA$42="SP*"),--(Lineups!$AO$4:$AO$41=$U82),Lineups!$W$5:$W$42))</f>
        <v>11</v>
      </c>
      <c r="AB82" s="881">
        <f>IF($U82="","",SUMPRODUCT(--(Lineups!$AS$4:$AS$41=$U82),Lineups!$W$4:$W$41) + SUMPRODUCT(--(Lineups!$AA$5:$AA$42="SP*"),--(Lineups!$AS$4:$AS$41=$U82),Lineups!$W$5:$W$42))</f>
        <v>8</v>
      </c>
      <c r="AC82" s="5">
        <f t="shared" si="168"/>
        <v>53</v>
      </c>
      <c r="AD82" s="43"/>
      <c r="AE82" s="5">
        <f t="shared" si="169"/>
        <v>53</v>
      </c>
      <c r="AF82" s="43"/>
      <c r="AG82" s="43"/>
      <c r="AH82" s="5">
        <f>IF($U82="","",SUMPRODUCT(--(Lineups!$AC$4:$AC$41=$U82),Lineups!$W$4:$W$41) + SUMPRODUCT(--(Lineups!$AA$5:$AA$42="SP*"),--(Lineups!$AC$4:$AC$41=$U82),Lineups!$W$5:$W$42))</f>
        <v>0</v>
      </c>
      <c r="AI82" s="43"/>
      <c r="AJ82" s="5">
        <f t="shared" si="170"/>
        <v>53</v>
      </c>
      <c r="AK82" s="43"/>
    </row>
    <row r="83" ht="13.5" customHeight="1">
      <c r="A83" s="883">
        <f t="shared" si="161"/>
        <v>6</v>
      </c>
      <c r="B83" s="888" t="str">
        <f t="shared" ref="B83:C83" si="177">B14</f>
        <v>33</v>
      </c>
      <c r="C83" s="888" t="str">
        <f t="shared" si="177"/>
        <v>Klein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8</v>
      </c>
      <c r="P83" s="43"/>
      <c r="Q83" s="883">
        <f t="shared" si="165"/>
        <v>8</v>
      </c>
      <c r="R83" s="43"/>
      <c r="S83" s="43"/>
      <c r="T83" s="883">
        <f t="shared" si="166"/>
        <v>6</v>
      </c>
      <c r="U83" s="888" t="str">
        <f t="shared" ref="U83:V83" si="178">U14</f>
        <v>316</v>
      </c>
      <c r="V83" s="888" t="str">
        <f t="shared" si="178"/>
        <v>Eve Anne Hellical</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20</v>
      </c>
      <c r="AI83" s="43"/>
      <c r="AJ83" s="883">
        <f t="shared" si="170"/>
        <v>20</v>
      </c>
      <c r="AK83" s="43"/>
    </row>
    <row r="84" ht="13.5" customHeight="1">
      <c r="A84" s="5">
        <f t="shared" si="161"/>
        <v>7</v>
      </c>
      <c r="B84" s="630" t="str">
        <f t="shared" ref="B84:C84" si="179">B15</f>
        <v>357</v>
      </c>
      <c r="C84" s="630" t="str">
        <f t="shared" si="179"/>
        <v>Bia Fraid</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343</v>
      </c>
      <c r="V84" s="630" t="str">
        <f t="shared" si="180"/>
        <v>Trinity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10</v>
      </c>
      <c r="AC84" s="5">
        <f t="shared" si="168"/>
        <v>10</v>
      </c>
      <c r="AD84" s="43"/>
      <c r="AE84" s="5">
        <f t="shared" si="169"/>
        <v>10</v>
      </c>
      <c r="AF84" s="43"/>
      <c r="AG84" s="43"/>
      <c r="AH84" s="5">
        <f>IF($U84="","",SUMPRODUCT(--(Lineups!$AC$4:$AC$41=$U84),Lineups!$W$4:$W$41) + SUMPRODUCT(--(Lineups!$AA$5:$AA$42="SP*"),--(Lineups!$AC$4:$AC$41=$U84),Lineups!$W$5:$W$42))</f>
        <v>20</v>
      </c>
      <c r="AI84" s="43"/>
      <c r="AJ84" s="5">
        <f t="shared" si="170"/>
        <v>30</v>
      </c>
      <c r="AK84" s="43"/>
    </row>
    <row r="85" ht="13.5" customHeight="1">
      <c r="A85" s="883">
        <f t="shared" si="161"/>
        <v>8</v>
      </c>
      <c r="B85" s="888" t="str">
        <f t="shared" ref="B85:C85" si="181">B16</f>
        <v>40</v>
      </c>
      <c r="C85" s="888" t="str">
        <f t="shared" si="181"/>
        <v>speedlejuice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360</v>
      </c>
      <c r="V85" s="888" t="str">
        <f t="shared" si="182"/>
        <v>Big Bang Fury</v>
      </c>
      <c r="W85" s="883">
        <f>IF($U85="","",SUMPRODUCT(--(Lineups!$AG$4:$AG$41=$U85),--(Lineups!$AB$4:$AB$41=""),Lineups!$W$4:$W$41)+SUMPRODUCT(--(Lineups!$AA$5:$AA$42="SP*"),--(Lineups!$AG$4:$AG$41=$U85),--(Lineups!$AB$4:$AB$41=""),Lineups!$W$5:$W$42))</f>
        <v>2</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12</v>
      </c>
      <c r="AA85" s="881">
        <f>IF($U85="","",SUMPRODUCT(--(Lineups!$AO$4:$AO$41=$U85),Lineups!$W$4:$W$41) + SUMPRODUCT(--(Lineups!$AA$5:$AA$42="SP*"),--(Lineups!$AO$4:$AO$41=$U85),Lineups!$W$5:$W$42))</f>
        <v>40</v>
      </c>
      <c r="AB85" s="881">
        <f>IF($U85="","",SUMPRODUCT(--(Lineups!$AS$4:$AS$41=$U85),Lineups!$W$4:$W$41) + SUMPRODUCT(--(Lineups!$AA$5:$AA$42="SP*"),--(Lineups!$AS$4:$AS$41=$U85),Lineups!$W$5:$W$42))</f>
        <v>11</v>
      </c>
      <c r="AC85" s="883">
        <f t="shared" si="168"/>
        <v>63</v>
      </c>
      <c r="AD85" s="43"/>
      <c r="AE85" s="883">
        <f t="shared" si="169"/>
        <v>65</v>
      </c>
      <c r="AF85" s="43"/>
      <c r="AG85" s="43"/>
      <c r="AH85" s="883">
        <f>IF($U85="","",SUMPRODUCT(--(Lineups!$AC$4:$AC$41=$U85),Lineups!$W$4:$W$41) + SUMPRODUCT(--(Lineups!$AA$5:$AA$42="SP*"),--(Lineups!$AC$4:$AC$41=$U85),Lineups!$W$5:$W$42))</f>
        <v>0</v>
      </c>
      <c r="AI85" s="43"/>
      <c r="AJ85" s="883">
        <f t="shared" si="170"/>
        <v>65</v>
      </c>
      <c r="AK85" s="43"/>
    </row>
    <row r="86" ht="13.5" customHeight="1">
      <c r="A86" s="5">
        <f t="shared" si="161"/>
        <v>9</v>
      </c>
      <c r="B86" s="630" t="str">
        <f t="shared" ref="B86:C86" si="183">B17</f>
        <v>50</v>
      </c>
      <c r="C86" s="630" t="str">
        <f t="shared" si="183"/>
        <v>Scald Eagle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5</v>
      </c>
      <c r="P86" s="43"/>
      <c r="Q86" s="5">
        <f t="shared" si="165"/>
        <v>5</v>
      </c>
      <c r="R86" s="43"/>
      <c r="S86" s="43"/>
      <c r="T86" s="5">
        <f t="shared" si="166"/>
        <v>9</v>
      </c>
      <c r="U86" s="630" t="str">
        <f t="shared" ref="U86:V86" si="184">U17</f>
        <v>37</v>
      </c>
      <c r="V86" s="630" t="str">
        <f t="shared" si="184"/>
        <v>Swagetha</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16</v>
      </c>
      <c r="AB86" s="881">
        <f>IF($U86="","",SUMPRODUCT(--(Lineups!$AS$4:$AS$41=$U86),Lineups!$W$4:$W$41) + SUMPRODUCT(--(Lineups!$AA$5:$AA$42="SP*"),--(Lineups!$AS$4:$AS$41=$U86),Lineups!$W$5:$W$42))</f>
        <v>8</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3.5" customHeight="1">
      <c r="A87" s="883">
        <f t="shared" si="161"/>
        <v>10</v>
      </c>
      <c r="B87" s="888" t="str">
        <f t="shared" ref="B87:C87" si="185">B18</f>
        <v>505</v>
      </c>
      <c r="C87" s="888" t="str">
        <f t="shared" si="185"/>
        <v>Elyse LeKraken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11</v>
      </c>
      <c r="H87" s="881">
        <f>IF($B87="","",SUMPRODUCT(--(Lineups!$O$4:$O$41=$B87),Lineups!$AW$4:$AW$41) + SUMPRODUCT(--(Lineups!$A$5:$A$42="SP*"),--(Lineups!$O$4:$O$41=$B87),Lineups!$AW$5:$AW$42))</f>
        <v>4</v>
      </c>
      <c r="I87" s="881">
        <f>IF($B87="","",SUMPRODUCT(--(Lineups!$S$4:$S$41=$B87),Lineups!$AW$4:$AW$41) + SUMPRODUCT(--(Lineups!$A$5:$A$42="SP*"),--(Lineups!$S$4:$S$41=$B87),Lineups!$AW$5:$AW$42))</f>
        <v>7</v>
      </c>
      <c r="J87" s="883">
        <f t="shared" si="163"/>
        <v>22</v>
      </c>
      <c r="K87" s="43"/>
      <c r="L87" s="883">
        <f t="shared" si="164"/>
        <v>22</v>
      </c>
      <c r="M87" s="43"/>
      <c r="N87" s="43"/>
      <c r="O87" s="883">
        <f>IF($B87="","",SUMPRODUCT(--(Lineups!$C$4:$C$41=$B87),Lineups!$AW$4:$AW$41) + SUMPRODUCT(--(Lineups!$A$5:$A$42="SP*"),--(Lineups!$C$4:$C$41=$B87),Lineups!$AW$5:$AW$42))</f>
        <v>0</v>
      </c>
      <c r="P87" s="43"/>
      <c r="Q87" s="883">
        <f t="shared" si="165"/>
        <v>22</v>
      </c>
      <c r="R87" s="43"/>
      <c r="S87" s="43"/>
      <c r="T87" s="883">
        <f t="shared" si="166"/>
        <v>10</v>
      </c>
      <c r="U87" s="888" t="str">
        <f t="shared" ref="U87:V87" si="186">U18</f>
        <v>39</v>
      </c>
      <c r="V87" s="888" t="str">
        <f t="shared" si="186"/>
        <v>Gaffney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16</v>
      </c>
      <c r="AB87" s="881">
        <f>IF($U87="","",SUMPRODUCT(--(Lineups!$AS$4:$AS$41=$U87),Lineups!$W$4:$W$41) + SUMPRODUCT(--(Lineups!$AA$5:$AA$42="SP*"),--(Lineups!$AS$4:$AS$41=$U87),Lineups!$W$5:$W$42))</f>
        <v>23</v>
      </c>
      <c r="AC87" s="883">
        <f t="shared" si="168"/>
        <v>39</v>
      </c>
      <c r="AD87" s="43"/>
      <c r="AE87" s="883">
        <f t="shared" si="169"/>
        <v>39</v>
      </c>
      <c r="AF87" s="43"/>
      <c r="AG87" s="43"/>
      <c r="AH87" s="883">
        <f>IF($U87="","",SUMPRODUCT(--(Lineups!$AC$4:$AC$41=$U87),Lineups!$W$4:$W$41) + SUMPRODUCT(--(Lineups!$AA$5:$AA$42="SP*"),--(Lineups!$AC$4:$AC$41=$U87),Lineups!$W$5:$W$42))</f>
        <v>0</v>
      </c>
      <c r="AI87" s="43"/>
      <c r="AJ87" s="883">
        <f t="shared" si="170"/>
        <v>39</v>
      </c>
      <c r="AK87" s="43"/>
    </row>
    <row r="88" ht="13.5" customHeight="1">
      <c r="A88" s="5">
        <f t="shared" si="161"/>
        <v>11</v>
      </c>
      <c r="B88" s="630" t="str">
        <f t="shared" ref="B88:C88" si="187">B19</f>
        <v>8000</v>
      </c>
      <c r="C88" s="630" t="str">
        <f t="shared" si="187"/>
        <v>Killifornia</v>
      </c>
      <c r="D88" s="5">
        <f>IF($B88="","",SUMPRODUCT(--(Lineups!$G$4:$G$41=$B88),--(Lineups!$B$4:$B$41=""),Lineups!$AW$4:$AW$41)+SUMPRODUCT(--(Lineups!$A$5:$A$42="SP*"),--(Lineups!$G$4:$G$41=$B88),--(Lineups!$B$4:$B$41=""),Lineups!$AW$5:$AW$42))</f>
        <v>22</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22</v>
      </c>
      <c r="M88" s="43"/>
      <c r="N88" s="43"/>
      <c r="O88" s="5">
        <f>IF($B88="","",SUMPRODUCT(--(Lineups!$C$4:$C$41=$B88),Lineups!$AW$4:$AW$41) + SUMPRODUCT(--(Lineups!$A$5:$A$42="SP*"),--(Lineups!$C$4:$C$41=$B88),Lineups!$AW$5:$AW$42))</f>
        <v>0</v>
      </c>
      <c r="P88" s="43"/>
      <c r="Q88" s="5">
        <f t="shared" si="165"/>
        <v>22</v>
      </c>
      <c r="R88" s="43"/>
      <c r="S88" s="43"/>
      <c r="T88" s="5">
        <f t="shared" si="166"/>
        <v>11</v>
      </c>
      <c r="U88" s="630" t="str">
        <f t="shared" ref="U88:V88" si="188">U19</f>
        <v>48</v>
      </c>
      <c r="V88" s="630" t="str">
        <f t="shared" si="188"/>
        <v>Brute</v>
      </c>
      <c r="W88" s="5">
        <f>IF($U88="","",SUMPRODUCT(--(Lineups!$AG$4:$AG$41=$U88),--(Lineups!$AB$4:$AB$41=""),Lineups!$W$4:$W$41)+SUMPRODUCT(--(Lineups!$AA$5:$AA$42="SP*"),--(Lineups!$AG$4:$AG$41=$U88),--(Lineups!$AB$4:$AB$41=""),Lineups!$W$5:$W$42))</f>
        <v>57</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57</v>
      </c>
      <c r="AF88" s="43"/>
      <c r="AG88" s="43"/>
      <c r="AH88" s="5">
        <f>IF($U88="","",SUMPRODUCT(--(Lineups!$AC$4:$AC$41=$U88),Lineups!$W$4:$W$41) + SUMPRODUCT(--(Lineups!$AA$5:$AA$42="SP*"),--(Lineups!$AC$4:$AC$41=$U88),Lineups!$W$5:$W$42))</f>
        <v>12</v>
      </c>
      <c r="AI88" s="43"/>
      <c r="AJ88" s="5">
        <f t="shared" si="170"/>
        <v>69</v>
      </c>
      <c r="AK88" s="43"/>
    </row>
    <row r="89" ht="13.5" customHeight="1">
      <c r="A89" s="883">
        <f t="shared" si="161"/>
        <v>12</v>
      </c>
      <c r="B89" s="888" t="str">
        <f t="shared" ref="B89:C89" si="189">B20</f>
        <v>90</v>
      </c>
      <c r="C89" s="888" t="str">
        <f t="shared" si="189"/>
        <v>Wee Bonnie Bruiser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700</v>
      </c>
      <c r="V89" s="888" t="str">
        <f t="shared" si="190"/>
        <v>Springroll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13</v>
      </c>
      <c r="AI89" s="43"/>
      <c r="AJ89" s="883">
        <f t="shared" si="170"/>
        <v>13</v>
      </c>
      <c r="AK89" s="43"/>
    </row>
    <row r="90" ht="13.5" customHeight="1">
      <c r="A90" s="5">
        <f t="shared" si="161"/>
        <v>13</v>
      </c>
      <c r="B90" s="630" t="str">
        <f t="shared" ref="B90:C90" si="191">B21</f>
        <v>919</v>
      </c>
      <c r="C90" s="630" t="str">
        <f t="shared" si="191"/>
        <v>Grizz</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7</v>
      </c>
      <c r="I90" s="881">
        <f>IF($B90="","",SUMPRODUCT(--(Lineups!$S$4:$S$41=$B90),Lineups!$AW$4:$AW$41) + SUMPRODUCT(--(Lineups!$A$5:$A$42="SP*"),--(Lineups!$S$4:$S$41=$B90),Lineups!$AW$5:$AW$42))</f>
        <v>11</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0" t="str">
        <f t="shared" ref="U90:V90" si="192">U21</f>
        <v>71</v>
      </c>
      <c r="V90" s="630" t="str">
        <f t="shared" si="192"/>
        <v>Danger Potato</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31</v>
      </c>
      <c r="AI90" s="43"/>
      <c r="AJ90" s="5">
        <f t="shared" si="170"/>
        <v>31</v>
      </c>
      <c r="AK90" s="43"/>
    </row>
    <row r="91" ht="13.5" customHeight="1">
      <c r="A91" s="883">
        <f t="shared" si="161"/>
        <v>14</v>
      </c>
      <c r="B91" s="888" t="str">
        <f t="shared" ref="B91:C91" si="193">B22</f>
        <v>949</v>
      </c>
      <c r="C91" s="888" t="str">
        <f t="shared" si="193"/>
        <v>Coyote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4</v>
      </c>
      <c r="H91" s="881">
        <f>IF($B91="","",SUMPRODUCT(--(Lineups!$O$4:$O$41=$B91),Lineups!$AW$4:$AW$41) + SUMPRODUCT(--(Lineups!$A$5:$A$42="SP*"),--(Lineups!$O$4:$O$41=$B91),Lineups!$AW$5:$AW$42))</f>
        <v>2</v>
      </c>
      <c r="I91" s="881">
        <f>IF($B91="","",SUMPRODUCT(--(Lineups!$S$4:$S$41=$B91),Lineups!$AW$4:$AW$41) + SUMPRODUCT(--(Lineups!$A$5:$A$42="SP*"),--(Lineups!$S$4:$S$41=$B91),Lineups!$AW$5:$AW$42))</f>
        <v>0</v>
      </c>
      <c r="J91" s="883">
        <f t="shared" si="163"/>
        <v>6</v>
      </c>
      <c r="K91" s="43"/>
      <c r="L91" s="883">
        <f t="shared" si="164"/>
        <v>6</v>
      </c>
      <c r="M91" s="43"/>
      <c r="N91" s="43"/>
      <c r="O91" s="883">
        <f>IF($B91="","",SUMPRODUCT(--(Lineups!$C$4:$C$41=$B91),Lineups!$AW$4:$AW$41) + SUMPRODUCT(--(Lineups!$A$5:$A$42="SP*"),--(Lineups!$C$4:$C$41=$B91),Lineups!$AW$5:$AW$42))</f>
        <v>0</v>
      </c>
      <c r="P91" s="43"/>
      <c r="Q91" s="883">
        <f t="shared" si="165"/>
        <v>6</v>
      </c>
      <c r="R91" s="43"/>
      <c r="S91" s="43"/>
      <c r="T91" s="883">
        <f t="shared" si="166"/>
        <v>14</v>
      </c>
      <c r="U91" s="888" t="str">
        <f t="shared" ref="U91:V91" si="194">U22</f>
        <v>79</v>
      </c>
      <c r="V91" s="888" t="str">
        <f t="shared" si="194"/>
        <v>Lil RegulateHer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18</v>
      </c>
      <c r="AI91" s="43"/>
      <c r="AJ91" s="883">
        <f t="shared" si="170"/>
        <v>18</v>
      </c>
      <c r="AK91" s="43"/>
    </row>
    <row r="92" ht="13.5" customHeight="1">
      <c r="A92" s="5">
        <f t="shared" si="161"/>
        <v>15</v>
      </c>
      <c r="B92" s="630" t="str">
        <f t="shared" ref="B92:C92" si="195">B23</f>
        <v>99</v>
      </c>
      <c r="C92" s="630" t="str">
        <f t="shared" si="195"/>
        <v>Chinaski</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7</v>
      </c>
      <c r="H92" s="881">
        <f>IF($B92="","",SUMPRODUCT(--(Lineups!$O$4:$O$41=$B92),Lineups!$AW$4:$AW$41) + SUMPRODUCT(--(Lineups!$A$5:$A$42="SP*"),--(Lineups!$O$4:$O$41=$B92),Lineups!$AW$5:$AW$42))</f>
        <v>11</v>
      </c>
      <c r="I92" s="881">
        <f>IF($B92="","",SUMPRODUCT(--(Lineups!$S$4:$S$41=$B92),Lineups!$AW$4:$AW$41) + SUMPRODUCT(--(Lineups!$A$5:$A$42="SP*"),--(Lineups!$S$4:$S$41=$B92),Lineups!$AW$5:$AW$42))</f>
        <v>4</v>
      </c>
      <c r="J92" s="5">
        <f t="shared" si="163"/>
        <v>22</v>
      </c>
      <c r="K92" s="43"/>
      <c r="L92" s="5">
        <f t="shared" si="164"/>
        <v>22</v>
      </c>
      <c r="M92" s="43"/>
      <c r="N92" s="43"/>
      <c r="O92" s="5">
        <f>IF($B92="","",SUMPRODUCT(--(Lineups!$C$4:$C$41=$B92),Lineups!$AW$4:$AW$41) + SUMPRODUCT(--(Lineups!$A$5:$A$42="SP*"),--(Lineups!$C$4:$C$41=$B92),Lineups!$AW$5:$AW$42))</f>
        <v>0</v>
      </c>
      <c r="P92" s="43"/>
      <c r="Q92" s="5">
        <f t="shared" si="165"/>
        <v>22</v>
      </c>
      <c r="R92" s="43"/>
      <c r="S92" s="43"/>
      <c r="T92" s="5">
        <f t="shared" si="166"/>
        <v>15</v>
      </c>
      <c r="U92" s="630" t="str">
        <f t="shared" ref="U92:V92" si="196">U23</f>
        <v>89</v>
      </c>
      <c r="V92" s="630" t="str">
        <f t="shared" si="196"/>
        <v>High Roller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13</v>
      </c>
      <c r="AA92" s="881">
        <f>IF($U92="","",SUMPRODUCT(--(Lineups!$AO$4:$AO$41=$U92),Lineups!$W$4:$W$41) + SUMPRODUCT(--(Lineups!$AA$5:$AA$42="SP*"),--(Lineups!$AO$4:$AO$41=$U92),Lineups!$W$5:$W$42))</f>
        <v>14</v>
      </c>
      <c r="AB92" s="881">
        <f>IF($U92="","",SUMPRODUCT(--(Lineups!$AS$4:$AS$41=$U92),Lineups!$W$4:$W$41) + SUMPRODUCT(--(Lineups!$AA$5:$AA$42="SP*"),--(Lineups!$AS$4:$AS$41=$U92),Lineups!$W$5:$W$42))</f>
        <v>40</v>
      </c>
      <c r="AC92" s="5">
        <f t="shared" si="168"/>
        <v>67</v>
      </c>
      <c r="AD92" s="43"/>
      <c r="AE92" s="5">
        <f t="shared" si="169"/>
        <v>67</v>
      </c>
      <c r="AF92" s="43"/>
      <c r="AG92" s="43"/>
      <c r="AH92" s="5">
        <f>IF($U92="","",SUMPRODUCT(--(Lineups!$AC$4:$AC$41=$U92),Lineups!$W$4:$W$41) + SUMPRODUCT(--(Lineups!$AA$5:$AA$42="SP*"),--(Lineups!$AC$4:$AC$41=$U92),Lineups!$W$5:$W$42))</f>
        <v>0</v>
      </c>
      <c r="AI92" s="43"/>
      <c r="AJ92" s="5">
        <f t="shared" si="170"/>
        <v>67</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23</v>
      </c>
      <c r="E102" s="43"/>
      <c r="F102" s="43"/>
      <c r="G102" s="43"/>
      <c r="H102" s="43"/>
      <c r="I102" s="43"/>
      <c r="J102" s="43"/>
      <c r="K102" s="43"/>
      <c r="L102" s="43"/>
      <c r="M102" s="43"/>
      <c r="N102" s="43"/>
      <c r="O102" s="43"/>
      <c r="P102" s="43"/>
      <c r="Q102" s="43"/>
      <c r="R102" s="43"/>
      <c r="S102" s="43"/>
      <c r="T102" s="5"/>
      <c r="U102" s="43"/>
      <c r="V102" s="43" t="s">
        <v>396</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19</v>
      </c>
      <c r="E103" s="43"/>
      <c r="F103" s="43"/>
      <c r="G103" s="43"/>
      <c r="H103" s="43"/>
      <c r="I103" s="43"/>
      <c r="J103" s="43"/>
      <c r="K103" s="43"/>
      <c r="L103" s="43"/>
      <c r="M103" s="43"/>
      <c r="N103" s="43"/>
      <c r="O103" s="43"/>
      <c r="P103" s="43"/>
      <c r="Q103" s="43"/>
      <c r="R103" s="43"/>
      <c r="S103" s="43"/>
      <c r="T103" s="5"/>
      <c r="U103" s="43"/>
      <c r="V103" s="43" t="s">
        <v>398</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15</v>
      </c>
      <c r="E104" s="43"/>
      <c r="F104" s="43"/>
      <c r="G104" s="43"/>
      <c r="H104" s="43"/>
      <c r="I104" s="43"/>
      <c r="J104" s="43"/>
      <c r="K104" s="43"/>
      <c r="L104" s="43"/>
      <c r="M104" s="43"/>
      <c r="N104" s="43"/>
      <c r="O104" s="43"/>
      <c r="P104" s="43"/>
      <c r="Q104" s="43"/>
      <c r="R104" s="43"/>
      <c r="S104" s="43"/>
      <c r="T104" s="5"/>
      <c r="U104" s="43"/>
      <c r="V104" s="43" t="s">
        <v>400</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401</v>
      </c>
      <c r="B106" s="8"/>
      <c r="C106" s="9"/>
      <c r="D106" s="874"/>
      <c r="E106" s="874"/>
      <c r="F106" s="874"/>
      <c r="G106" s="874"/>
      <c r="H106" s="874"/>
      <c r="I106" s="874"/>
      <c r="J106" s="874"/>
      <c r="K106" s="874"/>
      <c r="L106" s="874"/>
      <c r="M106" s="874"/>
      <c r="N106" s="874"/>
      <c r="O106" s="874"/>
      <c r="P106" s="874"/>
      <c r="Q106" s="874"/>
      <c r="R106" s="874"/>
      <c r="S106" s="43"/>
      <c r="T106" s="873" t="s">
        <v>401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402</v>
      </c>
      <c r="C107" s="875" t="s">
        <v>403</v>
      </c>
      <c r="D107" s="875" t="s">
        <v>261</v>
      </c>
      <c r="E107" s="876" t="s">
        <v>404</v>
      </c>
      <c r="F107" s="877" t="s">
        <v>262</v>
      </c>
      <c r="G107" s="877" t="s">
        <v>262</v>
      </c>
      <c r="H107" s="877" t="s">
        <v>262</v>
      </c>
      <c r="I107" s="877" t="s">
        <v>262</v>
      </c>
      <c r="J107" s="875" t="s">
        <v>405</v>
      </c>
      <c r="K107" s="876" t="s">
        <v>406</v>
      </c>
      <c r="L107" s="875" t="s">
        <v>407</v>
      </c>
      <c r="M107" s="876" t="s">
        <v>408</v>
      </c>
      <c r="N107" s="878" t="s">
        <v>409</v>
      </c>
      <c r="O107" s="875" t="s">
        <v>259</v>
      </c>
      <c r="P107" s="876" t="s">
        <v>410</v>
      </c>
      <c r="Q107" s="875" t="s">
        <v>376</v>
      </c>
      <c r="R107" s="876" t="s">
        <v>411</v>
      </c>
      <c r="S107" s="5"/>
      <c r="T107" s="875">
        <v>0.0</v>
      </c>
      <c r="U107" s="875" t="s">
        <v>402</v>
      </c>
      <c r="V107" s="875" t="s">
        <v>403</v>
      </c>
      <c r="W107" s="875" t="s">
        <v>261</v>
      </c>
      <c r="X107" s="876" t="s">
        <v>404</v>
      </c>
      <c r="Y107" s="877" t="s">
        <v>262</v>
      </c>
      <c r="Z107" s="877" t="s">
        <v>262</v>
      </c>
      <c r="AA107" s="877" t="s">
        <v>262</v>
      </c>
      <c r="AB107" s="877" t="s">
        <v>262</v>
      </c>
      <c r="AC107" s="875" t="s">
        <v>405</v>
      </c>
      <c r="AD107" s="876" t="s">
        <v>406</v>
      </c>
      <c r="AE107" s="875" t="s">
        <v>407</v>
      </c>
      <c r="AF107" s="876" t="s">
        <v>408</v>
      </c>
      <c r="AG107" s="878" t="s">
        <v>409</v>
      </c>
      <c r="AH107" s="875" t="s">
        <v>259</v>
      </c>
      <c r="AI107" s="876" t="s">
        <v>410</v>
      </c>
      <c r="AJ107" s="875" t="s">
        <v>376</v>
      </c>
      <c r="AK107" s="876" t="s">
        <v>411</v>
      </c>
    </row>
    <row r="108" ht="13.5" customHeight="1">
      <c r="A108" s="5">
        <f t="shared" ref="A108:A127" si="209">A107+1</f>
        <v>1</v>
      </c>
      <c r="B108" s="879" t="str">
        <f t="shared" ref="B108:C108" si="207">B9</f>
        <v>10</v>
      </c>
      <c r="C108" s="879" t="str">
        <f t="shared" si="207"/>
        <v>Unprotected Lex</v>
      </c>
      <c r="D108" s="43">
        <f>IF($B108="","",SUMPRODUCT(--(Lineups!G$46:G$83=$B108),--(Lineups!B$46:B$83="")))</f>
        <v>0</v>
      </c>
      <c r="E108" s="880">
        <f t="shared" ref="E108:E127" si="211">IF($B108="","",IF($D$102=0,"",D108/$D$102))</f>
        <v>0</v>
      </c>
      <c r="F108" s="881">
        <f>IF($B108="","",SUMPRODUCT(--(Lineups!G$46:G$83=$B108),--(Lineups!B$46:B$83="X")))</f>
        <v>0</v>
      </c>
      <c r="G108" s="881">
        <f>IF($B108="","",SUMPRODUCT(--(Lineups!K$46:K$83=$B108),--(Lineups!A$46:A$83&lt;&gt;"SP")))</f>
        <v>3</v>
      </c>
      <c r="H108" s="881">
        <f>IF($B108="","",SUMPRODUCT(--(Lineups!O$46:O$83=$B108),--(Lineups!A$46:A$83&lt;&gt;"SP")))</f>
        <v>2</v>
      </c>
      <c r="I108" s="881">
        <f>IF($B108="","",SUMPRODUCT(--(Lineups!S$46:S$83=$B108),--(Lineups!A$46:A$83&lt;&gt;"SP")))</f>
        <v>1</v>
      </c>
      <c r="J108" s="43">
        <f t="shared" ref="J108:J127" si="212">IF(B108="","",SUM(F108:I108))</f>
        <v>6</v>
      </c>
      <c r="K108" s="880">
        <f t="shared" ref="K108:K127" si="213">IF($B108="","",IF($D$102=0,"",J108/$D$102))</f>
        <v>0.2608695652</v>
      </c>
      <c r="L108" s="43">
        <f t="shared" ref="L108:L127" si="214">IF(B108="","",SUM(D108,J108))</f>
        <v>6</v>
      </c>
      <c r="M108" s="880">
        <f t="shared" ref="M108:M127" si="215">IF($B108="","",IF($D$102=0,"",L108/$D$102))</f>
        <v>0.2608695652</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0.2608695652</v>
      </c>
      <c r="S108" s="43"/>
      <c r="T108" s="5">
        <f t="shared" ref="T108:T127" si="219">T107+1</f>
        <v>1</v>
      </c>
      <c r="U108" s="879" t="str">
        <f t="shared" ref="U108:V108" si="208">U9</f>
        <v>11</v>
      </c>
      <c r="V108" s="879" t="str">
        <f t="shared" si="208"/>
        <v>Bertha Beatdown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6</v>
      </c>
      <c r="AB108" s="881">
        <f>IF($U108="","",SUMPRODUCT(--(Lineups!AS$46:AS$83=$U108),--(Lineups!AA$46:AA$83&lt;&gt;"SP")))</f>
        <v>1</v>
      </c>
      <c r="AC108" s="43">
        <f t="shared" ref="AC108:AC127" si="222">IF(U108="","",SUM(Y108:AB108))</f>
        <v>9</v>
      </c>
      <c r="AD108" s="880">
        <f t="shared" ref="AD108:AD127" si="223">IF($U108="","",IF($W$102=0,"",AC108/$W$102))</f>
        <v>0.3913043478</v>
      </c>
      <c r="AE108" s="43">
        <f t="shared" ref="AE108:AE127" si="224">IF(U108="","",SUM(W108,AC108))</f>
        <v>9</v>
      </c>
      <c r="AF108" s="880">
        <f t="shared" ref="AF108:AF127" si="225">IF($U108="","",IF($W$102=0,"",AE108/$W$102))</f>
        <v>0.3913043478</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0.3913043478</v>
      </c>
    </row>
    <row r="109" ht="13.5" customHeight="1">
      <c r="A109" s="883">
        <f t="shared" si="209"/>
        <v>2</v>
      </c>
      <c r="B109" s="884" t="str">
        <f t="shared" ref="B109:C109" si="210">B10</f>
        <v>1706</v>
      </c>
      <c r="C109" s="884" t="str">
        <f t="shared" si="210"/>
        <v>Maven</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7</v>
      </c>
      <c r="O109" s="885">
        <f>IF($B109="","",SUMPRODUCT(--(Lineups!C$46:C$83=$B109)))</f>
        <v>8</v>
      </c>
      <c r="P109" s="886">
        <f t="shared" si="216"/>
        <v>0.347826087</v>
      </c>
      <c r="Q109" s="885">
        <f t="shared" si="217"/>
        <v>8</v>
      </c>
      <c r="R109" s="886">
        <f t="shared" si="218"/>
        <v>0.347826087</v>
      </c>
      <c r="S109" s="43"/>
      <c r="T109" s="883">
        <f t="shared" si="219"/>
        <v>2</v>
      </c>
      <c r="U109" s="884" t="str">
        <f t="shared" ref="U109:V109" si="220">U10</f>
        <v>128</v>
      </c>
      <c r="V109" s="884" t="str">
        <f t="shared" si="220"/>
        <v>Carl</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2</v>
      </c>
      <c r="AB109" s="881">
        <f>IF($U109="","",SUMPRODUCT(--(Lineups!AS$46:AS$83=$U109),--(Lineups!AA$46:AA$83&lt;&gt;"SP")))</f>
        <v>2</v>
      </c>
      <c r="AC109" s="885">
        <f t="shared" si="222"/>
        <v>6</v>
      </c>
      <c r="AD109" s="886">
        <f t="shared" si="223"/>
        <v>0.2608695652</v>
      </c>
      <c r="AE109" s="885">
        <f t="shared" si="224"/>
        <v>6</v>
      </c>
      <c r="AF109" s="886">
        <f t="shared" si="225"/>
        <v>0.2608695652</v>
      </c>
      <c r="AG109" s="887" t="str">
        <f>IF(U109="","",IF(OR(SK!U176="",SK!U176=0),"",SK!X176))</f>
        <v/>
      </c>
      <c r="AH109" s="885">
        <f>IF($U109="","",SUMPRODUCT(--(Lineups!AC$46:AC$83=$U109)))</f>
        <v>0</v>
      </c>
      <c r="AI109" s="886">
        <f t="shared" si="226"/>
        <v>0</v>
      </c>
      <c r="AJ109" s="885">
        <f t="shared" si="227"/>
        <v>6</v>
      </c>
      <c r="AK109" s="886">
        <f t="shared" si="228"/>
        <v>0.2608695652</v>
      </c>
    </row>
    <row r="110" ht="13.5" customHeight="1">
      <c r="A110" s="5">
        <f t="shared" si="209"/>
        <v>3</v>
      </c>
      <c r="B110" s="879" t="str">
        <f t="shared" ref="B110:C110" si="229">B11</f>
        <v>2</v>
      </c>
      <c r="C110" s="879" t="str">
        <f t="shared" si="229"/>
        <v>Taryn</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3</v>
      </c>
      <c r="I110" s="881">
        <f>IF($B110="","",SUMPRODUCT(--(Lineups!S$46:S$83=$B110),--(Lineups!A$46:A$83&lt;&gt;"SP")))</f>
        <v>5</v>
      </c>
      <c r="J110" s="43">
        <f t="shared" si="212"/>
        <v>9</v>
      </c>
      <c r="K110" s="880">
        <f t="shared" si="213"/>
        <v>0.3913043478</v>
      </c>
      <c r="L110" s="43">
        <f t="shared" si="214"/>
        <v>9</v>
      </c>
      <c r="M110" s="880">
        <f t="shared" si="215"/>
        <v>0.3913043478</v>
      </c>
      <c r="N110" s="882" t="str">
        <f>IF(B110="","",IF(OR(SK!E179="",SK!E179=0),"",SK!H179))</f>
        <v/>
      </c>
      <c r="O110" s="43">
        <f>IF($B110="","",SUMPRODUCT(--(Lineups!C$46:C$83=$B110)))</f>
        <v>0</v>
      </c>
      <c r="P110" s="880">
        <f t="shared" si="216"/>
        <v>0</v>
      </c>
      <c r="Q110" s="43">
        <f t="shared" si="217"/>
        <v>9</v>
      </c>
      <c r="R110" s="880">
        <f t="shared" si="218"/>
        <v>0.3913043478</v>
      </c>
      <c r="S110" s="43"/>
      <c r="T110" s="5">
        <f t="shared" si="219"/>
        <v>3</v>
      </c>
      <c r="U110" s="879" t="str">
        <f t="shared" ref="U110:V110" si="230">U11</f>
        <v>139</v>
      </c>
      <c r="V110" s="879" t="str">
        <f t="shared" si="230"/>
        <v>Katie Postma</v>
      </c>
      <c r="W110" s="43">
        <f>IF($U110="","",SUMPRODUCT(--(Lineups!AG$46:AG$83=$U110),--(Lineups!AB$46:AB$83="")))</f>
        <v>6</v>
      </c>
      <c r="X110" s="880">
        <f t="shared" si="221"/>
        <v>0.2608695652</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6</v>
      </c>
      <c r="AF110" s="880">
        <f t="shared" si="225"/>
        <v>0.2608695652</v>
      </c>
      <c r="AG110" s="882">
        <f>IF(U110="","",IF(OR(SK!U179="",SK!U179=0),"",SK!X179))</f>
        <v>0</v>
      </c>
      <c r="AH110" s="43">
        <f>IF($U110="","",SUMPRODUCT(--(Lineups!AC$46:AC$83=$U110)))</f>
        <v>1</v>
      </c>
      <c r="AI110" s="880">
        <f t="shared" si="226"/>
        <v>0.04347826087</v>
      </c>
      <c r="AJ110" s="43">
        <f t="shared" si="227"/>
        <v>7</v>
      </c>
      <c r="AK110" s="880">
        <f t="shared" si="228"/>
        <v>0.3043478261</v>
      </c>
    </row>
    <row r="111" ht="13.5" customHeight="1">
      <c r="A111" s="883">
        <f t="shared" si="209"/>
        <v>4</v>
      </c>
      <c r="B111" s="884" t="str">
        <f t="shared" ref="B111:C111" si="231">B12</f>
        <v>22</v>
      </c>
      <c r="C111" s="884" t="str">
        <f t="shared" si="231"/>
        <v>Scara to Death</v>
      </c>
      <c r="D111" s="885">
        <f>IF($B111="","",SUMPRODUCT(--(Lineups!G$46:G$83=$B111),--(Lineups!B$46:B$83="")))</f>
        <v>3</v>
      </c>
      <c r="E111" s="886">
        <f t="shared" si="211"/>
        <v>0.1304347826</v>
      </c>
      <c r="F111" s="881">
        <f>IF($B111="","",SUMPRODUCT(--(Lineups!G$46:G$83=$B111),--(Lineups!B$46:B$83="X")))</f>
        <v>0</v>
      </c>
      <c r="G111" s="881">
        <f>IF($B111="","",SUMPRODUCT(--(Lineups!K$46:K$83=$B111),--(Lineups!A$46:A$83&lt;&gt;"SP")))</f>
        <v>4</v>
      </c>
      <c r="H111" s="881">
        <f>IF($B111="","",SUMPRODUCT(--(Lineups!O$46:O$83=$B111),--(Lineups!A$46:A$83&lt;&gt;"SP")))</f>
        <v>2</v>
      </c>
      <c r="I111" s="881">
        <f>IF($B111="","",SUMPRODUCT(--(Lineups!S$46:S$83=$B111),--(Lineups!A$46:A$83&lt;&gt;"SP")))</f>
        <v>2</v>
      </c>
      <c r="J111" s="885">
        <f t="shared" si="212"/>
        <v>8</v>
      </c>
      <c r="K111" s="886">
        <f t="shared" si="213"/>
        <v>0.347826087</v>
      </c>
      <c r="L111" s="885">
        <f t="shared" si="214"/>
        <v>11</v>
      </c>
      <c r="M111" s="886">
        <f t="shared" si="215"/>
        <v>0.4782608696</v>
      </c>
      <c r="N111" s="887" t="str">
        <f>IF(B111="","",IF(OR(SK!E182="",SK!E182=0),"",SK!H182))</f>
        <v/>
      </c>
      <c r="O111" s="885">
        <f>IF($B111="","",SUMPRODUCT(--(Lineups!C$46:C$83=$B111)))</f>
        <v>0</v>
      </c>
      <c r="P111" s="886">
        <f t="shared" si="216"/>
        <v>0</v>
      </c>
      <c r="Q111" s="885">
        <f t="shared" si="217"/>
        <v>11</v>
      </c>
      <c r="R111" s="886">
        <f t="shared" si="218"/>
        <v>0.4782608696</v>
      </c>
      <c r="S111" s="43"/>
      <c r="T111" s="883">
        <f t="shared" si="219"/>
        <v>4</v>
      </c>
      <c r="U111" s="884" t="str">
        <f t="shared" ref="U111:V111" si="232">U12</f>
        <v>22</v>
      </c>
      <c r="V111" s="884" t="str">
        <f t="shared" si="232"/>
        <v>Habanero Romero</v>
      </c>
      <c r="W111" s="885">
        <f>IF($U111="","",SUMPRODUCT(--(Lineups!AG$46:AG$83=$U111),--(Lineups!AB$46:AB$83="")))</f>
        <v>5</v>
      </c>
      <c r="X111" s="886">
        <f t="shared" si="221"/>
        <v>0.2173913043</v>
      </c>
      <c r="Y111" s="881">
        <f>IF($U111="","",SUMPRODUCT(--(Lineups!AG$46:AG$83=$U111),--(Lineups!AB$46:AB$83="X")))</f>
        <v>0</v>
      </c>
      <c r="Z111" s="881">
        <f>IF($U111="","",SUMPRODUCT(--(Lineups!AK$46:AK$83=$U111),--(Lineups!AA$46:AA$83&lt;&gt;"SP")))</f>
        <v>3</v>
      </c>
      <c r="AA111" s="881">
        <f>IF($U111="","",SUMPRODUCT(--(Lineups!AO$46:AO$83=$U111),--(Lineups!AA$46:AA$83&lt;&gt;"SP")))</f>
        <v>0</v>
      </c>
      <c r="AB111" s="881">
        <f>IF($U111="","",SUMPRODUCT(--(Lineups!AS$46:AS$83=$U111),--(Lineups!AA$46:AA$83&lt;&gt;"SP")))</f>
        <v>4</v>
      </c>
      <c r="AC111" s="885">
        <f t="shared" si="222"/>
        <v>7</v>
      </c>
      <c r="AD111" s="886">
        <f t="shared" si="223"/>
        <v>0.3043478261</v>
      </c>
      <c r="AE111" s="885">
        <f t="shared" si="224"/>
        <v>12</v>
      </c>
      <c r="AF111" s="886">
        <f t="shared" si="225"/>
        <v>0.5217391304</v>
      </c>
      <c r="AG111" s="887" t="str">
        <f>IF(U111="","",IF(OR(SK!U182="",SK!U182=0),"",SK!X182))</f>
        <v/>
      </c>
      <c r="AH111" s="885">
        <f>IF($U111="","",SUMPRODUCT(--(Lineups!AC$46:AC$83=$U111)))</f>
        <v>0</v>
      </c>
      <c r="AI111" s="886">
        <f t="shared" si="226"/>
        <v>0</v>
      </c>
      <c r="AJ111" s="885">
        <f t="shared" si="227"/>
        <v>12</v>
      </c>
      <c r="AK111" s="886">
        <f t="shared" si="228"/>
        <v>0.5217391304</v>
      </c>
    </row>
    <row r="112" ht="13.5" customHeight="1">
      <c r="A112" s="5">
        <f t="shared" si="209"/>
        <v>5</v>
      </c>
      <c r="B112" s="879" t="str">
        <f t="shared" ref="B112:C112" si="233">B13</f>
        <v>27</v>
      </c>
      <c r="C112" s="879" t="str">
        <f t="shared" si="233"/>
        <v>Gobrecht</v>
      </c>
      <c r="D112" s="43">
        <f>IF($B112="","",SUMPRODUCT(--(Lineups!G$46:G$83=$B112),--(Lineups!B$46:B$83="")))</f>
        <v>9</v>
      </c>
      <c r="E112" s="880">
        <f t="shared" si="211"/>
        <v>0.3913043478</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0.04347826087</v>
      </c>
      <c r="L112" s="43">
        <f t="shared" si="214"/>
        <v>10</v>
      </c>
      <c r="M112" s="880">
        <f t="shared" si="215"/>
        <v>0.4347826087</v>
      </c>
      <c r="N112" s="882" t="str">
        <f>IF(B112="","",IF(OR(SK!E185="",SK!E185=0),"",SK!H185))</f>
        <v/>
      </c>
      <c r="O112" s="43">
        <f>IF($B112="","",SUMPRODUCT(--(Lineups!C$46:C$83=$B112)))</f>
        <v>0</v>
      </c>
      <c r="P112" s="880">
        <f t="shared" si="216"/>
        <v>0</v>
      </c>
      <c r="Q112" s="43">
        <f t="shared" si="217"/>
        <v>10</v>
      </c>
      <c r="R112" s="880">
        <f t="shared" si="218"/>
        <v>0.4347826087</v>
      </c>
      <c r="S112" s="43"/>
      <c r="T112" s="5">
        <f t="shared" si="219"/>
        <v>5</v>
      </c>
      <c r="U112" s="879" t="str">
        <f t="shared" ref="U112:V112" si="234">U13</f>
        <v>241</v>
      </c>
      <c r="V112" s="879" t="str">
        <f t="shared" si="234"/>
        <v>Lilly Pate</v>
      </c>
      <c r="W112" s="43">
        <f>IF($U112="","",SUMPRODUCT(--(Lineups!AG$46:AG$83=$U112),--(Lineups!AB$46:AB$83="")))</f>
        <v>0</v>
      </c>
      <c r="X112" s="880">
        <f t="shared" si="221"/>
        <v>0</v>
      </c>
      <c r="Y112" s="881">
        <f>IF($U112="","",SUMPRODUCT(--(Lineups!AG$46:AG$83=$U112),--(Lineups!AB$46:AB$83="X")))</f>
        <v>0</v>
      </c>
      <c r="Z112" s="881">
        <f>IF($U112="","",SUMPRODUCT(--(Lineups!AK$46:AK$83=$U112),--(Lineups!AA$46:AA$83&lt;&gt;"SP")))</f>
        <v>11</v>
      </c>
      <c r="AA112" s="881">
        <f>IF($U112="","",SUMPRODUCT(--(Lineups!AO$46:AO$83=$U112),--(Lineups!AA$46:AA$83&lt;&gt;"SP")))</f>
        <v>2</v>
      </c>
      <c r="AB112" s="881">
        <f>IF($U112="","",SUMPRODUCT(--(Lineups!AS$46:AS$83=$U112),--(Lineups!AA$46:AA$83&lt;&gt;"SP")))</f>
        <v>1</v>
      </c>
      <c r="AC112" s="43">
        <f t="shared" si="222"/>
        <v>14</v>
      </c>
      <c r="AD112" s="880">
        <f t="shared" si="223"/>
        <v>0.6086956522</v>
      </c>
      <c r="AE112" s="43">
        <f t="shared" si="224"/>
        <v>14</v>
      </c>
      <c r="AF112" s="880">
        <f t="shared" si="225"/>
        <v>0.6086956522</v>
      </c>
      <c r="AG112" s="882" t="str">
        <f>IF(U112="","",IF(OR(SK!U185="",SK!U185=0),"",SK!X185))</f>
        <v/>
      </c>
      <c r="AH112" s="43">
        <f>IF($U112="","",SUMPRODUCT(--(Lineups!AC$46:AC$83=$U112)))</f>
        <v>0</v>
      </c>
      <c r="AI112" s="880">
        <f t="shared" si="226"/>
        <v>0</v>
      </c>
      <c r="AJ112" s="43">
        <f t="shared" si="227"/>
        <v>14</v>
      </c>
      <c r="AK112" s="880">
        <f t="shared" si="228"/>
        <v>0.6086956522</v>
      </c>
    </row>
    <row r="113" ht="13.5" customHeight="1">
      <c r="A113" s="883">
        <f t="shared" si="209"/>
        <v>6</v>
      </c>
      <c r="B113" s="884" t="str">
        <f t="shared" ref="B113:C113" si="235">B14</f>
        <v>33</v>
      </c>
      <c r="C113" s="884" t="str">
        <f t="shared" si="235"/>
        <v>Klein</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4</v>
      </c>
      <c r="O113" s="885">
        <f>IF($B113="","",SUMPRODUCT(--(Lineups!C$46:C$83=$B113)))</f>
        <v>6</v>
      </c>
      <c r="P113" s="886">
        <f t="shared" si="216"/>
        <v>0.2608695652</v>
      </c>
      <c r="Q113" s="885">
        <f t="shared" si="217"/>
        <v>6</v>
      </c>
      <c r="R113" s="886">
        <f t="shared" si="218"/>
        <v>0.2608695652</v>
      </c>
      <c r="S113" s="43"/>
      <c r="T113" s="883">
        <f t="shared" si="219"/>
        <v>6</v>
      </c>
      <c r="U113" s="884" t="str">
        <f t="shared" ref="U113:V113" si="236">U14</f>
        <v>316</v>
      </c>
      <c r="V113" s="884" t="str">
        <f t="shared" si="236"/>
        <v>Eve Anne Hellical</v>
      </c>
      <c r="W113" s="885">
        <f>IF($U113="","",SUMPRODUCT(--(Lineups!AG$46:AG$83=$U113),--(Lineups!AB$46:AB$83="")))</f>
        <v>1</v>
      </c>
      <c r="X113" s="886">
        <f t="shared" si="221"/>
        <v>0.04347826087</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v>
      </c>
      <c r="AF113" s="886">
        <f t="shared" si="225"/>
        <v>0.04347826087</v>
      </c>
      <c r="AG113" s="887">
        <f>IF(U113="","",IF(OR(SK!U188="",SK!U188=0),"",SK!X188))</f>
        <v>1</v>
      </c>
      <c r="AH113" s="885">
        <f>IF($U113="","",SUMPRODUCT(--(Lineups!AC$46:AC$83=$U113)))</f>
        <v>5</v>
      </c>
      <c r="AI113" s="886">
        <f t="shared" si="226"/>
        <v>0.2173913043</v>
      </c>
      <c r="AJ113" s="885">
        <f t="shared" si="227"/>
        <v>6</v>
      </c>
      <c r="AK113" s="886">
        <f t="shared" si="228"/>
        <v>0.2608695652</v>
      </c>
    </row>
    <row r="114" ht="13.5" customHeight="1">
      <c r="A114" s="5">
        <f t="shared" si="209"/>
        <v>7</v>
      </c>
      <c r="B114" s="879" t="str">
        <f t="shared" ref="B114:C114" si="237">B15</f>
        <v>357</v>
      </c>
      <c r="C114" s="879" t="str">
        <f t="shared" si="237"/>
        <v>Bia Fraid</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1</v>
      </c>
      <c r="I114" s="881">
        <f>IF($B114="","",SUMPRODUCT(--(Lineups!S$46:S$83=$B114),--(Lineups!A$46:A$83&lt;&gt;"SP")))</f>
        <v>1</v>
      </c>
      <c r="J114" s="43">
        <f t="shared" si="212"/>
        <v>3</v>
      </c>
      <c r="K114" s="880">
        <f t="shared" si="213"/>
        <v>0.1304347826</v>
      </c>
      <c r="L114" s="43">
        <f t="shared" si="214"/>
        <v>3</v>
      </c>
      <c r="M114" s="880">
        <f t="shared" si="215"/>
        <v>0.1304347826</v>
      </c>
      <c r="N114" s="882" t="str">
        <f>IF(B114="","",IF(OR(SK!E191="",SK!E191=0),"",SK!H191))</f>
        <v/>
      </c>
      <c r="O114" s="43">
        <f>IF($B114="","",SUMPRODUCT(--(Lineups!C$46:C$83=$B114)))</f>
        <v>0</v>
      </c>
      <c r="P114" s="880">
        <f t="shared" si="216"/>
        <v>0</v>
      </c>
      <c r="Q114" s="43">
        <f t="shared" si="217"/>
        <v>3</v>
      </c>
      <c r="R114" s="880">
        <f t="shared" si="218"/>
        <v>0.1304347826</v>
      </c>
      <c r="S114" s="43"/>
      <c r="T114" s="5">
        <f t="shared" si="219"/>
        <v>7</v>
      </c>
      <c r="U114" s="879" t="str">
        <f t="shared" ref="U114:V114" si="238">U15</f>
        <v>343</v>
      </c>
      <c r="V114" s="879" t="str">
        <f t="shared" si="238"/>
        <v>Trinity</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1</v>
      </c>
      <c r="AH114" s="43">
        <f>IF($U114="","",SUMPRODUCT(--(Lineups!AC$46:AC$83=$U114)))</f>
        <v>6</v>
      </c>
      <c r="AI114" s="880">
        <f t="shared" si="226"/>
        <v>0.2608695652</v>
      </c>
      <c r="AJ114" s="43">
        <f t="shared" si="227"/>
        <v>6</v>
      </c>
      <c r="AK114" s="880">
        <f t="shared" si="228"/>
        <v>0.2608695652</v>
      </c>
    </row>
    <row r="115" ht="13.5" customHeight="1">
      <c r="A115" s="883">
        <f t="shared" si="209"/>
        <v>8</v>
      </c>
      <c r="B115" s="884" t="str">
        <f t="shared" ref="B115:C115" si="239">B16</f>
        <v>40</v>
      </c>
      <c r="C115" s="884" t="str">
        <f t="shared" si="239"/>
        <v>speedlejuice</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1</v>
      </c>
      <c r="O115" s="885">
        <f>IF($B115="","",SUMPRODUCT(--(Lineups!C$46:C$83=$B115)))</f>
        <v>1</v>
      </c>
      <c r="P115" s="886">
        <f t="shared" si="216"/>
        <v>0.04347826087</v>
      </c>
      <c r="Q115" s="885">
        <f t="shared" si="217"/>
        <v>1</v>
      </c>
      <c r="R115" s="886">
        <f t="shared" si="218"/>
        <v>0.04347826087</v>
      </c>
      <c r="S115" s="43"/>
      <c r="T115" s="883">
        <f t="shared" si="219"/>
        <v>8</v>
      </c>
      <c r="U115" s="884" t="str">
        <f t="shared" ref="U115:V115" si="240">U16</f>
        <v>360</v>
      </c>
      <c r="V115" s="884" t="str">
        <f t="shared" si="240"/>
        <v>Big Bang Fury</v>
      </c>
      <c r="W115" s="885">
        <f>IF($U115="","",SUMPRODUCT(--(Lineups!AG$46:AG$83=$U115),--(Lineups!AB$46:AB$83="")))</f>
        <v>1</v>
      </c>
      <c r="X115" s="886">
        <f t="shared" si="221"/>
        <v>0.04347826087</v>
      </c>
      <c r="Y115" s="881">
        <f>IF($U115="","",SUMPRODUCT(--(Lineups!AG$46:AG$83=$U115),--(Lineups!AB$46:AB$83="X")))</f>
        <v>0</v>
      </c>
      <c r="Z115" s="881">
        <f>IF($U115="","",SUMPRODUCT(--(Lineups!AK$46:AK$83=$U115),--(Lineups!AA$46:AA$83&lt;&gt;"SP")))</f>
        <v>3</v>
      </c>
      <c r="AA115" s="881">
        <f>IF($U115="","",SUMPRODUCT(--(Lineups!AO$46:AO$83=$U115),--(Lineups!AA$46:AA$83&lt;&gt;"SP")))</f>
        <v>4</v>
      </c>
      <c r="AB115" s="881">
        <f>IF($U115="","",SUMPRODUCT(--(Lineups!AS$46:AS$83=$U115),--(Lineups!AA$46:AA$83&lt;&gt;"SP")))</f>
        <v>5</v>
      </c>
      <c r="AC115" s="885">
        <f t="shared" si="222"/>
        <v>12</v>
      </c>
      <c r="AD115" s="886">
        <f t="shared" si="223"/>
        <v>0.5217391304</v>
      </c>
      <c r="AE115" s="885">
        <f t="shared" si="224"/>
        <v>13</v>
      </c>
      <c r="AF115" s="886">
        <f t="shared" si="225"/>
        <v>0.5652173913</v>
      </c>
      <c r="AG115" s="887" t="str">
        <f>IF(U115="","",IF(OR(SK!U194="",SK!U194=0),"",SK!X194))</f>
        <v/>
      </c>
      <c r="AH115" s="885">
        <f>IF($U115="","",SUMPRODUCT(--(Lineups!AC$46:AC$83=$U115)))</f>
        <v>0</v>
      </c>
      <c r="AI115" s="886">
        <f t="shared" si="226"/>
        <v>0</v>
      </c>
      <c r="AJ115" s="885">
        <f t="shared" si="227"/>
        <v>13</v>
      </c>
      <c r="AK115" s="886">
        <f t="shared" si="228"/>
        <v>0.5652173913</v>
      </c>
    </row>
    <row r="116" ht="13.5" customHeight="1">
      <c r="A116" s="5">
        <f t="shared" si="209"/>
        <v>9</v>
      </c>
      <c r="B116" s="879" t="str">
        <f t="shared" ref="B116:C116" si="241">B17</f>
        <v>50</v>
      </c>
      <c r="C116" s="879" t="str">
        <f t="shared" si="241"/>
        <v>Scald Eagle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7</v>
      </c>
      <c r="O116" s="43">
        <f>IF($B116="","",SUMPRODUCT(--(Lineups!C$46:C$83=$B116)))</f>
        <v>8</v>
      </c>
      <c r="P116" s="880">
        <f t="shared" si="216"/>
        <v>0.347826087</v>
      </c>
      <c r="Q116" s="43">
        <f t="shared" si="217"/>
        <v>8</v>
      </c>
      <c r="R116" s="880">
        <f t="shared" si="218"/>
        <v>0.347826087</v>
      </c>
      <c r="S116" s="43"/>
      <c r="T116" s="5">
        <f t="shared" si="219"/>
        <v>9</v>
      </c>
      <c r="U116" s="879" t="str">
        <f t="shared" ref="U116:V116" si="242">U17</f>
        <v>37</v>
      </c>
      <c r="V116" s="879" t="str">
        <f t="shared" si="242"/>
        <v>Swagetha</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3</v>
      </c>
      <c r="AB116" s="881">
        <f>IF($U116="","",SUMPRODUCT(--(Lineups!AS$46:AS$83=$U116),--(Lineups!AA$46:AA$83&lt;&gt;"SP")))</f>
        <v>1</v>
      </c>
      <c r="AC116" s="43">
        <f t="shared" si="222"/>
        <v>5</v>
      </c>
      <c r="AD116" s="880">
        <f t="shared" si="223"/>
        <v>0.2173913043</v>
      </c>
      <c r="AE116" s="43">
        <f t="shared" si="224"/>
        <v>5</v>
      </c>
      <c r="AF116" s="880">
        <f t="shared" si="225"/>
        <v>0.2173913043</v>
      </c>
      <c r="AG116" s="882" t="str">
        <f>IF(U116="","",IF(OR(SK!U197="",SK!U197=0),"",SK!X197))</f>
        <v/>
      </c>
      <c r="AH116" s="43">
        <f>IF($U116="","",SUMPRODUCT(--(Lineups!AC$46:AC$83=$U116)))</f>
        <v>0</v>
      </c>
      <c r="AI116" s="880">
        <f t="shared" si="226"/>
        <v>0</v>
      </c>
      <c r="AJ116" s="43">
        <f t="shared" si="227"/>
        <v>5</v>
      </c>
      <c r="AK116" s="880">
        <f t="shared" si="228"/>
        <v>0.2173913043</v>
      </c>
    </row>
    <row r="117" ht="13.5" customHeight="1">
      <c r="A117" s="883">
        <f t="shared" si="209"/>
        <v>10</v>
      </c>
      <c r="B117" s="884" t="str">
        <f t="shared" ref="B117:C117" si="243">B18</f>
        <v>505</v>
      </c>
      <c r="C117" s="884" t="str">
        <f t="shared" si="243"/>
        <v>Elyse LeKraken</v>
      </c>
      <c r="D117" s="885">
        <f>IF($B117="","",SUMPRODUCT(--(Lineups!G$46:G$83=$B117),--(Lineups!B$46:B$83="")))</f>
        <v>0</v>
      </c>
      <c r="E117" s="886">
        <f t="shared" si="211"/>
        <v>0</v>
      </c>
      <c r="F117" s="881">
        <f>IF($B117="","",SUMPRODUCT(--(Lineups!G$46:G$83=$B117),--(Lineups!B$46:B$83="X")))</f>
        <v>0</v>
      </c>
      <c r="G117" s="881">
        <f>IF($B117="","",SUMPRODUCT(--(Lineups!K$46:K$83=$B117),--(Lineups!A$46:A$83&lt;&gt;"SP")))</f>
        <v>4</v>
      </c>
      <c r="H117" s="881">
        <f>IF($B117="","",SUMPRODUCT(--(Lineups!O$46:O$83=$B117),--(Lineups!A$46:A$83&lt;&gt;"SP")))</f>
        <v>0</v>
      </c>
      <c r="I117" s="881">
        <f>IF($B117="","",SUMPRODUCT(--(Lineups!S$46:S$83=$B117),--(Lineups!A$46:A$83&lt;&gt;"SP")))</f>
        <v>5</v>
      </c>
      <c r="J117" s="885">
        <f t="shared" si="212"/>
        <v>9</v>
      </c>
      <c r="K117" s="886">
        <f t="shared" si="213"/>
        <v>0.3913043478</v>
      </c>
      <c r="L117" s="885">
        <f t="shared" si="214"/>
        <v>9</v>
      </c>
      <c r="M117" s="886">
        <f t="shared" si="215"/>
        <v>0.3913043478</v>
      </c>
      <c r="N117" s="887" t="str">
        <f>IF(B117="","",IF(OR(SK!E200="",SK!E200=0),"",SK!H200))</f>
        <v/>
      </c>
      <c r="O117" s="885">
        <f>IF($B117="","",SUMPRODUCT(--(Lineups!C$46:C$83=$B117)))</f>
        <v>0</v>
      </c>
      <c r="P117" s="886">
        <f t="shared" si="216"/>
        <v>0</v>
      </c>
      <c r="Q117" s="885">
        <f t="shared" si="217"/>
        <v>9</v>
      </c>
      <c r="R117" s="886">
        <f t="shared" si="218"/>
        <v>0.3913043478</v>
      </c>
      <c r="S117" s="43"/>
      <c r="T117" s="883">
        <f t="shared" si="219"/>
        <v>10</v>
      </c>
      <c r="U117" s="884" t="str">
        <f t="shared" ref="U117:V117" si="244">U18</f>
        <v>39</v>
      </c>
      <c r="V117" s="884" t="str">
        <f t="shared" si="244"/>
        <v>Gaffney</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4</v>
      </c>
      <c r="AB117" s="881">
        <f>IF($U117="","",SUMPRODUCT(--(Lineups!AS$46:AS$83=$U117),--(Lineups!AA$46:AA$83&lt;&gt;"SP")))</f>
        <v>7</v>
      </c>
      <c r="AC117" s="885">
        <f t="shared" si="222"/>
        <v>11</v>
      </c>
      <c r="AD117" s="886">
        <f t="shared" si="223"/>
        <v>0.4782608696</v>
      </c>
      <c r="AE117" s="885">
        <f t="shared" si="224"/>
        <v>11</v>
      </c>
      <c r="AF117" s="886">
        <f t="shared" si="225"/>
        <v>0.4782608696</v>
      </c>
      <c r="AG117" s="887" t="str">
        <f>IF(U117="","",IF(OR(SK!U200="",SK!U200=0),"",SK!X200))</f>
        <v/>
      </c>
      <c r="AH117" s="885">
        <f>IF($U117="","",SUMPRODUCT(--(Lineups!AC$46:AC$83=$U117)))</f>
        <v>0</v>
      </c>
      <c r="AI117" s="886">
        <f t="shared" si="226"/>
        <v>0</v>
      </c>
      <c r="AJ117" s="885">
        <f t="shared" si="227"/>
        <v>11</v>
      </c>
      <c r="AK117" s="886">
        <f t="shared" si="228"/>
        <v>0.4782608696</v>
      </c>
    </row>
    <row r="118" ht="13.5" customHeight="1">
      <c r="A118" s="5">
        <f t="shared" si="209"/>
        <v>11</v>
      </c>
      <c r="B118" s="879" t="str">
        <f t="shared" ref="B118:C118" si="245">B19</f>
        <v>8000</v>
      </c>
      <c r="C118" s="879" t="str">
        <f t="shared" si="245"/>
        <v>Killifornia</v>
      </c>
      <c r="D118" s="43">
        <f>IF($B118="","",SUMPRODUCT(--(Lineups!G$46:G$83=$B118),--(Lineups!B$46:B$83="")))</f>
        <v>11</v>
      </c>
      <c r="E118" s="880">
        <f t="shared" si="211"/>
        <v>0.4782608696</v>
      </c>
      <c r="F118" s="881">
        <f>IF($B118="","",SUMPRODUCT(--(Lineups!G$46:G$83=$B118),--(Lineups!B$46:B$83="X")))</f>
        <v>0</v>
      </c>
      <c r="G118" s="881">
        <f>IF($B118="","",SUMPRODUCT(--(Lineups!K$46:K$83=$B118),--(Lineups!A$46:A$83&lt;&gt;"SP")))</f>
        <v>0</v>
      </c>
      <c r="H118" s="881">
        <f>IF($B118="","",SUMPRODUCT(--(Lineups!O$46:O$83=$B118),--(Lineups!A$46:A$83&lt;&gt;"SP")))</f>
        <v>1</v>
      </c>
      <c r="I118" s="881">
        <f>IF($B118="","",SUMPRODUCT(--(Lineups!S$46:S$83=$B118),--(Lineups!A$46:A$83&lt;&gt;"SP")))</f>
        <v>0</v>
      </c>
      <c r="J118" s="43">
        <f t="shared" si="212"/>
        <v>1</v>
      </c>
      <c r="K118" s="880">
        <f t="shared" si="213"/>
        <v>0.04347826087</v>
      </c>
      <c r="L118" s="43">
        <f t="shared" si="214"/>
        <v>12</v>
      </c>
      <c r="M118" s="880">
        <f t="shared" si="215"/>
        <v>0.5217391304</v>
      </c>
      <c r="N118" s="882" t="str">
        <f>IF(B118="","",IF(OR(SK!E203="",SK!E203=0),"",SK!H203))</f>
        <v/>
      </c>
      <c r="O118" s="43">
        <f>IF($B118="","",SUMPRODUCT(--(Lineups!C$46:C$83=$B118)))</f>
        <v>0</v>
      </c>
      <c r="P118" s="880">
        <f t="shared" si="216"/>
        <v>0</v>
      </c>
      <c r="Q118" s="43">
        <f t="shared" si="217"/>
        <v>12</v>
      </c>
      <c r="R118" s="880">
        <f t="shared" si="218"/>
        <v>0.5217391304</v>
      </c>
      <c r="S118" s="43"/>
      <c r="T118" s="5">
        <f t="shared" si="219"/>
        <v>11</v>
      </c>
      <c r="U118" s="879" t="str">
        <f t="shared" ref="U118:V118" si="246">U19</f>
        <v>48</v>
      </c>
      <c r="V118" s="879" t="str">
        <f t="shared" si="246"/>
        <v>Brute</v>
      </c>
      <c r="W118" s="43">
        <f>IF($U118="","",SUMPRODUCT(--(Lineups!AG$46:AG$83=$U118),--(Lineups!AB$46:AB$83="")))</f>
        <v>11</v>
      </c>
      <c r="X118" s="880">
        <f t="shared" si="221"/>
        <v>0.4782608696</v>
      </c>
      <c r="Y118" s="881">
        <f>IF($U118="","",SUMPRODUCT(--(Lineups!AG$46:AG$83=$U118),--(Lineups!AB$46:AB$83="X")))</f>
        <v>0</v>
      </c>
      <c r="Z118" s="881">
        <f>IF($U118="","",SUMPRODUCT(--(Lineups!AK$46:AK$83=$U118),--(Lineups!AA$46:AA$83&lt;&gt;"SP")))</f>
        <v>0</v>
      </c>
      <c r="AA118" s="881">
        <f>IF($U118="","",SUMPRODUCT(--(Lineups!AO$46:AO$83=$U118),--(Lineups!AA$46:AA$83&lt;&gt;"SP")))</f>
        <v>1</v>
      </c>
      <c r="AB118" s="881">
        <f>IF($U118="","",SUMPRODUCT(--(Lineups!AS$46:AS$83=$U118),--(Lineups!AA$46:AA$83&lt;&gt;"SP")))</f>
        <v>0</v>
      </c>
      <c r="AC118" s="43">
        <f t="shared" si="222"/>
        <v>1</v>
      </c>
      <c r="AD118" s="880">
        <f t="shared" si="223"/>
        <v>0.04347826087</v>
      </c>
      <c r="AE118" s="43">
        <f t="shared" si="224"/>
        <v>12</v>
      </c>
      <c r="AF118" s="880">
        <f t="shared" si="225"/>
        <v>0.5217391304</v>
      </c>
      <c r="AG118" s="882" t="str">
        <f>IF(U118="","",IF(OR(SK!U203="",SK!U203=0),"",SK!X203))</f>
        <v/>
      </c>
      <c r="AH118" s="43">
        <f>IF($U118="","",SUMPRODUCT(--(Lineups!AC$46:AC$83=$U118)))</f>
        <v>0</v>
      </c>
      <c r="AI118" s="880">
        <f t="shared" si="226"/>
        <v>0</v>
      </c>
      <c r="AJ118" s="43">
        <f t="shared" si="227"/>
        <v>12</v>
      </c>
      <c r="AK118" s="880">
        <f t="shared" si="228"/>
        <v>0.5217391304</v>
      </c>
    </row>
    <row r="119" ht="13.5" customHeight="1">
      <c r="A119" s="883">
        <f t="shared" si="209"/>
        <v>12</v>
      </c>
      <c r="B119" s="884" t="str">
        <f t="shared" ref="B119:C119" si="247">B20</f>
        <v>90</v>
      </c>
      <c r="C119" s="884" t="str">
        <f t="shared" si="247"/>
        <v>Wee Bonnie Bruiser</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2</v>
      </c>
      <c r="I119" s="881">
        <f>IF($B119="","",SUMPRODUCT(--(Lineups!S$46:S$83=$B119),--(Lineups!A$46:A$83&lt;&gt;"SP")))</f>
        <v>1</v>
      </c>
      <c r="J119" s="885">
        <f t="shared" si="212"/>
        <v>4</v>
      </c>
      <c r="K119" s="886">
        <f t="shared" si="213"/>
        <v>0.1739130435</v>
      </c>
      <c r="L119" s="885">
        <f t="shared" si="214"/>
        <v>4</v>
      </c>
      <c r="M119" s="886">
        <f t="shared" si="215"/>
        <v>0.1739130435</v>
      </c>
      <c r="N119" s="887" t="str">
        <f>IF(B119="","",IF(OR(SK!E206="",SK!E206=0),"",SK!H206))</f>
        <v/>
      </c>
      <c r="O119" s="885">
        <f>IF($B119="","",SUMPRODUCT(--(Lineups!C$46:C$83=$B119)))</f>
        <v>0</v>
      </c>
      <c r="P119" s="886">
        <f t="shared" si="216"/>
        <v>0</v>
      </c>
      <c r="Q119" s="885">
        <f t="shared" si="217"/>
        <v>4</v>
      </c>
      <c r="R119" s="886">
        <f t="shared" si="218"/>
        <v>0.1739130435</v>
      </c>
      <c r="S119" s="43"/>
      <c r="T119" s="883">
        <f t="shared" si="219"/>
        <v>12</v>
      </c>
      <c r="U119" s="884" t="str">
        <f t="shared" ref="U119:V119" si="248">U20</f>
        <v>700</v>
      </c>
      <c r="V119" s="884" t="str">
        <f t="shared" si="248"/>
        <v>Springroll</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1</v>
      </c>
      <c r="AH119" s="885">
        <f>IF($U119="","",SUMPRODUCT(--(Lineups!AC$46:AC$83=$U119)))</f>
        <v>6</v>
      </c>
      <c r="AI119" s="886">
        <f t="shared" si="226"/>
        <v>0.2608695652</v>
      </c>
      <c r="AJ119" s="885">
        <f t="shared" si="227"/>
        <v>6</v>
      </c>
      <c r="AK119" s="886">
        <f t="shared" si="228"/>
        <v>0.2608695652</v>
      </c>
    </row>
    <row r="120" ht="13.5" customHeight="1">
      <c r="A120" s="5">
        <f t="shared" si="209"/>
        <v>13</v>
      </c>
      <c r="B120" s="879" t="str">
        <f t="shared" ref="B120:C120" si="249">B21</f>
        <v>919</v>
      </c>
      <c r="C120" s="879" t="str">
        <f t="shared" si="249"/>
        <v>Grizz</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3</v>
      </c>
      <c r="I120" s="881">
        <f>IF($B120="","",SUMPRODUCT(--(Lineups!S$46:S$83=$B120),--(Lineups!A$46:A$83&lt;&gt;"SP")))</f>
        <v>3</v>
      </c>
      <c r="J120" s="43">
        <f t="shared" si="212"/>
        <v>7</v>
      </c>
      <c r="K120" s="880">
        <f t="shared" si="213"/>
        <v>0.3043478261</v>
      </c>
      <c r="L120" s="43">
        <f t="shared" si="214"/>
        <v>7</v>
      </c>
      <c r="M120" s="880">
        <f t="shared" si="215"/>
        <v>0.3043478261</v>
      </c>
      <c r="N120" s="882" t="str">
        <f>IF(B120="","",IF(OR(SK!E209="",SK!E209=0),"",SK!H209))</f>
        <v/>
      </c>
      <c r="O120" s="43">
        <f>IF($B120="","",SUMPRODUCT(--(Lineups!C$46:C$83=$B120)))</f>
        <v>0</v>
      </c>
      <c r="P120" s="880">
        <f t="shared" si="216"/>
        <v>0</v>
      </c>
      <c r="Q120" s="43">
        <f t="shared" si="217"/>
        <v>7</v>
      </c>
      <c r="R120" s="880">
        <f t="shared" si="218"/>
        <v>0.3043478261</v>
      </c>
      <c r="S120" s="43"/>
      <c r="T120" s="5">
        <f t="shared" si="219"/>
        <v>13</v>
      </c>
      <c r="U120" s="879" t="str">
        <f t="shared" ref="U120:V120" si="250">U21</f>
        <v>71</v>
      </c>
      <c r="V120" s="879" t="str">
        <f t="shared" si="250"/>
        <v>Danger Potato</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3.5" customHeight="1">
      <c r="A121" s="883">
        <f t="shared" si="209"/>
        <v>14</v>
      </c>
      <c r="B121" s="884" t="str">
        <f t="shared" ref="B121:C121" si="251">B22</f>
        <v>949</v>
      </c>
      <c r="C121" s="884" t="str">
        <f t="shared" si="251"/>
        <v>Coyote</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3</v>
      </c>
      <c r="I121" s="881">
        <f>IF($B121="","",SUMPRODUCT(--(Lineups!S$46:S$83=$B121),--(Lineups!A$46:A$83&lt;&gt;"SP")))</f>
        <v>3</v>
      </c>
      <c r="J121" s="885">
        <f t="shared" si="212"/>
        <v>9</v>
      </c>
      <c r="K121" s="886">
        <f t="shared" si="213"/>
        <v>0.3913043478</v>
      </c>
      <c r="L121" s="885">
        <f t="shared" si="214"/>
        <v>9</v>
      </c>
      <c r="M121" s="886">
        <f t="shared" si="215"/>
        <v>0.3913043478</v>
      </c>
      <c r="N121" s="887" t="str">
        <f>IF(B121="","",IF(OR(SK!E212="",SK!E212=0),"",SK!H212))</f>
        <v/>
      </c>
      <c r="O121" s="885">
        <f>IF($B121="","",SUMPRODUCT(--(Lineups!C$46:C$83=$B121)))</f>
        <v>0</v>
      </c>
      <c r="P121" s="886">
        <f t="shared" si="216"/>
        <v>0</v>
      </c>
      <c r="Q121" s="885">
        <f t="shared" si="217"/>
        <v>9</v>
      </c>
      <c r="R121" s="886">
        <f t="shared" si="218"/>
        <v>0.3913043478</v>
      </c>
      <c r="S121" s="43"/>
      <c r="T121" s="883">
        <f t="shared" si="219"/>
        <v>14</v>
      </c>
      <c r="U121" s="884" t="str">
        <f t="shared" ref="U121:V121" si="252">U22</f>
        <v>79</v>
      </c>
      <c r="V121" s="884" t="str">
        <f t="shared" si="252"/>
        <v>Lil RegulateHer</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1</v>
      </c>
      <c r="AC121" s="885">
        <f t="shared" si="222"/>
        <v>1</v>
      </c>
      <c r="AD121" s="886">
        <f t="shared" si="223"/>
        <v>0.04347826087</v>
      </c>
      <c r="AE121" s="885">
        <f t="shared" si="224"/>
        <v>1</v>
      </c>
      <c r="AF121" s="886">
        <f t="shared" si="225"/>
        <v>0.04347826087</v>
      </c>
      <c r="AG121" s="887">
        <f>IF(U121="","",IF(OR(SK!U212="",SK!U212=0),"",SK!X212))</f>
        <v>1</v>
      </c>
      <c r="AH121" s="885">
        <f>IF($U121="","",SUMPRODUCT(--(Lineups!AC$46:AC$83=$U121)))</f>
        <v>6</v>
      </c>
      <c r="AI121" s="886">
        <f t="shared" si="226"/>
        <v>0.2608695652</v>
      </c>
      <c r="AJ121" s="885">
        <f t="shared" si="227"/>
        <v>7</v>
      </c>
      <c r="AK121" s="886">
        <f t="shared" si="228"/>
        <v>0.3043478261</v>
      </c>
    </row>
    <row r="122" ht="13.5" customHeight="1">
      <c r="A122" s="5">
        <f t="shared" si="209"/>
        <v>15</v>
      </c>
      <c r="B122" s="879" t="str">
        <f t="shared" ref="B122:C122" si="253">B23</f>
        <v>99</v>
      </c>
      <c r="C122" s="879" t="str">
        <f t="shared" si="253"/>
        <v>Chinaski</v>
      </c>
      <c r="D122" s="43">
        <f>IF($B122="","",SUMPRODUCT(--(Lineups!G$46:G$83=$B122),--(Lineups!B$46:B$83="")))</f>
        <v>0</v>
      </c>
      <c r="E122" s="880">
        <f t="shared" si="211"/>
        <v>0</v>
      </c>
      <c r="F122" s="881">
        <f>IF($B122="","",SUMPRODUCT(--(Lineups!G$46:G$83=$B122),--(Lineups!B$46:B$83="X")))</f>
        <v>0</v>
      </c>
      <c r="G122" s="881">
        <f>IF($B122="","",SUMPRODUCT(--(Lineups!K$46:K$83=$B122),--(Lineups!A$46:A$83&lt;&gt;"SP")))</f>
        <v>5</v>
      </c>
      <c r="H122" s="881">
        <f>IF($B122="","",SUMPRODUCT(--(Lineups!O$46:O$83=$B122),--(Lineups!A$46:A$83&lt;&gt;"SP")))</f>
        <v>5</v>
      </c>
      <c r="I122" s="881">
        <f>IF($B122="","",SUMPRODUCT(--(Lineups!S$46:S$83=$B122),--(Lineups!A$46:A$83&lt;&gt;"SP")))</f>
        <v>2</v>
      </c>
      <c r="J122" s="43">
        <f t="shared" si="212"/>
        <v>12</v>
      </c>
      <c r="K122" s="880">
        <f t="shared" si="213"/>
        <v>0.5217391304</v>
      </c>
      <c r="L122" s="43">
        <f t="shared" si="214"/>
        <v>12</v>
      </c>
      <c r="M122" s="880">
        <f t="shared" si="215"/>
        <v>0.5217391304</v>
      </c>
      <c r="N122" s="882" t="str">
        <f>IF(B122="","",IF(OR(SK!E215="",SK!E215=0),"",SK!H215))</f>
        <v/>
      </c>
      <c r="O122" s="43">
        <f>IF($B122="","",SUMPRODUCT(--(Lineups!C$46:C$83=$B122)))</f>
        <v>0</v>
      </c>
      <c r="P122" s="880">
        <f t="shared" si="216"/>
        <v>0</v>
      </c>
      <c r="Q122" s="43">
        <f t="shared" si="217"/>
        <v>12</v>
      </c>
      <c r="R122" s="880">
        <f t="shared" si="218"/>
        <v>0.5217391304</v>
      </c>
      <c r="S122" s="43"/>
      <c r="T122" s="5">
        <f t="shared" si="219"/>
        <v>15</v>
      </c>
      <c r="U122" s="879" t="str">
        <f t="shared" ref="U122:V122" si="254">U23</f>
        <v>89</v>
      </c>
      <c r="V122" s="879" t="str">
        <f t="shared" si="254"/>
        <v>High Roller</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1</v>
      </c>
      <c r="AB122" s="881">
        <f>IF($U122="","",SUMPRODUCT(--(Lineups!AS$46:AS$83=$U122),--(Lineups!AA$46:AA$83&lt;&gt;"SP")))</f>
        <v>1</v>
      </c>
      <c r="AC122" s="43">
        <f t="shared" si="222"/>
        <v>3</v>
      </c>
      <c r="AD122" s="880">
        <f t="shared" si="223"/>
        <v>0.1304347826</v>
      </c>
      <c r="AE122" s="43">
        <f t="shared" si="224"/>
        <v>3</v>
      </c>
      <c r="AF122" s="880">
        <f t="shared" si="225"/>
        <v>0.1304347826</v>
      </c>
      <c r="AG122" s="882" t="str">
        <f>IF(U122="","",IF(OR(SK!U215="",SK!U215=0),"",SK!X215))</f>
        <v/>
      </c>
      <c r="AH122" s="43">
        <f>IF($U122="","",SUMPRODUCT(--(Lineups!AC$46:AC$83=$U122)))</f>
        <v>0</v>
      </c>
      <c r="AI122" s="880">
        <f t="shared" si="226"/>
        <v>0</v>
      </c>
      <c r="AJ122" s="43">
        <f t="shared" si="227"/>
        <v>3</v>
      </c>
      <c r="AK122" s="880">
        <f t="shared" si="228"/>
        <v>0.1304347826</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412</v>
      </c>
      <c r="B129" s="8"/>
      <c r="C129" s="9"/>
      <c r="D129" s="874"/>
      <c r="E129" s="874"/>
      <c r="F129" s="874"/>
      <c r="G129" s="874"/>
      <c r="H129" s="874"/>
      <c r="I129" s="874"/>
      <c r="J129" s="874"/>
      <c r="K129" s="874"/>
      <c r="L129" s="874"/>
      <c r="M129" s="874"/>
      <c r="N129" s="874"/>
      <c r="O129" s="874"/>
      <c r="P129" s="874"/>
      <c r="Q129" s="874"/>
      <c r="R129" s="874"/>
      <c r="S129" s="43"/>
      <c r="T129" s="873" t="s">
        <v>412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402</v>
      </c>
      <c r="C130" s="875" t="s">
        <v>403</v>
      </c>
      <c r="D130" s="875" t="s">
        <v>261</v>
      </c>
      <c r="E130" s="5"/>
      <c r="F130" s="877" t="s">
        <v>262</v>
      </c>
      <c r="G130" s="877" t="s">
        <v>262</v>
      </c>
      <c r="H130" s="877" t="s">
        <v>262</v>
      </c>
      <c r="I130" s="877" t="s">
        <v>262</v>
      </c>
      <c r="J130" s="875" t="s">
        <v>405</v>
      </c>
      <c r="K130" s="5"/>
      <c r="L130" s="875" t="s">
        <v>407</v>
      </c>
      <c r="M130" s="5"/>
      <c r="N130" s="878" t="s">
        <v>409</v>
      </c>
      <c r="O130" s="875" t="s">
        <v>259</v>
      </c>
      <c r="P130" s="5"/>
      <c r="Q130" s="875" t="s">
        <v>376</v>
      </c>
      <c r="R130" s="5"/>
      <c r="S130" s="43"/>
      <c r="T130" s="875">
        <v>0.0</v>
      </c>
      <c r="U130" s="875" t="s">
        <v>402</v>
      </c>
      <c r="V130" s="875" t="s">
        <v>403</v>
      </c>
      <c r="W130" s="875" t="s">
        <v>261</v>
      </c>
      <c r="X130" s="5"/>
      <c r="Y130" s="877" t="s">
        <v>262</v>
      </c>
      <c r="Z130" s="877" t="s">
        <v>262</v>
      </c>
      <c r="AA130" s="877" t="s">
        <v>262</v>
      </c>
      <c r="AB130" s="877" t="s">
        <v>262</v>
      </c>
      <c r="AC130" s="875" t="s">
        <v>405</v>
      </c>
      <c r="AD130" s="5"/>
      <c r="AE130" s="875" t="s">
        <v>407</v>
      </c>
      <c r="AF130" s="5"/>
      <c r="AG130" s="878" t="s">
        <v>409</v>
      </c>
      <c r="AH130" s="875" t="s">
        <v>259</v>
      </c>
      <c r="AI130" s="5"/>
      <c r="AJ130" s="875" t="s">
        <v>376</v>
      </c>
      <c r="AK130" s="5"/>
    </row>
    <row r="131" ht="13.5" customHeight="1">
      <c r="A131" s="5">
        <f t="shared" ref="A131:A150" si="269">A130+1</f>
        <v>1</v>
      </c>
      <c r="B131" s="630" t="str">
        <f t="shared" ref="B131:C131" si="265">B108</f>
        <v>10</v>
      </c>
      <c r="C131" s="630" t="str">
        <f t="shared" si="265"/>
        <v>Unprotected Lex</v>
      </c>
      <c r="D131" s="5">
        <f t="shared" ref="D131:D150" si="271">IF($B131="","",D154-D177)</f>
        <v>0</v>
      </c>
      <c r="E131" s="43"/>
      <c r="F131" s="881">
        <f t="shared" ref="F131:I131" si="266">IF($B131="","",F154-F177)</f>
        <v>0</v>
      </c>
      <c r="G131" s="881">
        <f t="shared" si="266"/>
        <v>12</v>
      </c>
      <c r="H131" s="881">
        <f t="shared" si="266"/>
        <v>12</v>
      </c>
      <c r="I131" s="881">
        <f t="shared" si="266"/>
        <v>0</v>
      </c>
      <c r="J131" s="5">
        <f t="shared" ref="J131:J150" si="273">IF(B131="","",SUM(F131:I131))</f>
        <v>24</v>
      </c>
      <c r="K131" s="43"/>
      <c r="L131" s="5">
        <f t="shared" ref="L131:L150" si="274">IF(B131="","",SUM(D131,J131))</f>
        <v>24</v>
      </c>
      <c r="M131" s="43"/>
      <c r="N131" s="43"/>
      <c r="O131" s="5">
        <f t="shared" ref="O131:O150" si="275">IF($B131="","",O154-O177)</f>
        <v>0</v>
      </c>
      <c r="P131" s="43"/>
      <c r="Q131" s="5">
        <f t="shared" ref="Q131:Q150" si="276">IF(B131="","",SUM(L131,O131))</f>
        <v>24</v>
      </c>
      <c r="R131" s="43"/>
      <c r="S131" s="43"/>
      <c r="T131" s="5">
        <f t="shared" ref="T131:T150" si="277">T130+1</f>
        <v>1</v>
      </c>
      <c r="U131" s="630" t="str">
        <f t="shared" ref="U131:V131" si="267">U108</f>
        <v>11</v>
      </c>
      <c r="V131" s="630" t="str">
        <f t="shared" si="267"/>
        <v>Bertha Beatdown</v>
      </c>
      <c r="W131" s="5">
        <f t="shared" ref="W131:W150" si="279">IF($U131="","",W154-W177)</f>
        <v>0</v>
      </c>
      <c r="X131" s="43"/>
      <c r="Y131" s="881">
        <f t="shared" ref="Y131:AB131" si="268">IF($U131="","",Y154-Y177)</f>
        <v>0</v>
      </c>
      <c r="Z131" s="881">
        <f t="shared" si="268"/>
        <v>-9</v>
      </c>
      <c r="AA131" s="881">
        <f t="shared" si="268"/>
        <v>-12</v>
      </c>
      <c r="AB131" s="881">
        <f t="shared" si="268"/>
        <v>-4</v>
      </c>
      <c r="AC131" s="5">
        <f t="shared" ref="AC131:AC150" si="281">IF(U131="","",SUM(Y131:AB131))</f>
        <v>-25</v>
      </c>
      <c r="AD131" s="43"/>
      <c r="AE131" s="5">
        <f t="shared" ref="AE131:AE150" si="282">IF(U131="","",SUM(W131,AC131))</f>
        <v>-25</v>
      </c>
      <c r="AF131" s="43"/>
      <c r="AG131" s="43"/>
      <c r="AH131" s="5">
        <f t="shared" ref="AH131:AH150" si="283">IF($U131="","",AH154-AH177)</f>
        <v>0</v>
      </c>
      <c r="AI131" s="43"/>
      <c r="AJ131" s="5">
        <f t="shared" ref="AJ131:AJ150" si="284">IF(U131="","",SUM(AE131,AH131))</f>
        <v>-25</v>
      </c>
      <c r="AK131" s="43"/>
    </row>
    <row r="132" ht="13.5" customHeight="1">
      <c r="A132" s="883">
        <f t="shared" si="269"/>
        <v>2</v>
      </c>
      <c r="B132" s="888" t="str">
        <f t="shared" ref="B132:C132" si="270">B109</f>
        <v>1706</v>
      </c>
      <c r="C132" s="888" t="str">
        <f t="shared" si="270"/>
        <v>Maven</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29</v>
      </c>
      <c r="P132" s="43"/>
      <c r="Q132" s="883">
        <f t="shared" si="276"/>
        <v>29</v>
      </c>
      <c r="R132" s="43"/>
      <c r="S132" s="43"/>
      <c r="T132" s="883">
        <f t="shared" si="277"/>
        <v>2</v>
      </c>
      <c r="U132" s="888" t="str">
        <f t="shared" ref="U132:V132" si="278">U109</f>
        <v>128</v>
      </c>
      <c r="V132" s="888" t="str">
        <f t="shared" si="278"/>
        <v>Carl</v>
      </c>
      <c r="W132" s="883">
        <f t="shared" si="279"/>
        <v>0</v>
      </c>
      <c r="X132" s="43"/>
      <c r="Y132" s="881">
        <f t="shared" ref="Y132:AB132" si="280">IF($U132="","",Y155-Y178)</f>
        <v>0</v>
      </c>
      <c r="Z132" s="881">
        <f t="shared" si="280"/>
        <v>-12</v>
      </c>
      <c r="AA132" s="881">
        <f t="shared" si="280"/>
        <v>-12</v>
      </c>
      <c r="AB132" s="881">
        <f t="shared" si="280"/>
        <v>-9</v>
      </c>
      <c r="AC132" s="883">
        <f t="shared" si="281"/>
        <v>-33</v>
      </c>
      <c r="AD132" s="43"/>
      <c r="AE132" s="883">
        <f t="shared" si="282"/>
        <v>-33</v>
      </c>
      <c r="AF132" s="43"/>
      <c r="AG132" s="43"/>
      <c r="AH132" s="883">
        <f t="shared" si="283"/>
        <v>0</v>
      </c>
      <c r="AI132" s="43"/>
      <c r="AJ132" s="883">
        <f t="shared" si="284"/>
        <v>-33</v>
      </c>
      <c r="AK132" s="43"/>
    </row>
    <row r="133" ht="13.5" customHeight="1">
      <c r="A133" s="5">
        <f t="shared" si="269"/>
        <v>3</v>
      </c>
      <c r="B133" s="630" t="str">
        <f t="shared" ref="B133:C133" si="285">B110</f>
        <v>2</v>
      </c>
      <c r="C133" s="630" t="str">
        <f t="shared" si="285"/>
        <v>Taryn</v>
      </c>
      <c r="D133" s="5">
        <f t="shared" si="271"/>
        <v>0</v>
      </c>
      <c r="E133" s="43"/>
      <c r="F133" s="881">
        <f t="shared" ref="F133:I133" si="286">IF($B133="","",F156-F179)</f>
        <v>0</v>
      </c>
      <c r="G133" s="881">
        <f t="shared" si="286"/>
        <v>0</v>
      </c>
      <c r="H133" s="881">
        <f t="shared" si="286"/>
        <v>11</v>
      </c>
      <c r="I133" s="881">
        <f t="shared" si="286"/>
        <v>28</v>
      </c>
      <c r="J133" s="5">
        <f t="shared" si="273"/>
        <v>39</v>
      </c>
      <c r="K133" s="43"/>
      <c r="L133" s="5">
        <f t="shared" si="274"/>
        <v>39</v>
      </c>
      <c r="M133" s="43"/>
      <c r="N133" s="43"/>
      <c r="O133" s="5">
        <f t="shared" si="275"/>
        <v>0</v>
      </c>
      <c r="P133" s="43"/>
      <c r="Q133" s="5">
        <f t="shared" si="276"/>
        <v>39</v>
      </c>
      <c r="R133" s="43"/>
      <c r="S133" s="43"/>
      <c r="T133" s="5">
        <f t="shared" si="277"/>
        <v>3</v>
      </c>
      <c r="U133" s="630" t="str">
        <f t="shared" ref="U133:V133" si="287">U110</f>
        <v>139</v>
      </c>
      <c r="V133" s="630" t="str">
        <f t="shared" si="287"/>
        <v>Katie Postma</v>
      </c>
      <c r="W133" s="5">
        <f t="shared" si="279"/>
        <v>-15</v>
      </c>
      <c r="X133" s="43"/>
      <c r="Y133" s="881">
        <f t="shared" ref="Y133:AB133" si="288">IF($U133="","",Y156-Y179)</f>
        <v>0</v>
      </c>
      <c r="Z133" s="881">
        <f t="shared" si="288"/>
        <v>0</v>
      </c>
      <c r="AA133" s="881">
        <f t="shared" si="288"/>
        <v>0</v>
      </c>
      <c r="AB133" s="881">
        <f t="shared" si="288"/>
        <v>0</v>
      </c>
      <c r="AC133" s="5">
        <f t="shared" si="281"/>
        <v>0</v>
      </c>
      <c r="AD133" s="43"/>
      <c r="AE133" s="5">
        <f t="shared" si="282"/>
        <v>-15</v>
      </c>
      <c r="AF133" s="43"/>
      <c r="AG133" s="43"/>
      <c r="AH133" s="5">
        <f t="shared" si="283"/>
        <v>0</v>
      </c>
      <c r="AI133" s="43"/>
      <c r="AJ133" s="5">
        <f t="shared" si="284"/>
        <v>-15</v>
      </c>
      <c r="AK133" s="43"/>
    </row>
    <row r="134" ht="13.5" customHeight="1">
      <c r="A134" s="883">
        <f t="shared" si="269"/>
        <v>4</v>
      </c>
      <c r="B134" s="888" t="str">
        <f t="shared" ref="B134:C134" si="289">B111</f>
        <v>22</v>
      </c>
      <c r="C134" s="888" t="str">
        <f t="shared" si="289"/>
        <v>Scara to Death</v>
      </c>
      <c r="D134" s="883">
        <f t="shared" si="271"/>
        <v>8</v>
      </c>
      <c r="E134" s="43"/>
      <c r="F134" s="881">
        <f t="shared" ref="F134:I134" si="290">IF($B134="","",F157-F180)</f>
        <v>0</v>
      </c>
      <c r="G134" s="881">
        <f t="shared" si="290"/>
        <v>31</v>
      </c>
      <c r="H134" s="881">
        <f t="shared" si="290"/>
        <v>9</v>
      </c>
      <c r="I134" s="881">
        <f t="shared" si="290"/>
        <v>8</v>
      </c>
      <c r="J134" s="883">
        <f t="shared" si="273"/>
        <v>48</v>
      </c>
      <c r="K134" s="43"/>
      <c r="L134" s="883">
        <f t="shared" si="274"/>
        <v>56</v>
      </c>
      <c r="M134" s="43"/>
      <c r="N134" s="43"/>
      <c r="O134" s="883">
        <f t="shared" si="275"/>
        <v>0</v>
      </c>
      <c r="P134" s="43"/>
      <c r="Q134" s="883">
        <f t="shared" si="276"/>
        <v>56</v>
      </c>
      <c r="R134" s="43"/>
      <c r="S134" s="43"/>
      <c r="T134" s="883">
        <f t="shared" si="277"/>
        <v>4</v>
      </c>
      <c r="U134" s="888" t="str">
        <f t="shared" ref="U134:V134" si="291">U111</f>
        <v>22</v>
      </c>
      <c r="V134" s="888" t="str">
        <f t="shared" si="291"/>
        <v>Habanero Romero</v>
      </c>
      <c r="W134" s="883">
        <f t="shared" si="279"/>
        <v>-18</v>
      </c>
      <c r="X134" s="43"/>
      <c r="Y134" s="881">
        <f t="shared" ref="Y134:AB134" si="292">IF($U134="","",Y157-Y180)</f>
        <v>0</v>
      </c>
      <c r="Z134" s="881">
        <f t="shared" si="292"/>
        <v>1</v>
      </c>
      <c r="AA134" s="881">
        <f t="shared" si="292"/>
        <v>0</v>
      </c>
      <c r="AB134" s="881">
        <f t="shared" si="292"/>
        <v>-14</v>
      </c>
      <c r="AC134" s="883">
        <f t="shared" si="281"/>
        <v>-13</v>
      </c>
      <c r="AD134" s="43"/>
      <c r="AE134" s="883">
        <f t="shared" si="282"/>
        <v>-31</v>
      </c>
      <c r="AF134" s="43"/>
      <c r="AG134" s="43"/>
      <c r="AH134" s="883">
        <f t="shared" si="283"/>
        <v>0</v>
      </c>
      <c r="AI134" s="43"/>
      <c r="AJ134" s="883">
        <f t="shared" si="284"/>
        <v>-31</v>
      </c>
      <c r="AK134" s="43"/>
    </row>
    <row r="135" ht="13.5" customHeight="1">
      <c r="A135" s="5">
        <f t="shared" si="269"/>
        <v>5</v>
      </c>
      <c r="B135" s="630" t="str">
        <f t="shared" ref="B135:C135" si="293">B112</f>
        <v>27</v>
      </c>
      <c r="C135" s="630" t="str">
        <f t="shared" si="293"/>
        <v>Gobrecht</v>
      </c>
      <c r="D135" s="5">
        <f t="shared" si="271"/>
        <v>43</v>
      </c>
      <c r="E135" s="43"/>
      <c r="F135" s="881">
        <f t="shared" ref="F135:I135" si="294">IF($B135="","",F158-F181)</f>
        <v>0</v>
      </c>
      <c r="G135" s="881">
        <f t="shared" si="294"/>
        <v>0</v>
      </c>
      <c r="H135" s="881">
        <f t="shared" si="294"/>
        <v>3</v>
      </c>
      <c r="I135" s="881">
        <f t="shared" si="294"/>
        <v>0</v>
      </c>
      <c r="J135" s="5">
        <f t="shared" si="273"/>
        <v>3</v>
      </c>
      <c r="K135" s="43"/>
      <c r="L135" s="5">
        <f t="shared" si="274"/>
        <v>46</v>
      </c>
      <c r="M135" s="43"/>
      <c r="N135" s="43"/>
      <c r="O135" s="5">
        <f t="shared" si="275"/>
        <v>0</v>
      </c>
      <c r="P135" s="43"/>
      <c r="Q135" s="5">
        <f t="shared" si="276"/>
        <v>46</v>
      </c>
      <c r="R135" s="43"/>
      <c r="S135" s="43"/>
      <c r="T135" s="5">
        <f t="shared" si="277"/>
        <v>5</v>
      </c>
      <c r="U135" s="630" t="str">
        <f t="shared" ref="U135:V135" si="295">U112</f>
        <v>241</v>
      </c>
      <c r="V135" s="630" t="str">
        <f t="shared" si="295"/>
        <v>Lilly Pate</v>
      </c>
      <c r="W135" s="5">
        <f t="shared" si="279"/>
        <v>0</v>
      </c>
      <c r="X135" s="43"/>
      <c r="Y135" s="881">
        <f t="shared" ref="Y135:AB135" si="296">IF($U135="","",Y158-Y181)</f>
        <v>0</v>
      </c>
      <c r="Z135" s="881">
        <f t="shared" si="296"/>
        <v>-50</v>
      </c>
      <c r="AA135" s="881">
        <f t="shared" si="296"/>
        <v>-12</v>
      </c>
      <c r="AB135" s="881">
        <f t="shared" si="296"/>
        <v>-4</v>
      </c>
      <c r="AC135" s="5">
        <f t="shared" si="281"/>
        <v>-66</v>
      </c>
      <c r="AD135" s="43"/>
      <c r="AE135" s="5">
        <f t="shared" si="282"/>
        <v>-66</v>
      </c>
      <c r="AF135" s="43"/>
      <c r="AG135" s="43"/>
      <c r="AH135" s="5">
        <f t="shared" si="283"/>
        <v>0</v>
      </c>
      <c r="AI135" s="43"/>
      <c r="AJ135" s="5">
        <f t="shared" si="284"/>
        <v>-66</v>
      </c>
      <c r="AK135" s="43"/>
    </row>
    <row r="136" ht="13.5" customHeight="1">
      <c r="A136" s="883">
        <f t="shared" si="269"/>
        <v>6</v>
      </c>
      <c r="B136" s="888" t="str">
        <f t="shared" ref="B136:C136" si="297">B113</f>
        <v>33</v>
      </c>
      <c r="C136" s="888" t="str">
        <f t="shared" si="297"/>
        <v>Klein</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25</v>
      </c>
      <c r="P136" s="43"/>
      <c r="Q136" s="883">
        <f t="shared" si="276"/>
        <v>25</v>
      </c>
      <c r="R136" s="43"/>
      <c r="S136" s="43"/>
      <c r="T136" s="883">
        <f t="shared" si="277"/>
        <v>6</v>
      </c>
      <c r="U136" s="888" t="str">
        <f t="shared" ref="U136:V136" si="299">U113</f>
        <v>316</v>
      </c>
      <c r="V136" s="888" t="str">
        <f t="shared" si="299"/>
        <v>Eve Anne Hellical</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-23</v>
      </c>
      <c r="AI136" s="43"/>
      <c r="AJ136" s="883">
        <f t="shared" si="284"/>
        <v>-23</v>
      </c>
      <c r="AK136" s="43"/>
    </row>
    <row r="137" ht="13.5" customHeight="1">
      <c r="A137" s="5">
        <f t="shared" si="269"/>
        <v>7</v>
      </c>
      <c r="B137" s="630" t="str">
        <f t="shared" ref="B137:C137" si="301">B114</f>
        <v>357</v>
      </c>
      <c r="C137" s="630" t="str">
        <f t="shared" si="301"/>
        <v>Bia Fraid</v>
      </c>
      <c r="D137" s="5">
        <f t="shared" si="271"/>
        <v>0</v>
      </c>
      <c r="E137" s="43"/>
      <c r="F137" s="881">
        <f t="shared" ref="F137:I137" si="302">IF($B137="","",F160-F183)</f>
        <v>0</v>
      </c>
      <c r="G137" s="881">
        <f t="shared" si="302"/>
        <v>4</v>
      </c>
      <c r="H137" s="881">
        <f t="shared" si="302"/>
        <v>-2</v>
      </c>
      <c r="I137" s="881">
        <f t="shared" si="302"/>
        <v>4</v>
      </c>
      <c r="J137" s="5">
        <f t="shared" si="273"/>
        <v>6</v>
      </c>
      <c r="K137" s="43"/>
      <c r="L137" s="5">
        <f t="shared" si="274"/>
        <v>6</v>
      </c>
      <c r="M137" s="43"/>
      <c r="N137" s="43"/>
      <c r="O137" s="5">
        <f t="shared" si="275"/>
        <v>0</v>
      </c>
      <c r="P137" s="43"/>
      <c r="Q137" s="5">
        <f t="shared" si="276"/>
        <v>6</v>
      </c>
      <c r="R137" s="43"/>
      <c r="S137" s="43"/>
      <c r="T137" s="5">
        <f t="shared" si="277"/>
        <v>7</v>
      </c>
      <c r="U137" s="630" t="str">
        <f t="shared" ref="U137:V137" si="303">U114</f>
        <v>343</v>
      </c>
      <c r="V137" s="630" t="str">
        <f t="shared" si="303"/>
        <v>Trinity</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-33</v>
      </c>
      <c r="AI137" s="43"/>
      <c r="AJ137" s="5">
        <f t="shared" si="284"/>
        <v>-33</v>
      </c>
      <c r="AK137" s="43"/>
    </row>
    <row r="138" ht="13.5" customHeight="1">
      <c r="A138" s="883">
        <f t="shared" si="269"/>
        <v>8</v>
      </c>
      <c r="B138" s="888" t="str">
        <f t="shared" ref="B138:C138" si="305">B115</f>
        <v>40</v>
      </c>
      <c r="C138" s="888" t="str">
        <f t="shared" si="305"/>
        <v>speedlejuice</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3</v>
      </c>
      <c r="P138" s="43"/>
      <c r="Q138" s="883">
        <f t="shared" si="276"/>
        <v>3</v>
      </c>
      <c r="R138" s="43"/>
      <c r="S138" s="43"/>
      <c r="T138" s="883">
        <f t="shared" si="277"/>
        <v>8</v>
      </c>
      <c r="U138" s="888" t="str">
        <f t="shared" ref="U138:V138" si="307">U115</f>
        <v>360</v>
      </c>
      <c r="V138" s="888" t="str">
        <f t="shared" si="307"/>
        <v>Big Bang Fury</v>
      </c>
      <c r="W138" s="883">
        <f t="shared" si="279"/>
        <v>-4</v>
      </c>
      <c r="X138" s="43"/>
      <c r="Y138" s="881">
        <f t="shared" ref="Y138:AB138" si="308">IF($U138="","",Y161-Y184)</f>
        <v>0</v>
      </c>
      <c r="Z138" s="881">
        <f t="shared" si="308"/>
        <v>-8</v>
      </c>
      <c r="AA138" s="881">
        <f t="shared" si="308"/>
        <v>-33</v>
      </c>
      <c r="AB138" s="881">
        <f t="shared" si="308"/>
        <v>-5</v>
      </c>
      <c r="AC138" s="883">
        <f t="shared" si="281"/>
        <v>-46</v>
      </c>
      <c r="AD138" s="43"/>
      <c r="AE138" s="883">
        <f t="shared" si="282"/>
        <v>-50</v>
      </c>
      <c r="AF138" s="43"/>
      <c r="AG138" s="43"/>
      <c r="AH138" s="883">
        <f t="shared" si="283"/>
        <v>0</v>
      </c>
      <c r="AI138" s="43"/>
      <c r="AJ138" s="883">
        <f t="shared" si="284"/>
        <v>-50</v>
      </c>
      <c r="AK138" s="43"/>
    </row>
    <row r="139" ht="13.5" customHeight="1">
      <c r="A139" s="5">
        <f t="shared" si="269"/>
        <v>9</v>
      </c>
      <c r="B139" s="630" t="str">
        <f t="shared" ref="B139:C139" si="309">B116</f>
        <v>50</v>
      </c>
      <c r="C139" s="630" t="str">
        <f t="shared" si="309"/>
        <v>Scald Eagle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28</v>
      </c>
      <c r="P139" s="43"/>
      <c r="Q139" s="5">
        <f t="shared" si="276"/>
        <v>28</v>
      </c>
      <c r="R139" s="43"/>
      <c r="S139" s="43"/>
      <c r="T139" s="5">
        <f t="shared" si="277"/>
        <v>9</v>
      </c>
      <c r="U139" s="630" t="str">
        <f t="shared" ref="U139:V139" si="311">U116</f>
        <v>37</v>
      </c>
      <c r="V139" s="630" t="str">
        <f t="shared" si="311"/>
        <v>Swagetha</v>
      </c>
      <c r="W139" s="5">
        <f t="shared" si="279"/>
        <v>0</v>
      </c>
      <c r="X139" s="43"/>
      <c r="Y139" s="881">
        <f t="shared" ref="Y139:AB139" si="312">IF($U139="","",Y162-Y185)</f>
        <v>0</v>
      </c>
      <c r="Z139" s="881">
        <f t="shared" si="312"/>
        <v>-4</v>
      </c>
      <c r="AA139" s="881">
        <f t="shared" si="312"/>
        <v>6</v>
      </c>
      <c r="AB139" s="881">
        <f t="shared" si="312"/>
        <v>-3</v>
      </c>
      <c r="AC139" s="5">
        <f t="shared" si="281"/>
        <v>-1</v>
      </c>
      <c r="AD139" s="43"/>
      <c r="AE139" s="5">
        <f t="shared" si="282"/>
        <v>-1</v>
      </c>
      <c r="AF139" s="43"/>
      <c r="AG139" s="43"/>
      <c r="AH139" s="5">
        <f t="shared" si="283"/>
        <v>0</v>
      </c>
      <c r="AI139" s="43"/>
      <c r="AJ139" s="5">
        <f t="shared" si="284"/>
        <v>-1</v>
      </c>
      <c r="AK139" s="43"/>
    </row>
    <row r="140" ht="13.5" customHeight="1">
      <c r="A140" s="883">
        <f t="shared" si="269"/>
        <v>10</v>
      </c>
      <c r="B140" s="888" t="str">
        <f t="shared" ref="B140:C140" si="313">B117</f>
        <v>505</v>
      </c>
      <c r="C140" s="888" t="str">
        <f t="shared" si="313"/>
        <v>Elyse LeKraken</v>
      </c>
      <c r="D140" s="883">
        <f t="shared" si="271"/>
        <v>0</v>
      </c>
      <c r="E140" s="43"/>
      <c r="F140" s="881">
        <f t="shared" ref="F140:I140" si="314">IF($B140="","",F163-F186)</f>
        <v>0</v>
      </c>
      <c r="G140" s="881">
        <f t="shared" si="314"/>
        <v>14</v>
      </c>
      <c r="H140" s="881">
        <f t="shared" si="314"/>
        <v>0</v>
      </c>
      <c r="I140" s="881">
        <f t="shared" si="314"/>
        <v>8</v>
      </c>
      <c r="J140" s="883">
        <f t="shared" si="273"/>
        <v>22</v>
      </c>
      <c r="K140" s="43"/>
      <c r="L140" s="883">
        <f t="shared" si="274"/>
        <v>22</v>
      </c>
      <c r="M140" s="43"/>
      <c r="N140" s="43"/>
      <c r="O140" s="883">
        <f t="shared" si="275"/>
        <v>0</v>
      </c>
      <c r="P140" s="43"/>
      <c r="Q140" s="883">
        <f t="shared" si="276"/>
        <v>22</v>
      </c>
      <c r="R140" s="43"/>
      <c r="S140" s="43"/>
      <c r="T140" s="883">
        <f t="shared" si="277"/>
        <v>10</v>
      </c>
      <c r="U140" s="888" t="str">
        <f t="shared" ref="U140:V140" si="315">U117</f>
        <v>39</v>
      </c>
      <c r="V140" s="888" t="str">
        <f t="shared" si="315"/>
        <v>Gaffney</v>
      </c>
      <c r="W140" s="883">
        <f t="shared" si="279"/>
        <v>0</v>
      </c>
      <c r="X140" s="43"/>
      <c r="Y140" s="881">
        <f t="shared" ref="Y140:AB140" si="316">IF($U140="","",Y163-Y186)</f>
        <v>0</v>
      </c>
      <c r="Z140" s="881">
        <f t="shared" si="316"/>
        <v>0</v>
      </c>
      <c r="AA140" s="881">
        <f t="shared" si="316"/>
        <v>-16</v>
      </c>
      <c r="AB140" s="881">
        <f t="shared" si="316"/>
        <v>-30</v>
      </c>
      <c r="AC140" s="883">
        <f t="shared" si="281"/>
        <v>-46</v>
      </c>
      <c r="AD140" s="43"/>
      <c r="AE140" s="883">
        <f t="shared" si="282"/>
        <v>-46</v>
      </c>
      <c r="AF140" s="43"/>
      <c r="AG140" s="43"/>
      <c r="AH140" s="883">
        <f t="shared" si="283"/>
        <v>0</v>
      </c>
      <c r="AI140" s="43"/>
      <c r="AJ140" s="883">
        <f t="shared" si="284"/>
        <v>-46</v>
      </c>
      <c r="AK140" s="43"/>
    </row>
    <row r="141" ht="13.5" customHeight="1">
      <c r="A141" s="5">
        <f t="shared" si="269"/>
        <v>11</v>
      </c>
      <c r="B141" s="630" t="str">
        <f t="shared" ref="B141:C141" si="317">B118</f>
        <v>8000</v>
      </c>
      <c r="C141" s="630" t="str">
        <f t="shared" si="317"/>
        <v>Killifornia</v>
      </c>
      <c r="D141" s="5">
        <f t="shared" si="271"/>
        <v>34</v>
      </c>
      <c r="E141" s="43"/>
      <c r="F141" s="881">
        <f t="shared" ref="F141:I141" si="318">IF($B141="","",F164-F187)</f>
        <v>0</v>
      </c>
      <c r="G141" s="881">
        <f t="shared" si="318"/>
        <v>0</v>
      </c>
      <c r="H141" s="881">
        <f t="shared" si="318"/>
        <v>1</v>
      </c>
      <c r="I141" s="881">
        <f t="shared" si="318"/>
        <v>0</v>
      </c>
      <c r="J141" s="5">
        <f t="shared" si="273"/>
        <v>1</v>
      </c>
      <c r="K141" s="43"/>
      <c r="L141" s="5">
        <f t="shared" si="274"/>
        <v>35</v>
      </c>
      <c r="M141" s="43"/>
      <c r="N141" s="43"/>
      <c r="O141" s="5">
        <f t="shared" si="275"/>
        <v>0</v>
      </c>
      <c r="P141" s="43"/>
      <c r="Q141" s="5">
        <f t="shared" si="276"/>
        <v>35</v>
      </c>
      <c r="R141" s="43"/>
      <c r="S141" s="43"/>
      <c r="T141" s="5">
        <f t="shared" si="277"/>
        <v>11</v>
      </c>
      <c r="U141" s="630" t="str">
        <f t="shared" ref="U141:V141" si="319">U118</f>
        <v>48</v>
      </c>
      <c r="V141" s="630" t="str">
        <f t="shared" si="319"/>
        <v>Brute</v>
      </c>
      <c r="W141" s="5">
        <f t="shared" si="279"/>
        <v>-48</v>
      </c>
      <c r="X141" s="43"/>
      <c r="Y141" s="881">
        <f t="shared" ref="Y141:AB141" si="320">IF($U141="","",Y164-Y187)</f>
        <v>0</v>
      </c>
      <c r="Z141" s="881">
        <f t="shared" si="320"/>
        <v>0</v>
      </c>
      <c r="AA141" s="881">
        <f t="shared" si="320"/>
        <v>-2</v>
      </c>
      <c r="AB141" s="881">
        <f t="shared" si="320"/>
        <v>0</v>
      </c>
      <c r="AC141" s="5">
        <f t="shared" si="281"/>
        <v>-2</v>
      </c>
      <c r="AD141" s="43"/>
      <c r="AE141" s="5">
        <f t="shared" si="282"/>
        <v>-50</v>
      </c>
      <c r="AF141" s="43"/>
      <c r="AG141" s="43"/>
      <c r="AH141" s="5">
        <f t="shared" si="283"/>
        <v>0</v>
      </c>
      <c r="AI141" s="43"/>
      <c r="AJ141" s="5">
        <f t="shared" si="284"/>
        <v>-50</v>
      </c>
      <c r="AK141" s="43"/>
    </row>
    <row r="142" ht="13.5" customHeight="1">
      <c r="A142" s="883">
        <f t="shared" si="269"/>
        <v>12</v>
      </c>
      <c r="B142" s="888" t="str">
        <f t="shared" ref="B142:C142" si="321">B119</f>
        <v>90</v>
      </c>
      <c r="C142" s="888" t="str">
        <f t="shared" si="321"/>
        <v>Wee Bonnie Bruiser</v>
      </c>
      <c r="D142" s="883">
        <f t="shared" si="271"/>
        <v>0</v>
      </c>
      <c r="E142" s="43"/>
      <c r="F142" s="881">
        <f t="shared" ref="F142:I142" si="322">IF($B142="","",F165-F188)</f>
        <v>0</v>
      </c>
      <c r="G142" s="881">
        <f t="shared" si="322"/>
        <v>4</v>
      </c>
      <c r="H142" s="881">
        <f t="shared" si="322"/>
        <v>19</v>
      </c>
      <c r="I142" s="881">
        <f t="shared" si="322"/>
        <v>-3</v>
      </c>
      <c r="J142" s="883">
        <f t="shared" si="273"/>
        <v>20</v>
      </c>
      <c r="K142" s="43"/>
      <c r="L142" s="883">
        <f t="shared" si="274"/>
        <v>20</v>
      </c>
      <c r="M142" s="43"/>
      <c r="N142" s="43"/>
      <c r="O142" s="883">
        <f t="shared" si="275"/>
        <v>0</v>
      </c>
      <c r="P142" s="43"/>
      <c r="Q142" s="883">
        <f t="shared" si="276"/>
        <v>20</v>
      </c>
      <c r="R142" s="43"/>
      <c r="S142" s="43"/>
      <c r="T142" s="883">
        <f t="shared" si="277"/>
        <v>12</v>
      </c>
      <c r="U142" s="888" t="str">
        <f t="shared" ref="U142:V142" si="323">U119</f>
        <v>700</v>
      </c>
      <c r="V142" s="888" t="str">
        <f t="shared" si="323"/>
        <v>Springroll</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-10</v>
      </c>
      <c r="AI142" s="43"/>
      <c r="AJ142" s="883">
        <f t="shared" si="284"/>
        <v>-10</v>
      </c>
      <c r="AK142" s="43"/>
    </row>
    <row r="143" ht="13.5" customHeight="1">
      <c r="A143" s="5">
        <f t="shared" si="269"/>
        <v>13</v>
      </c>
      <c r="B143" s="630" t="str">
        <f t="shared" ref="B143:C143" si="325">B120</f>
        <v>919</v>
      </c>
      <c r="C143" s="630" t="str">
        <f t="shared" si="325"/>
        <v>Grizz</v>
      </c>
      <c r="D143" s="5">
        <f t="shared" si="271"/>
        <v>0</v>
      </c>
      <c r="E143" s="43"/>
      <c r="F143" s="881">
        <f t="shared" ref="F143:I143" si="326">IF($B143="","",F166-F189)</f>
        <v>0</v>
      </c>
      <c r="G143" s="881">
        <f t="shared" si="326"/>
        <v>4</v>
      </c>
      <c r="H143" s="881">
        <f t="shared" si="326"/>
        <v>9</v>
      </c>
      <c r="I143" s="881">
        <f t="shared" si="326"/>
        <v>2</v>
      </c>
      <c r="J143" s="5">
        <f t="shared" si="273"/>
        <v>15</v>
      </c>
      <c r="K143" s="43"/>
      <c r="L143" s="5">
        <f t="shared" si="274"/>
        <v>15</v>
      </c>
      <c r="M143" s="43"/>
      <c r="N143" s="43"/>
      <c r="O143" s="5">
        <f t="shared" si="275"/>
        <v>0</v>
      </c>
      <c r="P143" s="43"/>
      <c r="Q143" s="5">
        <f t="shared" si="276"/>
        <v>15</v>
      </c>
      <c r="R143" s="43"/>
      <c r="S143" s="43"/>
      <c r="T143" s="5">
        <f t="shared" si="277"/>
        <v>13</v>
      </c>
      <c r="U143" s="630" t="str">
        <f t="shared" ref="U143:V143" si="327">U120</f>
        <v>71</v>
      </c>
      <c r="V143" s="630" t="str">
        <f t="shared" si="327"/>
        <v>Danger Potato</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3.5" customHeight="1">
      <c r="A144" s="883">
        <f t="shared" si="269"/>
        <v>14</v>
      </c>
      <c r="B144" s="888" t="str">
        <f t="shared" ref="B144:C144" si="329">B121</f>
        <v>949</v>
      </c>
      <c r="C144" s="888" t="str">
        <f t="shared" si="329"/>
        <v>Coyote</v>
      </c>
      <c r="D144" s="883">
        <f t="shared" si="271"/>
        <v>0</v>
      </c>
      <c r="E144" s="43"/>
      <c r="F144" s="881">
        <f t="shared" ref="F144:I144" si="330">IF($B144="","",F167-F190)</f>
        <v>0</v>
      </c>
      <c r="G144" s="881">
        <f t="shared" si="330"/>
        <v>12</v>
      </c>
      <c r="H144" s="881">
        <f t="shared" si="330"/>
        <v>20</v>
      </c>
      <c r="I144" s="881">
        <f t="shared" si="330"/>
        <v>15</v>
      </c>
      <c r="J144" s="883">
        <f t="shared" si="273"/>
        <v>47</v>
      </c>
      <c r="K144" s="43"/>
      <c r="L144" s="883">
        <f t="shared" si="274"/>
        <v>47</v>
      </c>
      <c r="M144" s="43"/>
      <c r="N144" s="43"/>
      <c r="O144" s="883">
        <f t="shared" si="275"/>
        <v>0</v>
      </c>
      <c r="P144" s="43"/>
      <c r="Q144" s="883">
        <f t="shared" si="276"/>
        <v>47</v>
      </c>
      <c r="R144" s="43"/>
      <c r="S144" s="43"/>
      <c r="T144" s="883">
        <f t="shared" si="277"/>
        <v>14</v>
      </c>
      <c r="U144" s="888" t="str">
        <f t="shared" ref="U144:V144" si="331">U121</f>
        <v>79</v>
      </c>
      <c r="V144" s="888" t="str">
        <f t="shared" si="331"/>
        <v>Lil RegulateHer</v>
      </c>
      <c r="W144" s="883">
        <f t="shared" si="279"/>
        <v>0</v>
      </c>
      <c r="X144" s="43"/>
      <c r="Y144" s="881">
        <f t="shared" ref="Y144:AB144" si="332">IF($U144="","",Y167-Y190)</f>
        <v>0</v>
      </c>
      <c r="Z144" s="881">
        <f t="shared" si="332"/>
        <v>0</v>
      </c>
      <c r="AA144" s="881">
        <f t="shared" si="332"/>
        <v>0</v>
      </c>
      <c r="AB144" s="881">
        <f t="shared" si="332"/>
        <v>-4</v>
      </c>
      <c r="AC144" s="883">
        <f t="shared" si="281"/>
        <v>-4</v>
      </c>
      <c r="AD144" s="43"/>
      <c r="AE144" s="883">
        <f t="shared" si="282"/>
        <v>-4</v>
      </c>
      <c r="AF144" s="43"/>
      <c r="AG144" s="43"/>
      <c r="AH144" s="883">
        <f t="shared" si="283"/>
        <v>-19</v>
      </c>
      <c r="AI144" s="43"/>
      <c r="AJ144" s="883">
        <f t="shared" si="284"/>
        <v>-23</v>
      </c>
      <c r="AK144" s="43"/>
    </row>
    <row r="145" ht="13.5" customHeight="1">
      <c r="A145" s="5">
        <f t="shared" si="269"/>
        <v>15</v>
      </c>
      <c r="B145" s="630" t="str">
        <f t="shared" ref="B145:C145" si="333">B122</f>
        <v>99</v>
      </c>
      <c r="C145" s="630" t="str">
        <f t="shared" si="333"/>
        <v>Chinaski</v>
      </c>
      <c r="D145" s="5">
        <f t="shared" si="271"/>
        <v>0</v>
      </c>
      <c r="E145" s="43"/>
      <c r="F145" s="881">
        <f t="shared" ref="F145:I145" si="334">IF($B145="","",F168-F191)</f>
        <v>0</v>
      </c>
      <c r="G145" s="881">
        <f t="shared" si="334"/>
        <v>4</v>
      </c>
      <c r="H145" s="881">
        <f t="shared" si="334"/>
        <v>3</v>
      </c>
      <c r="I145" s="881">
        <f t="shared" si="334"/>
        <v>23</v>
      </c>
      <c r="J145" s="5">
        <f t="shared" si="273"/>
        <v>30</v>
      </c>
      <c r="K145" s="43"/>
      <c r="L145" s="5">
        <f t="shared" si="274"/>
        <v>30</v>
      </c>
      <c r="M145" s="43"/>
      <c r="N145" s="43"/>
      <c r="O145" s="5">
        <f t="shared" si="275"/>
        <v>0</v>
      </c>
      <c r="P145" s="43"/>
      <c r="Q145" s="5">
        <f t="shared" si="276"/>
        <v>30</v>
      </c>
      <c r="R145" s="43"/>
      <c r="S145" s="43"/>
      <c r="T145" s="5">
        <f t="shared" si="277"/>
        <v>15</v>
      </c>
      <c r="U145" s="630" t="str">
        <f t="shared" ref="U145:V145" si="335">U122</f>
        <v>89</v>
      </c>
      <c r="V145" s="630" t="str">
        <f t="shared" si="335"/>
        <v>High Roller</v>
      </c>
      <c r="W145" s="5">
        <f t="shared" si="279"/>
        <v>0</v>
      </c>
      <c r="X145" s="43"/>
      <c r="Y145" s="881">
        <f t="shared" ref="Y145:AB145" si="336">IF($U145="","",Y168-Y191)</f>
        <v>0</v>
      </c>
      <c r="Z145" s="881">
        <f t="shared" si="336"/>
        <v>-3</v>
      </c>
      <c r="AA145" s="881">
        <f t="shared" si="336"/>
        <v>-4</v>
      </c>
      <c r="AB145" s="881">
        <f t="shared" si="336"/>
        <v>-12</v>
      </c>
      <c r="AC145" s="5">
        <f t="shared" si="281"/>
        <v>-19</v>
      </c>
      <c r="AD145" s="43"/>
      <c r="AE145" s="5">
        <f t="shared" si="282"/>
        <v>-19</v>
      </c>
      <c r="AF145" s="43"/>
      <c r="AG145" s="43"/>
      <c r="AH145" s="5">
        <f t="shared" si="283"/>
        <v>0</v>
      </c>
      <c r="AI145" s="43"/>
      <c r="AJ145" s="5">
        <f t="shared" si="284"/>
        <v>-19</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413</v>
      </c>
      <c r="B152" s="8"/>
      <c r="C152" s="9"/>
      <c r="D152" s="874"/>
      <c r="E152" s="874"/>
      <c r="F152" s="874"/>
      <c r="G152" s="874"/>
      <c r="H152" s="874"/>
      <c r="I152" s="874"/>
      <c r="J152" s="874"/>
      <c r="K152" s="874"/>
      <c r="L152" s="874"/>
      <c r="M152" s="874"/>
      <c r="N152" s="874"/>
      <c r="O152" s="874"/>
      <c r="P152" s="874"/>
      <c r="Q152" s="874"/>
      <c r="R152" s="874"/>
      <c r="S152" s="43"/>
      <c r="T152" s="873" t="s">
        <v>413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402</v>
      </c>
      <c r="C153" s="875" t="s">
        <v>403</v>
      </c>
      <c r="D153" s="875" t="s">
        <v>261</v>
      </c>
      <c r="E153" s="5"/>
      <c r="F153" s="877" t="s">
        <v>262</v>
      </c>
      <c r="G153" s="877" t="s">
        <v>262</v>
      </c>
      <c r="H153" s="877" t="s">
        <v>262</v>
      </c>
      <c r="I153" s="877" t="s">
        <v>262</v>
      </c>
      <c r="J153" s="875" t="s">
        <v>405</v>
      </c>
      <c r="K153" s="5"/>
      <c r="L153" s="875" t="s">
        <v>407</v>
      </c>
      <c r="M153" s="5"/>
      <c r="N153" s="878" t="s">
        <v>409</v>
      </c>
      <c r="O153" s="875" t="s">
        <v>259</v>
      </c>
      <c r="P153" s="5"/>
      <c r="Q153" s="875" t="s">
        <v>376</v>
      </c>
      <c r="R153" s="5"/>
      <c r="S153" s="43"/>
      <c r="T153" s="875">
        <v>0.0</v>
      </c>
      <c r="U153" s="875" t="s">
        <v>402</v>
      </c>
      <c r="V153" s="875" t="s">
        <v>403</v>
      </c>
      <c r="W153" s="875" t="s">
        <v>261</v>
      </c>
      <c r="X153" s="5"/>
      <c r="Y153" s="877" t="s">
        <v>262</v>
      </c>
      <c r="Z153" s="877" t="s">
        <v>262</v>
      </c>
      <c r="AA153" s="877" t="s">
        <v>262</v>
      </c>
      <c r="AB153" s="877" t="s">
        <v>262</v>
      </c>
      <c r="AC153" s="875" t="s">
        <v>405</v>
      </c>
      <c r="AD153" s="5"/>
      <c r="AE153" s="875" t="s">
        <v>407</v>
      </c>
      <c r="AF153" s="5"/>
      <c r="AG153" s="878" t="s">
        <v>409</v>
      </c>
      <c r="AH153" s="875" t="s">
        <v>259</v>
      </c>
      <c r="AI153" s="5"/>
      <c r="AJ153" s="875" t="s">
        <v>376</v>
      </c>
      <c r="AK153" s="5"/>
    </row>
    <row r="154" ht="13.5" customHeight="1">
      <c r="A154" s="5">
        <f t="shared" ref="A154:A173" si="359">A153+1</f>
        <v>1</v>
      </c>
      <c r="B154" s="630" t="str">
        <f t="shared" ref="B154:C154" si="357">B108</f>
        <v>10</v>
      </c>
      <c r="C154" s="630" t="str">
        <f t="shared" si="357"/>
        <v>Unprotected Lex</v>
      </c>
      <c r="D154" s="5">
        <f>IF($B154="","",SUMPRODUCT(--(Lineups!G$46:G$83=$B154),--(Lineups!B$46:B$83=""),Lineups!$W$46:$W$83))</f>
        <v>0</v>
      </c>
      <c r="E154" s="43"/>
      <c r="F154" s="881">
        <f>IF($B154="","",SUMPRODUCT(--(Lineups!G$46:G$83=$B154),--(Lineups!B$46:B$83="X"),Lineups!$W$46:$W$83))</f>
        <v>0</v>
      </c>
      <c r="G154" s="881">
        <f>IF($B154="","",SUMPRODUCT(--(Lineups!$K$46:$K$83=$B154),Lineups!$W$46:$W$83))</f>
        <v>16</v>
      </c>
      <c r="H154" s="881">
        <f>IF($B154="","",SUMPRODUCT(--(Lineups!$O$46:$O$83=$B154),Lineups!$W$46:$W$83))</f>
        <v>12</v>
      </c>
      <c r="I154" s="881">
        <f>IF($B154="","",SUMPRODUCT(--(Lineups!$S$46:$S$83=$B154),Lineups!$W$46:$W$83))</f>
        <v>2</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30" t="str">
        <f t="shared" ref="U154:V154" si="358">U108</f>
        <v>11</v>
      </c>
      <c r="V154" s="630" t="str">
        <f t="shared" si="358"/>
        <v>Bertha Beatdown</v>
      </c>
      <c r="W154" s="5">
        <f>IF($U154="","",SUMPRODUCT(--(Lineups!$AG$46:$AG$83=$U154),--(Lineups!$AB$46:$AB$83=""),Lineups!$AW$46:$AW$83))</f>
        <v>0</v>
      </c>
      <c r="X154" s="43"/>
      <c r="Y154" s="881">
        <f>IF($U154="","",SUMPRODUCT(--(Lineups!$AG$46:$AG$83=$U154),--(Lineups!$AB$46:$AB$83="X"),Lineups!$AW$46:$AW$83))</f>
        <v>0</v>
      </c>
      <c r="Z154" s="881">
        <f>IF($U154="","",SUMPRODUCT(--(Lineups!$AK$46:$AK$83=$U154),Lineups!$AW$46:$AW$83))</f>
        <v>3</v>
      </c>
      <c r="AA154" s="881">
        <f>IF($U154="","",SUMPRODUCT(--(Lineups!$AO$46:$AO$83=$U154),Lineups!$AW$46:$AW$83))</f>
        <v>4</v>
      </c>
      <c r="AB154" s="881">
        <f>IF($U154="","",SUMPRODUCT(--(Lineups!$AS$46:$AS$83=$U154),Lineups!$AW$46:$AW$83))</f>
        <v>0</v>
      </c>
      <c r="AC154" s="5">
        <f t="shared" ref="AC154:AC173" si="366">IF(U154="",0,SUM(Y154:AB154))</f>
        <v>7</v>
      </c>
      <c r="AD154" s="43"/>
      <c r="AE154" s="5">
        <f t="shared" ref="AE154:AE173" si="367">IF(U154="","",SUM(W154,AC154))</f>
        <v>7</v>
      </c>
      <c r="AF154" s="43"/>
      <c r="AG154" s="43"/>
      <c r="AH154" s="5">
        <f>IF($U154="","",SUMPRODUCT(--(Lineups!$AC$46:$AC$83=$U154),Lineups!$AW$46:$AW$83))</f>
        <v>0</v>
      </c>
      <c r="AI154" s="43"/>
      <c r="AJ154" s="5">
        <f t="shared" ref="AJ154:AJ173" si="368">IF(U154="","",SUM(AE154,AH154))</f>
        <v>7</v>
      </c>
      <c r="AK154" s="43"/>
    </row>
    <row r="155" ht="13.5" customHeight="1">
      <c r="A155" s="883">
        <f t="shared" si="359"/>
        <v>2</v>
      </c>
      <c r="B155" s="888" t="str">
        <f t="shared" ref="B155:C155" si="360">B109</f>
        <v>1706</v>
      </c>
      <c r="C155" s="888" t="str">
        <f t="shared" si="360"/>
        <v>Maven</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43</v>
      </c>
      <c r="P155" s="43"/>
      <c r="Q155" s="883">
        <f t="shared" si="363"/>
        <v>43</v>
      </c>
      <c r="R155" s="43"/>
      <c r="S155" s="43"/>
      <c r="T155" s="883">
        <f t="shared" si="364"/>
        <v>2</v>
      </c>
      <c r="U155" s="888" t="str">
        <f t="shared" ref="U155:V155" si="365">U109</f>
        <v>128</v>
      </c>
      <c r="V155" s="888" t="str">
        <f t="shared" si="365"/>
        <v>Carl</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2</v>
      </c>
      <c r="C156" s="630" t="str">
        <f t="shared" si="369"/>
        <v>Taryn</v>
      </c>
      <c r="D156" s="5">
        <f>IF($B156="","",SUMPRODUCT(--(Lineups!G$46:G$83=$B156),--(Lineups!B$46:B$83=""),Lineups!$W$46:$W$83))</f>
        <v>0</v>
      </c>
      <c r="E156" s="43"/>
      <c r="F156" s="881">
        <f>IF($B156="","",SUMPRODUCT(--(Lineups!G$46:G$83=$B156),--(Lineups!B$46:B$83="X"),Lineups!$W$46:$W$83))</f>
        <v>0</v>
      </c>
      <c r="G156" s="881">
        <f>IF($B156="","",SUMPRODUCT(--(Lineups!$K$46:$K$83=$B156),Lineups!$W$46:$W$83))</f>
        <v>2</v>
      </c>
      <c r="H156" s="881">
        <f>IF($B156="","",SUMPRODUCT(--(Lineups!$O$46:$O$83=$B156),Lineups!$W$46:$W$83))</f>
        <v>11</v>
      </c>
      <c r="I156" s="881">
        <f>IF($B156="","",SUMPRODUCT(--(Lineups!$S$46:$S$83=$B156),Lineups!$W$46:$W$83))</f>
        <v>33</v>
      </c>
      <c r="J156" s="5">
        <f t="shared" si="361"/>
        <v>46</v>
      </c>
      <c r="K156" s="43"/>
      <c r="L156" s="5">
        <f t="shared" si="362"/>
        <v>46</v>
      </c>
      <c r="M156" s="43"/>
      <c r="N156" s="43"/>
      <c r="O156" s="5">
        <f>IF($B156="","",SUMPRODUCT(--(Lineups!$C$46:$C$83=$B156),Lineups!$W$46:$W$83))</f>
        <v>0</v>
      </c>
      <c r="P156" s="43"/>
      <c r="Q156" s="5">
        <f t="shared" si="363"/>
        <v>46</v>
      </c>
      <c r="R156" s="43"/>
      <c r="S156" s="43"/>
      <c r="T156" s="5">
        <f t="shared" si="364"/>
        <v>3</v>
      </c>
      <c r="U156" s="630" t="str">
        <f t="shared" ref="U156:V156" si="370">U110</f>
        <v>139</v>
      </c>
      <c r="V156" s="630" t="str">
        <f t="shared" si="370"/>
        <v>Katie Postma</v>
      </c>
      <c r="W156" s="5">
        <f>IF($U156="","",SUMPRODUCT(--(Lineups!$AG$46:$AG$83=$U156),--(Lineups!$AB$46:$AB$83=""),Lineups!$AW$46:$AW$83))</f>
        <v>8</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8</v>
      </c>
      <c r="AF156" s="43"/>
      <c r="AG156" s="43"/>
      <c r="AH156" s="5">
        <f>IF($U156="","",SUMPRODUCT(--(Lineups!$AC$46:$AC$83=$U156),Lineups!$AW$46:$AW$83))</f>
        <v>0</v>
      </c>
      <c r="AI156" s="43"/>
      <c r="AJ156" s="5">
        <f t="shared" si="368"/>
        <v>8</v>
      </c>
      <c r="AK156" s="43"/>
    </row>
    <row r="157" ht="13.5" customHeight="1">
      <c r="A157" s="883">
        <f t="shared" si="359"/>
        <v>4</v>
      </c>
      <c r="B157" s="888" t="str">
        <f t="shared" ref="B157:C157" si="371">B111</f>
        <v>22</v>
      </c>
      <c r="C157" s="888" t="str">
        <f t="shared" si="371"/>
        <v>Scara to Death</v>
      </c>
      <c r="D157" s="883">
        <f>IF($B157="","",SUMPRODUCT(--(Lineups!G$46:G$83=$B157),--(Lineups!B$46:B$83=""),Lineups!$W$46:$W$83))</f>
        <v>11</v>
      </c>
      <c r="E157" s="43"/>
      <c r="F157" s="881">
        <f>IF($B157="","",SUMPRODUCT(--(Lineups!G$46:G$83=$B157),--(Lineups!B$46:B$83="X"),Lineups!$W$46:$W$83))</f>
        <v>0</v>
      </c>
      <c r="G157" s="881">
        <f>IF($B157="","",SUMPRODUCT(--(Lineups!$K$46:$K$83=$B157),Lineups!$W$46:$W$83))</f>
        <v>31</v>
      </c>
      <c r="H157" s="881">
        <f>IF($B157="","",SUMPRODUCT(--(Lineups!$O$46:$O$83=$B157),Lineups!$W$46:$W$83))</f>
        <v>9</v>
      </c>
      <c r="I157" s="881">
        <f>IF($B157="","",SUMPRODUCT(--(Lineups!$S$46:$S$83=$B157),Lineups!$W$46:$W$83))</f>
        <v>8</v>
      </c>
      <c r="J157" s="883">
        <f t="shared" si="361"/>
        <v>48</v>
      </c>
      <c r="K157" s="43"/>
      <c r="L157" s="883">
        <f t="shared" si="362"/>
        <v>59</v>
      </c>
      <c r="M157" s="43"/>
      <c r="N157" s="43"/>
      <c r="O157" s="883">
        <f>IF($B157="","",SUMPRODUCT(--(Lineups!$C$46:$C$83=$B157),Lineups!$W$46:$W$83))</f>
        <v>0</v>
      </c>
      <c r="P157" s="43"/>
      <c r="Q157" s="883">
        <f t="shared" si="363"/>
        <v>59</v>
      </c>
      <c r="R157" s="43"/>
      <c r="S157" s="43"/>
      <c r="T157" s="883">
        <f t="shared" si="364"/>
        <v>4</v>
      </c>
      <c r="U157" s="888" t="str">
        <f t="shared" ref="U157:V157" si="372">U111</f>
        <v>22</v>
      </c>
      <c r="V157" s="888" t="str">
        <f t="shared" si="372"/>
        <v>Habanero Romero</v>
      </c>
      <c r="W157" s="883">
        <f>IF($U157="","",SUMPRODUCT(--(Lineups!$AG$46:$AG$83=$U157),--(Lineups!$AB$46:$AB$83=""),Lineups!$AW$46:$AW$83))</f>
        <v>5</v>
      </c>
      <c r="X157" s="43"/>
      <c r="Y157" s="881">
        <f>IF($U157="","",SUMPRODUCT(--(Lineups!$AG$46:$AG$83=$U157),--(Lineups!$AB$46:$AB$83="X"),Lineups!$AW$46:$AW$83))</f>
        <v>0</v>
      </c>
      <c r="Z157" s="881">
        <f>IF($U157="","",SUMPRODUCT(--(Lineups!$AK$46:$AK$83=$U157),Lineups!$AW$46:$AW$83))</f>
        <v>6</v>
      </c>
      <c r="AA157" s="881">
        <f>IF($U157="","",SUMPRODUCT(--(Lineups!$AO$46:$AO$83=$U157),Lineups!$AW$46:$AW$83))</f>
        <v>0</v>
      </c>
      <c r="AB157" s="881">
        <f>IF($U157="","",SUMPRODUCT(--(Lineups!$AS$46:$AS$83=$U157),Lineups!$AW$46:$AW$83))</f>
        <v>6</v>
      </c>
      <c r="AC157" s="883">
        <f t="shared" si="366"/>
        <v>12</v>
      </c>
      <c r="AD157" s="43"/>
      <c r="AE157" s="883">
        <f t="shared" si="367"/>
        <v>17</v>
      </c>
      <c r="AF157" s="43"/>
      <c r="AG157" s="43"/>
      <c r="AH157" s="883">
        <f>IF($U157="","",SUMPRODUCT(--(Lineups!$AC$46:$AC$83=$U157),Lineups!$AW$46:$AW$83))</f>
        <v>0</v>
      </c>
      <c r="AI157" s="43"/>
      <c r="AJ157" s="883">
        <f t="shared" si="368"/>
        <v>17</v>
      </c>
      <c r="AK157" s="43"/>
    </row>
    <row r="158" ht="13.5" customHeight="1">
      <c r="A158" s="5">
        <f t="shared" si="359"/>
        <v>5</v>
      </c>
      <c r="B158" s="630" t="str">
        <f t="shared" ref="B158:C158" si="373">B112</f>
        <v>27</v>
      </c>
      <c r="C158" s="630" t="str">
        <f t="shared" si="373"/>
        <v>Gobrecht</v>
      </c>
      <c r="D158" s="5">
        <f>IF($B158="","",SUMPRODUCT(--(Lineups!G$46:G$83=$B158),--(Lineups!B$46:B$83=""),Lineups!$W$46:$W$83))</f>
        <v>49</v>
      </c>
      <c r="E158" s="43"/>
      <c r="F158" s="881">
        <f>IF($B158="","",SUMPRODUCT(--(Lineups!G$46:G$83=$B158),--(Lineups!B$46:B$83="X"),Lineups!$W$46:$W$83))</f>
        <v>0</v>
      </c>
      <c r="G158" s="881">
        <f>IF($B158="","",SUMPRODUCT(--(Lineups!$K$46:$K$83=$B158),Lineups!$W$46:$W$83))</f>
        <v>0</v>
      </c>
      <c r="H158" s="881">
        <f>IF($B158="","",SUMPRODUCT(--(Lineups!$O$46:$O$83=$B158),Lineups!$W$46:$W$83))</f>
        <v>4</v>
      </c>
      <c r="I158" s="881">
        <f>IF($B158="","",SUMPRODUCT(--(Lineups!$S$46:$S$83=$B158),Lineups!$W$46:$W$83))</f>
        <v>0</v>
      </c>
      <c r="J158" s="5">
        <f t="shared" si="361"/>
        <v>4</v>
      </c>
      <c r="K158" s="43"/>
      <c r="L158" s="5">
        <f t="shared" si="362"/>
        <v>53</v>
      </c>
      <c r="M158" s="43"/>
      <c r="N158" s="43"/>
      <c r="O158" s="5">
        <f>IF($B158="","",SUMPRODUCT(--(Lineups!$C$46:$C$83=$B158),Lineups!$W$46:$W$83))</f>
        <v>0</v>
      </c>
      <c r="P158" s="43"/>
      <c r="Q158" s="5">
        <f t="shared" si="363"/>
        <v>53</v>
      </c>
      <c r="R158" s="43"/>
      <c r="S158" s="43"/>
      <c r="T158" s="5">
        <f t="shared" si="364"/>
        <v>5</v>
      </c>
      <c r="U158" s="630" t="str">
        <f t="shared" ref="U158:V158" si="374">U112</f>
        <v>241</v>
      </c>
      <c r="V158" s="630" t="str">
        <f t="shared" si="374"/>
        <v>Lilly Pate</v>
      </c>
      <c r="W158" s="5">
        <f>IF($U158="","",SUMPRODUCT(--(Lineups!$AG$46:$AG$83=$U158),--(Lineups!$AB$46:$AB$83=""),Lineups!$AW$46:$AW$83))</f>
        <v>0</v>
      </c>
      <c r="X158" s="43"/>
      <c r="Y158" s="881">
        <f>IF($U158="","",SUMPRODUCT(--(Lineups!$AG$46:$AG$83=$U158),--(Lineups!$AB$46:$AB$83="X"),Lineups!$AW$46:$AW$83))</f>
        <v>0</v>
      </c>
      <c r="Z158" s="881">
        <f>IF($U158="","",SUMPRODUCT(--(Lineups!$AK$46:$AK$83=$U158),Lineups!$AW$46:$AW$83))</f>
        <v>14</v>
      </c>
      <c r="AA158" s="881">
        <f>IF($U158="","",SUMPRODUCT(--(Lineups!$AO$46:$AO$83=$U158),Lineups!$AW$46:$AW$83))</f>
        <v>4</v>
      </c>
      <c r="AB158" s="881">
        <f>IF($U158="","",SUMPRODUCT(--(Lineups!$AS$46:$AS$83=$U158),Lineups!$AW$46:$AW$83))</f>
        <v>0</v>
      </c>
      <c r="AC158" s="5">
        <f t="shared" si="366"/>
        <v>18</v>
      </c>
      <c r="AD158" s="43"/>
      <c r="AE158" s="5">
        <f t="shared" si="367"/>
        <v>18</v>
      </c>
      <c r="AF158" s="43"/>
      <c r="AG158" s="43"/>
      <c r="AH158" s="5">
        <f>IF($U158="","",SUMPRODUCT(--(Lineups!$AC$46:$AC$83=$U158),Lineups!$AW$46:$AW$83))</f>
        <v>0</v>
      </c>
      <c r="AI158" s="43"/>
      <c r="AJ158" s="5">
        <f t="shared" si="368"/>
        <v>18</v>
      </c>
      <c r="AK158" s="43"/>
    </row>
    <row r="159" ht="13.5" customHeight="1">
      <c r="A159" s="883">
        <f t="shared" si="359"/>
        <v>6</v>
      </c>
      <c r="B159" s="888" t="str">
        <f t="shared" ref="B159:C159" si="375">B113</f>
        <v>33</v>
      </c>
      <c r="C159" s="888" t="str">
        <f t="shared" si="375"/>
        <v>Klein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32</v>
      </c>
      <c r="P159" s="43"/>
      <c r="Q159" s="883">
        <f t="shared" si="363"/>
        <v>32</v>
      </c>
      <c r="R159" s="43"/>
      <c r="S159" s="43"/>
      <c r="T159" s="883">
        <f t="shared" si="364"/>
        <v>6</v>
      </c>
      <c r="U159" s="888" t="str">
        <f t="shared" ref="U159:V159" si="376">U113</f>
        <v>316</v>
      </c>
      <c r="V159" s="888" t="str">
        <f t="shared" si="376"/>
        <v>Eve Anne Hellical</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5</v>
      </c>
      <c r="AI159" s="43"/>
      <c r="AJ159" s="883">
        <f t="shared" si="368"/>
        <v>5</v>
      </c>
      <c r="AK159" s="43"/>
    </row>
    <row r="160" ht="13.5" customHeight="1">
      <c r="A160" s="5">
        <f t="shared" si="359"/>
        <v>7</v>
      </c>
      <c r="B160" s="630" t="str">
        <f t="shared" ref="B160:C160" si="377">B114</f>
        <v>357</v>
      </c>
      <c r="C160" s="630" t="str">
        <f t="shared" si="377"/>
        <v>Bia Fraid</v>
      </c>
      <c r="D160" s="5">
        <f>IF($B160="","",SUMPRODUCT(--(Lineups!G$46:G$83=$B160),--(Lineups!B$46:B$83=""),Lineups!$W$46:$W$83))</f>
        <v>0</v>
      </c>
      <c r="E160" s="43"/>
      <c r="F160" s="881">
        <f>IF($B160="","",SUMPRODUCT(--(Lineups!G$46:G$83=$B160),--(Lineups!B$46:B$83="X"),Lineups!$W$46:$W$83))</f>
        <v>0</v>
      </c>
      <c r="G160" s="881">
        <f>IF($B160="","",SUMPRODUCT(--(Lineups!$K$46:$K$83=$B160),Lineups!$W$46:$W$83))</f>
        <v>4</v>
      </c>
      <c r="H160" s="881">
        <f>IF($B160="","",SUMPRODUCT(--(Lineups!$O$46:$O$83=$B160),Lineups!$W$46:$W$83))</f>
        <v>2</v>
      </c>
      <c r="I160" s="881">
        <f>IF($B160="","",SUMPRODUCT(--(Lineups!$S$46:$S$83=$B160),Lineups!$W$46:$W$83))</f>
        <v>4</v>
      </c>
      <c r="J160" s="5">
        <f t="shared" si="361"/>
        <v>10</v>
      </c>
      <c r="K160" s="43"/>
      <c r="L160" s="5">
        <f t="shared" si="362"/>
        <v>10</v>
      </c>
      <c r="M160" s="43"/>
      <c r="N160" s="43"/>
      <c r="O160" s="5">
        <f>IF($B160="","",SUMPRODUCT(--(Lineups!$C$46:$C$83=$B160),Lineups!$W$46:$W$83))</f>
        <v>0</v>
      </c>
      <c r="P160" s="43"/>
      <c r="Q160" s="5">
        <f t="shared" si="363"/>
        <v>10</v>
      </c>
      <c r="R160" s="43"/>
      <c r="S160" s="43"/>
      <c r="T160" s="5">
        <f t="shared" si="364"/>
        <v>7</v>
      </c>
      <c r="U160" s="630" t="str">
        <f t="shared" ref="U160:V160" si="378">U114</f>
        <v>343</v>
      </c>
      <c r="V160" s="630" t="str">
        <f t="shared" si="378"/>
        <v>Trinity</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2</v>
      </c>
      <c r="AI160" s="43"/>
      <c r="AJ160" s="5">
        <f t="shared" si="368"/>
        <v>2</v>
      </c>
      <c r="AK160" s="43"/>
    </row>
    <row r="161" ht="13.5" customHeight="1">
      <c r="A161" s="883">
        <f t="shared" si="359"/>
        <v>8</v>
      </c>
      <c r="B161" s="888" t="str">
        <f t="shared" ref="B161:C161" si="379">B115</f>
        <v>40</v>
      </c>
      <c r="C161" s="888" t="str">
        <f t="shared" si="379"/>
        <v>speedlejuice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3</v>
      </c>
      <c r="P161" s="43"/>
      <c r="Q161" s="883">
        <f t="shared" si="363"/>
        <v>3</v>
      </c>
      <c r="R161" s="43"/>
      <c r="S161" s="43"/>
      <c r="T161" s="883">
        <f t="shared" si="364"/>
        <v>8</v>
      </c>
      <c r="U161" s="888" t="str">
        <f t="shared" ref="U161:V161" si="380">U115</f>
        <v>360</v>
      </c>
      <c r="V161" s="888" t="str">
        <f t="shared" si="380"/>
        <v>Big Bang Fury</v>
      </c>
      <c r="W161" s="883">
        <f>IF($U161="","",SUMPRODUCT(--(Lineups!$AG$46:$AG$83=$U161),--(Lineups!$AB$46:$AB$83=""),Lineups!$AW$46:$AW$83))</f>
        <v>0</v>
      </c>
      <c r="X161" s="43"/>
      <c r="Y161" s="881">
        <f>IF($U161="","",SUMPRODUCT(--(Lineups!$AG$46:$AG$83=$U161),--(Lineups!$AB$46:$AB$83="X"),Lineups!$AW$46:$AW$83))</f>
        <v>0</v>
      </c>
      <c r="Z161" s="881">
        <f>IF($U161="","",SUMPRODUCT(--(Lineups!$AK$46:$AK$83=$U161),Lineups!$AW$46:$AW$83))</f>
        <v>2</v>
      </c>
      <c r="AA161" s="881">
        <f>IF($U161="","",SUMPRODUCT(--(Lineups!$AO$46:$AO$83=$U161),Lineups!$AW$46:$AW$83))</f>
        <v>4</v>
      </c>
      <c r="AB161" s="881">
        <f>IF($U161="","",SUMPRODUCT(--(Lineups!$AS$46:$AS$83=$U161),Lineups!$AW$46:$AW$83))</f>
        <v>5</v>
      </c>
      <c r="AC161" s="883">
        <f t="shared" si="366"/>
        <v>11</v>
      </c>
      <c r="AD161" s="43"/>
      <c r="AE161" s="883">
        <f t="shared" si="367"/>
        <v>11</v>
      </c>
      <c r="AF161" s="43"/>
      <c r="AG161" s="43"/>
      <c r="AH161" s="883">
        <f>IF($U161="","",SUMPRODUCT(--(Lineups!$AC$46:$AC$83=$U161),Lineups!$AW$46:$AW$83))</f>
        <v>0</v>
      </c>
      <c r="AI161" s="43"/>
      <c r="AJ161" s="883">
        <f t="shared" si="368"/>
        <v>11</v>
      </c>
      <c r="AK161" s="43"/>
    </row>
    <row r="162" ht="13.5" customHeight="1">
      <c r="A162" s="5">
        <f t="shared" si="359"/>
        <v>9</v>
      </c>
      <c r="B162" s="630" t="str">
        <f t="shared" ref="B162:C162" si="381">B116</f>
        <v>50</v>
      </c>
      <c r="C162" s="630" t="str">
        <f t="shared" si="381"/>
        <v>Scald Eagle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36</v>
      </c>
      <c r="P162" s="43"/>
      <c r="Q162" s="5">
        <f t="shared" si="363"/>
        <v>36</v>
      </c>
      <c r="R162" s="43"/>
      <c r="S162" s="43"/>
      <c r="T162" s="5">
        <f t="shared" si="364"/>
        <v>9</v>
      </c>
      <c r="U162" s="630" t="str">
        <f t="shared" ref="U162:V162" si="382">U116</f>
        <v>37</v>
      </c>
      <c r="V162" s="630" t="str">
        <f t="shared" si="382"/>
        <v>Swagetha</v>
      </c>
      <c r="W162" s="5">
        <f>IF($U162="","",SUMPRODUCT(--(Lineups!$AG$46:$AG$83=$U162),--(Lineups!$AB$46:$AB$83=""),Lineups!$AW$46:$AW$83))</f>
        <v>0</v>
      </c>
      <c r="X162" s="43"/>
      <c r="Y162" s="881">
        <f>IF($U162="","",SUMPRODUCT(--(Lineups!$AG$46:$AG$83=$U162),--(Lineups!$AB$46:$AB$83="X"),Lineups!$AW$46:$AW$83))</f>
        <v>0</v>
      </c>
      <c r="Z162" s="881">
        <f>IF($U162="","",SUMPRODUCT(--(Lineups!$AK$46:$AK$83=$U162),Lineups!$AW$46:$AW$83))</f>
        <v>4</v>
      </c>
      <c r="AA162" s="881">
        <f>IF($U162="","",SUMPRODUCT(--(Lineups!$AO$46:$AO$83=$U162),Lineups!$AW$46:$AW$83))</f>
        <v>14</v>
      </c>
      <c r="AB162" s="881">
        <f>IF($U162="","",SUMPRODUCT(--(Lineups!$AS$46:$AS$83=$U162),Lineups!$AW$46:$AW$83))</f>
        <v>1</v>
      </c>
      <c r="AC162" s="5">
        <f t="shared" si="366"/>
        <v>19</v>
      </c>
      <c r="AD162" s="43"/>
      <c r="AE162" s="5">
        <f t="shared" si="367"/>
        <v>19</v>
      </c>
      <c r="AF162" s="43"/>
      <c r="AG162" s="43"/>
      <c r="AH162" s="5">
        <f>IF($U162="","",SUMPRODUCT(--(Lineups!$AC$46:$AC$83=$U162),Lineups!$AW$46:$AW$83))</f>
        <v>0</v>
      </c>
      <c r="AI162" s="43"/>
      <c r="AJ162" s="5">
        <f t="shared" si="368"/>
        <v>19</v>
      </c>
      <c r="AK162" s="43"/>
    </row>
    <row r="163" ht="13.5" customHeight="1">
      <c r="A163" s="883">
        <f t="shared" si="359"/>
        <v>10</v>
      </c>
      <c r="B163" s="888" t="str">
        <f t="shared" ref="B163:C163" si="383">B117</f>
        <v>505</v>
      </c>
      <c r="C163" s="888" t="str">
        <f t="shared" si="383"/>
        <v>Elyse LeKraken</v>
      </c>
      <c r="D163" s="883">
        <f>IF($B163="","",SUMPRODUCT(--(Lineups!G$46:G$83=$B163),--(Lineups!B$46:B$83=""),Lineups!$W$46:$W$83))</f>
        <v>0</v>
      </c>
      <c r="E163" s="43"/>
      <c r="F163" s="881">
        <f>IF($B163="","",SUMPRODUCT(--(Lineups!G$46:G$83=$B163),--(Lineups!B$46:B$83="X"),Lineups!$W$46:$W$83))</f>
        <v>0</v>
      </c>
      <c r="G163" s="881">
        <f>IF($B163="","",SUMPRODUCT(--(Lineups!$K$46:$K$83=$B163),Lineups!$W$46:$W$83))</f>
        <v>27</v>
      </c>
      <c r="H163" s="881">
        <f>IF($B163="","",SUMPRODUCT(--(Lineups!$O$46:$O$83=$B163),Lineups!$W$46:$W$83))</f>
        <v>0</v>
      </c>
      <c r="I163" s="881">
        <f>IF($B163="","",SUMPRODUCT(--(Lineups!$S$46:$S$83=$B163),Lineups!$W$46:$W$83))</f>
        <v>14</v>
      </c>
      <c r="J163" s="883">
        <f t="shared" si="361"/>
        <v>41</v>
      </c>
      <c r="K163" s="43"/>
      <c r="L163" s="883">
        <f t="shared" si="362"/>
        <v>41</v>
      </c>
      <c r="M163" s="43"/>
      <c r="N163" s="43"/>
      <c r="O163" s="883">
        <f>IF($B163="","",SUMPRODUCT(--(Lineups!$C$46:$C$83=$B163),Lineups!$W$46:$W$83))</f>
        <v>0</v>
      </c>
      <c r="P163" s="43"/>
      <c r="Q163" s="883">
        <f t="shared" si="363"/>
        <v>41</v>
      </c>
      <c r="R163" s="43"/>
      <c r="S163" s="43"/>
      <c r="T163" s="883">
        <f t="shared" si="364"/>
        <v>10</v>
      </c>
      <c r="U163" s="888" t="str">
        <f t="shared" ref="U163:V163" si="384">U117</f>
        <v>39</v>
      </c>
      <c r="V163" s="888" t="str">
        <f t="shared" si="384"/>
        <v>Gaffney</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1</v>
      </c>
      <c r="AB163" s="881">
        <f>IF($U163="","",SUMPRODUCT(--(Lineups!$AS$46:$AS$83=$U163),Lineups!$AW$46:$AW$83))</f>
        <v>17</v>
      </c>
      <c r="AC163" s="883">
        <f t="shared" si="366"/>
        <v>18</v>
      </c>
      <c r="AD163" s="43"/>
      <c r="AE163" s="883">
        <f t="shared" si="367"/>
        <v>18</v>
      </c>
      <c r="AF163" s="43"/>
      <c r="AG163" s="43"/>
      <c r="AH163" s="883">
        <f>IF($U163="","",SUMPRODUCT(--(Lineups!$AC$46:$AC$83=$U163),Lineups!$AW$46:$AW$83))</f>
        <v>0</v>
      </c>
      <c r="AI163" s="43"/>
      <c r="AJ163" s="883">
        <f t="shared" si="368"/>
        <v>18</v>
      </c>
      <c r="AK163" s="43"/>
    </row>
    <row r="164" ht="13.5" customHeight="1">
      <c r="A164" s="5">
        <f t="shared" si="359"/>
        <v>11</v>
      </c>
      <c r="B164" s="630" t="str">
        <f t="shared" ref="B164:C164" si="385">B118</f>
        <v>8000</v>
      </c>
      <c r="C164" s="630" t="str">
        <f t="shared" si="385"/>
        <v>Killifornia</v>
      </c>
      <c r="D164" s="5">
        <f>IF($B164="","",SUMPRODUCT(--(Lineups!G$46:G$83=$B164),--(Lineups!B$46:B$83=""),Lineups!$W$46:$W$83))</f>
        <v>54</v>
      </c>
      <c r="E164" s="43"/>
      <c r="F164" s="881">
        <f>IF($B164="","",SUMPRODUCT(--(Lineups!G$46:G$83=$B164),--(Lineups!B$46:B$83="X"),Lineups!$W$46:$W$83))</f>
        <v>0</v>
      </c>
      <c r="G164" s="881">
        <f>IF($B164="","",SUMPRODUCT(--(Lineups!$K$46:$K$83=$B164),Lineups!$W$46:$W$83))</f>
        <v>0</v>
      </c>
      <c r="H164" s="881">
        <f>IF($B164="","",SUMPRODUCT(--(Lineups!$O$46:$O$83=$B164),Lineups!$W$46:$W$83))</f>
        <v>3</v>
      </c>
      <c r="I164" s="881">
        <f>IF($B164="","",SUMPRODUCT(--(Lineups!$S$46:$S$83=$B164),Lineups!$W$46:$W$83))</f>
        <v>0</v>
      </c>
      <c r="J164" s="5">
        <f t="shared" si="361"/>
        <v>3</v>
      </c>
      <c r="K164" s="43"/>
      <c r="L164" s="5">
        <f t="shared" si="362"/>
        <v>57</v>
      </c>
      <c r="M164" s="43"/>
      <c r="N164" s="43"/>
      <c r="O164" s="5">
        <f>IF($B164="","",SUMPRODUCT(--(Lineups!$C$46:$C$83=$B164),Lineups!$W$46:$W$83))</f>
        <v>0</v>
      </c>
      <c r="P164" s="43"/>
      <c r="Q164" s="5">
        <f t="shared" si="363"/>
        <v>57</v>
      </c>
      <c r="R164" s="43"/>
      <c r="S164" s="43"/>
      <c r="T164" s="5">
        <f t="shared" si="364"/>
        <v>11</v>
      </c>
      <c r="U164" s="630" t="str">
        <f t="shared" ref="U164:V164" si="386">U118</f>
        <v>48</v>
      </c>
      <c r="V164" s="630" t="str">
        <f t="shared" si="386"/>
        <v>Brute</v>
      </c>
      <c r="W164" s="5">
        <f>IF($U164="","",SUMPRODUCT(--(Lineups!$AG$46:$AG$83=$U164),--(Lineups!$AB$46:$AB$83=""),Lineups!$AW$46:$AW$83))</f>
        <v>16</v>
      </c>
      <c r="X164" s="43"/>
      <c r="Y164" s="881">
        <f>IF($U164="","",SUMPRODUCT(--(Lineups!$AG$46:$AG$83=$U164),--(Lineups!$AB$46:$AB$83="X"),Lineups!$AW$46:$AW$83))</f>
        <v>0</v>
      </c>
      <c r="Z164" s="881">
        <f>IF($U164="","",SUMPRODUCT(--(Lineups!$AK$46:$AK$83=$U164),Lineups!$AW$46:$AW$83))</f>
        <v>0</v>
      </c>
      <c r="AA164" s="881">
        <f>IF($U164="","",SUMPRODUCT(--(Lineups!$AO$46:$AO$83=$U164),Lineups!$AW$46:$AW$83))</f>
        <v>2</v>
      </c>
      <c r="AB164" s="881">
        <f>IF($U164="","",SUMPRODUCT(--(Lineups!$AS$46:$AS$83=$U164),Lineups!$AW$46:$AW$83))</f>
        <v>0</v>
      </c>
      <c r="AC164" s="5">
        <f t="shared" si="366"/>
        <v>2</v>
      </c>
      <c r="AD164" s="43"/>
      <c r="AE164" s="5">
        <f t="shared" si="367"/>
        <v>18</v>
      </c>
      <c r="AF164" s="43"/>
      <c r="AG164" s="43"/>
      <c r="AH164" s="5">
        <f>IF($U164="","",SUMPRODUCT(--(Lineups!$AC$46:$AC$83=$U164),Lineups!$AW$46:$AW$83))</f>
        <v>0</v>
      </c>
      <c r="AI164" s="43"/>
      <c r="AJ164" s="5">
        <f t="shared" si="368"/>
        <v>18</v>
      </c>
      <c r="AK164" s="43"/>
    </row>
    <row r="165" ht="13.5" customHeight="1">
      <c r="A165" s="883">
        <f t="shared" si="359"/>
        <v>12</v>
      </c>
      <c r="B165" s="888" t="str">
        <f t="shared" ref="B165:C165" si="387">B119</f>
        <v>90</v>
      </c>
      <c r="C165" s="888" t="str">
        <f t="shared" si="387"/>
        <v>Wee Bonnie Bruiser</v>
      </c>
      <c r="D165" s="883">
        <f>IF($B165="","",SUMPRODUCT(--(Lineups!G$46:G$83=$B165),--(Lineups!B$46:B$83=""),Lineups!$W$46:$W$83))</f>
        <v>0</v>
      </c>
      <c r="E165" s="43"/>
      <c r="F165" s="881">
        <f>IF($B165="","",SUMPRODUCT(--(Lineups!G$46:G$83=$B165),--(Lineups!B$46:B$83="X"),Lineups!$W$46:$W$83))</f>
        <v>0</v>
      </c>
      <c r="G165" s="881">
        <f>IF($B165="","",SUMPRODUCT(--(Lineups!$K$46:$K$83=$B165),Lineups!$W$46:$W$83))</f>
        <v>4</v>
      </c>
      <c r="H165" s="881">
        <f>IF($B165="","",SUMPRODUCT(--(Lineups!$O$46:$O$83=$B165),Lineups!$W$46:$W$83))</f>
        <v>19</v>
      </c>
      <c r="I165" s="881">
        <f>IF($B165="","",SUMPRODUCT(--(Lineups!$S$46:$S$83=$B165),Lineups!$W$46:$W$83))</f>
        <v>0</v>
      </c>
      <c r="J165" s="883">
        <f t="shared" si="361"/>
        <v>23</v>
      </c>
      <c r="K165" s="43"/>
      <c r="L165" s="883">
        <f t="shared" si="362"/>
        <v>23</v>
      </c>
      <c r="M165" s="43"/>
      <c r="N165" s="43"/>
      <c r="O165" s="883">
        <f>IF($B165="","",SUMPRODUCT(--(Lineups!$C$46:$C$83=$B165),Lineups!$W$46:$W$83))</f>
        <v>0</v>
      </c>
      <c r="P165" s="43"/>
      <c r="Q165" s="883">
        <f t="shared" si="363"/>
        <v>23</v>
      </c>
      <c r="R165" s="43"/>
      <c r="S165" s="43"/>
      <c r="T165" s="883">
        <f t="shared" si="364"/>
        <v>12</v>
      </c>
      <c r="U165" s="888" t="str">
        <f t="shared" ref="U165:V165" si="388">U119</f>
        <v>700</v>
      </c>
      <c r="V165" s="888" t="str">
        <f t="shared" si="388"/>
        <v>Springroll</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15</v>
      </c>
      <c r="AI165" s="43"/>
      <c r="AJ165" s="883">
        <f t="shared" si="368"/>
        <v>15</v>
      </c>
      <c r="AK165" s="43"/>
    </row>
    <row r="166" ht="13.5" customHeight="1">
      <c r="A166" s="5">
        <f t="shared" si="359"/>
        <v>13</v>
      </c>
      <c r="B166" s="630" t="str">
        <f t="shared" ref="B166:C166" si="389">B120</f>
        <v>919</v>
      </c>
      <c r="C166" s="630" t="str">
        <f t="shared" si="389"/>
        <v>Grizz</v>
      </c>
      <c r="D166" s="5">
        <f>IF($B166="","",SUMPRODUCT(--(Lineups!G$46:G$83=$B166),--(Lineups!B$46:B$83=""),Lineups!$W$46:$W$83))</f>
        <v>0</v>
      </c>
      <c r="E166" s="43"/>
      <c r="F166" s="881">
        <f>IF($B166="","",SUMPRODUCT(--(Lineups!G$46:G$83=$B166),--(Lineups!B$46:B$83="X"),Lineups!$W$46:$W$83))</f>
        <v>0</v>
      </c>
      <c r="G166" s="881">
        <f>IF($B166="","",SUMPRODUCT(--(Lineups!$K$46:$K$83=$B166),Lineups!$W$46:$W$83))</f>
        <v>4</v>
      </c>
      <c r="H166" s="881">
        <f>IF($B166="","",SUMPRODUCT(--(Lineups!$O$46:$O$83=$B166),Lineups!$W$46:$W$83))</f>
        <v>12</v>
      </c>
      <c r="I166" s="881">
        <f>IF($B166="","",SUMPRODUCT(--(Lineups!$S$46:$S$83=$B166),Lineups!$W$46:$W$83))</f>
        <v>15</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30" t="str">
        <f t="shared" ref="U166:V166" si="390">U120</f>
        <v>71</v>
      </c>
      <c r="V166" s="630" t="str">
        <f t="shared" si="390"/>
        <v>Danger Potato</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3">
        <f t="shared" si="359"/>
        <v>14</v>
      </c>
      <c r="B167" s="888" t="str">
        <f t="shared" ref="B167:C167" si="391">B121</f>
        <v>949</v>
      </c>
      <c r="C167" s="888" t="str">
        <f t="shared" si="391"/>
        <v>Coyote</v>
      </c>
      <c r="D167" s="883">
        <f>IF($B167="","",SUMPRODUCT(--(Lineups!G$46:G$83=$B167),--(Lineups!B$46:B$83=""),Lineups!$W$46:$W$83))</f>
        <v>0</v>
      </c>
      <c r="E167" s="43"/>
      <c r="F167" s="881">
        <f>IF($B167="","",SUMPRODUCT(--(Lineups!G$46:G$83=$B167),--(Lineups!B$46:B$83="X"),Lineups!$W$46:$W$83))</f>
        <v>0</v>
      </c>
      <c r="G167" s="881">
        <f>IF($B167="","",SUMPRODUCT(--(Lineups!$K$46:$K$83=$B167),Lineups!$W$46:$W$83))</f>
        <v>13</v>
      </c>
      <c r="H167" s="881">
        <f>IF($B167="","",SUMPRODUCT(--(Lineups!$O$46:$O$83=$B167),Lineups!$W$46:$W$83))</f>
        <v>24</v>
      </c>
      <c r="I167" s="881">
        <f>IF($B167="","",SUMPRODUCT(--(Lineups!$S$46:$S$83=$B167),Lineups!$W$46:$W$83))</f>
        <v>15</v>
      </c>
      <c r="J167" s="883">
        <f t="shared" si="361"/>
        <v>52</v>
      </c>
      <c r="K167" s="43"/>
      <c r="L167" s="883">
        <f t="shared" si="362"/>
        <v>52</v>
      </c>
      <c r="M167" s="43"/>
      <c r="N167" s="43"/>
      <c r="O167" s="883">
        <f>IF($B167="","",SUMPRODUCT(--(Lineups!$C$46:$C$83=$B167),Lineups!$W$46:$W$83))</f>
        <v>0</v>
      </c>
      <c r="P167" s="43"/>
      <c r="Q167" s="883">
        <f t="shared" si="363"/>
        <v>52</v>
      </c>
      <c r="R167" s="43"/>
      <c r="S167" s="43"/>
      <c r="T167" s="883">
        <f t="shared" si="364"/>
        <v>14</v>
      </c>
      <c r="U167" s="888" t="str">
        <f t="shared" ref="U167:V167" si="392">U121</f>
        <v>79</v>
      </c>
      <c r="V167" s="888" t="str">
        <f t="shared" si="392"/>
        <v>Lil RegulateHer</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7</v>
      </c>
      <c r="AI167" s="43"/>
      <c r="AJ167" s="883">
        <f t="shared" si="368"/>
        <v>7</v>
      </c>
      <c r="AK167" s="43"/>
    </row>
    <row r="168" ht="13.5" customHeight="1">
      <c r="A168" s="5">
        <f t="shared" si="359"/>
        <v>15</v>
      </c>
      <c r="B168" s="630" t="str">
        <f t="shared" ref="B168:C168" si="393">B122</f>
        <v>99</v>
      </c>
      <c r="C168" s="630" t="str">
        <f t="shared" si="393"/>
        <v>Chinaski</v>
      </c>
      <c r="D168" s="5">
        <f>IF($B168="","",SUMPRODUCT(--(Lineups!G$46:G$83=$B168),--(Lineups!B$46:B$83=""),Lineups!$W$46:$W$83))</f>
        <v>0</v>
      </c>
      <c r="E168" s="43"/>
      <c r="F168" s="881">
        <f>IF($B168="","",SUMPRODUCT(--(Lineups!G$46:G$83=$B168),--(Lineups!B$46:B$83="X"),Lineups!$W$46:$W$83))</f>
        <v>0</v>
      </c>
      <c r="G168" s="881">
        <f>IF($B168="","",SUMPRODUCT(--(Lineups!$K$46:$K$83=$B168),Lineups!$W$46:$W$83))</f>
        <v>13</v>
      </c>
      <c r="H168" s="881">
        <f>IF($B168="","",SUMPRODUCT(--(Lineups!$O$46:$O$83=$B168),Lineups!$W$46:$W$83))</f>
        <v>18</v>
      </c>
      <c r="I168" s="881">
        <f>IF($B168="","",SUMPRODUCT(--(Lineups!$S$46:$S$83=$B168),Lineups!$W$46:$W$83))</f>
        <v>23</v>
      </c>
      <c r="J168" s="5">
        <f t="shared" si="361"/>
        <v>54</v>
      </c>
      <c r="K168" s="43"/>
      <c r="L168" s="5">
        <f t="shared" si="362"/>
        <v>54</v>
      </c>
      <c r="M168" s="43"/>
      <c r="N168" s="43"/>
      <c r="O168" s="5">
        <f>IF($B168="","",SUMPRODUCT(--(Lineups!$C$46:$C$83=$B168),Lineups!$W$46:$W$83))</f>
        <v>0</v>
      </c>
      <c r="P168" s="43"/>
      <c r="Q168" s="5">
        <f t="shared" si="363"/>
        <v>54</v>
      </c>
      <c r="R168" s="43"/>
      <c r="S168" s="43"/>
      <c r="T168" s="5">
        <f t="shared" si="364"/>
        <v>15</v>
      </c>
      <c r="U168" s="630" t="str">
        <f t="shared" ref="U168:V168" si="394">U122</f>
        <v>89</v>
      </c>
      <c r="V168" s="630" t="str">
        <f t="shared" si="394"/>
        <v>High Roller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414</v>
      </c>
      <c r="B175" s="8"/>
      <c r="C175" s="9"/>
      <c r="D175" s="874"/>
      <c r="E175" s="874"/>
      <c r="F175" s="874"/>
      <c r="G175" s="874"/>
      <c r="H175" s="874"/>
      <c r="I175" s="874"/>
      <c r="J175" s="874"/>
      <c r="K175" s="874"/>
      <c r="L175" s="874"/>
      <c r="M175" s="874"/>
      <c r="N175" s="874"/>
      <c r="O175" s="874"/>
      <c r="P175" s="874"/>
      <c r="Q175" s="874"/>
      <c r="R175" s="874"/>
      <c r="S175" s="43"/>
      <c r="T175" s="873" t="s">
        <v>414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402</v>
      </c>
      <c r="C176" s="875" t="s">
        <v>403</v>
      </c>
      <c r="D176" s="875" t="s">
        <v>261</v>
      </c>
      <c r="E176" s="5"/>
      <c r="F176" s="877" t="s">
        <v>262</v>
      </c>
      <c r="G176" s="877" t="s">
        <v>262</v>
      </c>
      <c r="H176" s="877" t="s">
        <v>262</v>
      </c>
      <c r="I176" s="877" t="s">
        <v>262</v>
      </c>
      <c r="J176" s="875" t="s">
        <v>405</v>
      </c>
      <c r="K176" s="5"/>
      <c r="L176" s="875" t="s">
        <v>407</v>
      </c>
      <c r="M176" s="5"/>
      <c r="N176" s="878" t="s">
        <v>409</v>
      </c>
      <c r="O176" s="875" t="s">
        <v>259</v>
      </c>
      <c r="P176" s="5"/>
      <c r="Q176" s="875" t="s">
        <v>376</v>
      </c>
      <c r="R176" s="5"/>
      <c r="S176" s="43"/>
      <c r="T176" s="875">
        <v>0.0</v>
      </c>
      <c r="U176" s="875" t="s">
        <v>402</v>
      </c>
      <c r="V176" s="875" t="s">
        <v>403</v>
      </c>
      <c r="W176" s="875" t="s">
        <v>261</v>
      </c>
      <c r="X176" s="5"/>
      <c r="Y176" s="877" t="s">
        <v>262</v>
      </c>
      <c r="Z176" s="877" t="s">
        <v>262</v>
      </c>
      <c r="AA176" s="877" t="s">
        <v>262</v>
      </c>
      <c r="AB176" s="877" t="s">
        <v>262</v>
      </c>
      <c r="AC176" s="875" t="s">
        <v>405</v>
      </c>
      <c r="AD176" s="5"/>
      <c r="AE176" s="875" t="s">
        <v>407</v>
      </c>
      <c r="AF176" s="5"/>
      <c r="AG176" s="878" t="s">
        <v>409</v>
      </c>
      <c r="AH176" s="875" t="s">
        <v>259</v>
      </c>
      <c r="AI176" s="5"/>
      <c r="AJ176" s="875" t="s">
        <v>376</v>
      </c>
      <c r="AK176" s="5"/>
    </row>
    <row r="177" ht="13.5" customHeight="1">
      <c r="A177" s="5">
        <f t="shared" ref="A177:A196" si="407">A176+1</f>
        <v>1</v>
      </c>
      <c r="B177" s="630" t="str">
        <f t="shared" ref="B177:C177" si="405">B108</f>
        <v>10</v>
      </c>
      <c r="C177" s="630" t="str">
        <f t="shared" si="405"/>
        <v>Unprotected Lex</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4</v>
      </c>
      <c r="H177" s="881">
        <f>IF($B177="","",SUMPRODUCT(--(Lineups!$O$46:$O$83=$B177),Lineups!$AW$46:$AW$83)+SUMPRODUCT(--(Lineups!$A$47:$A$84="SP*"),--(Lineups!$O$46:$O$83=$B177),Lineups!$AW$47:$AW$84))</f>
        <v>0</v>
      </c>
      <c r="I177" s="881">
        <f>IF($B177="","",SUMPRODUCT(--(Lineups!$S$46:$S$83=$B177),Lineups!$AW$46:$AW$83)+SUMPRODUCT(--(Lineups!$A$47:$A$84="SP*"),--(Lineups!$S$46:$S$83=$B177),Lineups!$AW$47:$AW$84))</f>
        <v>2</v>
      </c>
      <c r="J177" s="5">
        <f t="shared" ref="J177:J196" si="409">IF(B177="","",SUM(F177:I177))</f>
        <v>6</v>
      </c>
      <c r="K177" s="43"/>
      <c r="L177" s="5">
        <f t="shared" ref="L177:L196" si="410">IF(B177="","",SUM(D177,J177))</f>
        <v>6</v>
      </c>
      <c r="M177" s="43"/>
      <c r="N177" s="43"/>
      <c r="O177" s="5">
        <f>IF($B177="","",SUMPRODUCT(--(Lineups!$C$46:$C$83=$B177),Lineups!$AW$46:$AW$83) + SUMPRODUCT(--(Lineups!$A$47:$A$84="SP*"),--(Lineups!$C$46:$C$83=$B177),Lineups!$AW$47:$AW$84))</f>
        <v>0</v>
      </c>
      <c r="P177" s="43"/>
      <c r="Q177" s="5">
        <f t="shared" ref="Q177:Q196" si="411">IF(B177="","",SUM(L177,O177))</f>
        <v>6</v>
      </c>
      <c r="R177" s="43"/>
      <c r="S177" s="43"/>
      <c r="T177" s="5">
        <f t="shared" ref="T177:T196" si="412">T176+1</f>
        <v>1</v>
      </c>
      <c r="U177" s="630" t="str">
        <f t="shared" ref="U177:V177" si="406">U108</f>
        <v>11</v>
      </c>
      <c r="V177" s="630" t="str">
        <f t="shared" si="406"/>
        <v>Bertha Beatdown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16</v>
      </c>
      <c r="AB177" s="881">
        <f>IF(U177="","",SUMPRODUCT(--(Lineups!$AS$46:$AS$83=$U177),Lineups!$W$46:$W$83)+SUMPRODUCT(--(Lineups!$AA$47:$AA$84="SP*"),--(Lineups!$AS$46:$AS$83=$U177),Lineups!$W$47:$W$84))</f>
        <v>4</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3.5" customHeight="1">
      <c r="A178" s="883">
        <f t="shared" si="407"/>
        <v>2</v>
      </c>
      <c r="B178" s="888" t="str">
        <f t="shared" ref="B178:C178" si="408">B109</f>
        <v>1706</v>
      </c>
      <c r="C178" s="888" t="str">
        <f t="shared" si="408"/>
        <v>Maven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14</v>
      </c>
      <c r="P178" s="43"/>
      <c r="Q178" s="883">
        <f t="shared" si="411"/>
        <v>14</v>
      </c>
      <c r="R178" s="43"/>
      <c r="S178" s="43"/>
      <c r="T178" s="883">
        <f t="shared" si="412"/>
        <v>2</v>
      </c>
      <c r="U178" s="888" t="str">
        <f t="shared" ref="U178:V178" si="413">U109</f>
        <v>128</v>
      </c>
      <c r="V178" s="888" t="str">
        <f t="shared" si="413"/>
        <v>Carl</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12</v>
      </c>
      <c r="AA178" s="881">
        <f>IF(U178="","",SUMPRODUCT(--(Lineups!$AO$46:$AO$83=$U178),Lineups!$W$46:$W$83)+SUMPRODUCT(--(Lineups!$AA$47:$AA$84="SP*"),--(Lineups!$AO$46:$AO$83=$U178),Lineups!$W$47:$W$84))</f>
        <v>12</v>
      </c>
      <c r="AB178" s="881">
        <f>IF(U178="","",SUMPRODUCT(--(Lineups!$AS$46:$AS$83=$U178),Lineups!$W$46:$W$83)+SUMPRODUCT(--(Lineups!$AA$47:$AA$84="SP*"),--(Lineups!$AS$46:$AS$83=$U178),Lineups!$W$47:$W$84))</f>
        <v>9</v>
      </c>
      <c r="AC178" s="883">
        <f t="shared" si="414"/>
        <v>33</v>
      </c>
      <c r="AD178" s="43"/>
      <c r="AE178" s="883">
        <f t="shared" si="415"/>
        <v>33</v>
      </c>
      <c r="AF178" s="43"/>
      <c r="AG178" s="43"/>
      <c r="AH178" s="883">
        <f>IF($U178="","",SUMPRODUCT(--(Lineups!$AC$46:$AC$83=$U178),Lineups!$W$46:$W$83) + SUMPRODUCT(--(Lineups!$AA$47:$AA$84="SP*"),--(Lineups!$AC$46:$AC$83=$U178),Lineups!$W$47:$W$84))</f>
        <v>0</v>
      </c>
      <c r="AI178" s="43"/>
      <c r="AJ178" s="883">
        <f t="shared" si="416"/>
        <v>33</v>
      </c>
      <c r="AK178" s="43"/>
    </row>
    <row r="179" ht="13.5" customHeight="1">
      <c r="A179" s="5">
        <f t="shared" si="407"/>
        <v>3</v>
      </c>
      <c r="B179" s="630" t="str">
        <f t="shared" ref="B179:C179" si="417">B110</f>
        <v>2</v>
      </c>
      <c r="C179" s="630" t="str">
        <f t="shared" si="417"/>
        <v>Taryn</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v>
      </c>
      <c r="H179" s="881">
        <f>IF($B179="","",SUMPRODUCT(--(Lineups!$O$46:$O$83=$B179),Lineups!$AW$46:$AW$83)+SUMPRODUCT(--(Lineups!$A$47:$A$84="SP*"),--(Lineups!$O$46:$O$83=$B179),Lineups!$AW$47:$AW$84))</f>
        <v>0</v>
      </c>
      <c r="I179" s="881">
        <f>IF($B179="","",SUMPRODUCT(--(Lineups!$S$46:$S$83=$B179),Lineups!$AW$46:$AW$83)+SUMPRODUCT(--(Lineups!$A$47:$A$84="SP*"),--(Lineups!$S$46:$S$83=$B179),Lineups!$AW$47:$AW$84))</f>
        <v>5</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30" t="str">
        <f t="shared" ref="U179:V179" si="418">U110</f>
        <v>139</v>
      </c>
      <c r="V179" s="630" t="str">
        <f t="shared" si="418"/>
        <v>Katie Postma</v>
      </c>
      <c r="W179" s="5">
        <f>IF($U179="","",SUMPRODUCT(--(Lineups!$AG$46:$AG$83=$U179),--(Lineups!$AB$46:$AB$83=""),Lineups!$W$46:$W$83)+SUMPRODUCT(--(Lineups!$AA$47:$AA$84="SP*"),--(Lineups!$AG$46:$AG$83=$U179),--(Lineups!$AB$46:$AB$83=""),Lineups!$W$47:$W$84))</f>
        <v>23</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23</v>
      </c>
      <c r="AF179" s="43"/>
      <c r="AG179" s="43"/>
      <c r="AH179" s="5">
        <f>IF($U179="","",SUMPRODUCT(--(Lineups!$AC$46:$AC$83=$U179),Lineups!$W$46:$W$83) + SUMPRODUCT(--(Lineups!$AA$47:$AA$84="SP*"),--(Lineups!$AC$46:$AC$83=$U179),Lineups!$W$47:$W$84))</f>
        <v>0</v>
      </c>
      <c r="AI179" s="43"/>
      <c r="AJ179" s="5">
        <f t="shared" si="416"/>
        <v>23</v>
      </c>
      <c r="AK179" s="43"/>
    </row>
    <row r="180" ht="13.5" customHeight="1">
      <c r="A180" s="883">
        <f t="shared" si="407"/>
        <v>4</v>
      </c>
      <c r="B180" s="888" t="str">
        <f t="shared" ref="B180:C180" si="419">B111</f>
        <v>22</v>
      </c>
      <c r="C180" s="888" t="str">
        <f t="shared" si="419"/>
        <v>Scara to Death</v>
      </c>
      <c r="D180" s="883">
        <f>IF($B180="","",SUMPRODUCT(--(Lineups!$G$46:$G$83=$B180),--(Lineups!$B$46:$B$83=""),Lineups!$AW$46:$AW$83)+SUMPRODUCT(--(Lineups!$A$47:$A$84="SP*"),--(Lineups!$G$46:$G$83=$B180),--(Lineups!$B$46:$B$83=""),Lineups!$AW$47:$AW$84))</f>
        <v>3</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3</v>
      </c>
      <c r="M180" s="43"/>
      <c r="N180" s="43"/>
      <c r="O180" s="883">
        <f>IF($B180="","",SUMPRODUCT(--(Lineups!$C$46:$C$83=$B180),Lineups!$AW$46:$AW$83) + SUMPRODUCT(--(Lineups!$A$47:$A$84="SP*"),--(Lineups!$C$46:$C$83=$B180),Lineups!$AW$47:$AW$84))</f>
        <v>0</v>
      </c>
      <c r="P180" s="43"/>
      <c r="Q180" s="883">
        <f t="shared" si="411"/>
        <v>3</v>
      </c>
      <c r="R180" s="43"/>
      <c r="S180" s="43"/>
      <c r="T180" s="883">
        <f t="shared" si="412"/>
        <v>4</v>
      </c>
      <c r="U180" s="888" t="str">
        <f t="shared" ref="U180:V180" si="420">U111</f>
        <v>22</v>
      </c>
      <c r="V180" s="888" t="str">
        <f t="shared" si="420"/>
        <v>Habanero Romero</v>
      </c>
      <c r="W180" s="883">
        <f>IF($U180="","",SUMPRODUCT(--(Lineups!$AG$46:$AG$83=$U180),--(Lineups!$AB$46:$AB$83=""),Lineups!$W$46:$W$83)+SUMPRODUCT(--(Lineups!$AA$47:$AA$84="SP*"),--(Lineups!$AG$46:$AG$83=$U180),--(Lineups!$AB$46:$AB$83=""),Lineups!$W$47:$W$84))</f>
        <v>23</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5</v>
      </c>
      <c r="AA180" s="881">
        <f>IF(U180="","",SUMPRODUCT(--(Lineups!$AO$46:$AO$83=$U180),Lineups!$W$46:$W$83)+SUMPRODUCT(--(Lineups!$AA$47:$AA$84="SP*"),--(Lineups!$AO$46:$AO$83=$U180),Lineups!$W$47:$W$84))</f>
        <v>0</v>
      </c>
      <c r="AB180" s="881">
        <f>IF(U180="","",SUMPRODUCT(--(Lineups!$AS$46:$AS$83=$U180),Lineups!$W$46:$W$83)+SUMPRODUCT(--(Lineups!$AA$47:$AA$84="SP*"),--(Lineups!$AS$46:$AS$83=$U180),Lineups!$W$47:$W$84))</f>
        <v>20</v>
      </c>
      <c r="AC180" s="883">
        <f t="shared" si="414"/>
        <v>25</v>
      </c>
      <c r="AD180" s="43"/>
      <c r="AE180" s="883">
        <f t="shared" si="415"/>
        <v>48</v>
      </c>
      <c r="AF180" s="43"/>
      <c r="AG180" s="43"/>
      <c r="AH180" s="883">
        <f>IF($U180="","",SUMPRODUCT(--(Lineups!$AC$46:$AC$83=$U180),Lineups!$W$46:$W$83) + SUMPRODUCT(--(Lineups!$AA$47:$AA$84="SP*"),--(Lineups!$AC$46:$AC$83=$U180),Lineups!$W$47:$W$84))</f>
        <v>0</v>
      </c>
      <c r="AI180" s="43"/>
      <c r="AJ180" s="883">
        <f t="shared" si="416"/>
        <v>48</v>
      </c>
      <c r="AK180" s="43"/>
    </row>
    <row r="181" ht="13.5" customHeight="1">
      <c r="A181" s="5">
        <f t="shared" si="407"/>
        <v>5</v>
      </c>
      <c r="B181" s="630" t="str">
        <f t="shared" ref="B181:C181" si="421">B112</f>
        <v>27</v>
      </c>
      <c r="C181" s="630" t="str">
        <f t="shared" si="421"/>
        <v>Gobrecht</v>
      </c>
      <c r="D181" s="5">
        <f>IF($B181="","",SUMPRODUCT(--(Lineups!$G$46:$G$83=$B181),--(Lineups!$B$46:$B$83=""),Lineups!$AW$46:$AW$83)+SUMPRODUCT(--(Lineups!$A$47:$A$84="SP*"),--(Lineups!$G$46:$G$83=$B181),--(Lineups!$B$46:$B$83=""),Lineups!$AW$47:$AW$84))</f>
        <v>6</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v>
      </c>
      <c r="I181" s="881">
        <f>IF($B181="","",SUMPRODUCT(--(Lineups!$S$46:$S$83=$B181),Lineups!$AW$46:$AW$83)+SUMPRODUCT(--(Lineups!$A$47:$A$84="SP*"),--(Lineups!$S$46:$S$83=$B181),Lineups!$AW$47:$AW$84))</f>
        <v>0</v>
      </c>
      <c r="J181" s="5">
        <f t="shared" si="409"/>
        <v>1</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30" t="str">
        <f t="shared" ref="U181:V181" si="422">U112</f>
        <v>241</v>
      </c>
      <c r="V181" s="630" t="str">
        <f t="shared" si="422"/>
        <v>Lilly Pate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64</v>
      </c>
      <c r="AA181" s="881">
        <f>IF(U181="","",SUMPRODUCT(--(Lineups!$AO$46:$AO$83=$U181),Lineups!$W$46:$W$83)+SUMPRODUCT(--(Lineups!$AA$47:$AA$84="SP*"),--(Lineups!$AO$46:$AO$83=$U181),Lineups!$W$47:$W$84))</f>
        <v>16</v>
      </c>
      <c r="AB181" s="881">
        <f>IF(U181="","",SUMPRODUCT(--(Lineups!$AS$46:$AS$83=$U181),Lineups!$W$46:$W$83)+SUMPRODUCT(--(Lineups!$AA$47:$AA$84="SP*"),--(Lineups!$AS$46:$AS$83=$U181),Lineups!$W$47:$W$84))</f>
        <v>4</v>
      </c>
      <c r="AC181" s="5">
        <f t="shared" si="414"/>
        <v>84</v>
      </c>
      <c r="AD181" s="43"/>
      <c r="AE181" s="5">
        <f t="shared" si="415"/>
        <v>84</v>
      </c>
      <c r="AF181" s="43"/>
      <c r="AG181" s="43"/>
      <c r="AH181" s="5">
        <f>IF($U181="","",SUMPRODUCT(--(Lineups!$AC$46:$AC$83=$U181),Lineups!$W$46:$W$83) + SUMPRODUCT(--(Lineups!$AA$47:$AA$84="SP*"),--(Lineups!$AC$46:$AC$83=$U181),Lineups!$W$47:$W$84))</f>
        <v>0</v>
      </c>
      <c r="AI181" s="43"/>
      <c r="AJ181" s="5">
        <f t="shared" si="416"/>
        <v>84</v>
      </c>
      <c r="AK181" s="43"/>
    </row>
    <row r="182" ht="13.5" customHeight="1">
      <c r="A182" s="883">
        <f t="shared" si="407"/>
        <v>6</v>
      </c>
      <c r="B182" s="888" t="str">
        <f t="shared" ref="B182:C182" si="423">B113</f>
        <v>33</v>
      </c>
      <c r="C182" s="888" t="str">
        <f t="shared" si="423"/>
        <v>Klein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7</v>
      </c>
      <c r="P182" s="43"/>
      <c r="Q182" s="883">
        <f t="shared" si="411"/>
        <v>7</v>
      </c>
      <c r="R182" s="43"/>
      <c r="S182" s="43"/>
      <c r="T182" s="883">
        <f t="shared" si="412"/>
        <v>6</v>
      </c>
      <c r="U182" s="888" t="str">
        <f t="shared" ref="U182:V182" si="424">U113</f>
        <v>316</v>
      </c>
      <c r="V182" s="888" t="str">
        <f t="shared" si="424"/>
        <v>Eve Anne Hellical</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28</v>
      </c>
      <c r="AI182" s="43"/>
      <c r="AJ182" s="883">
        <f t="shared" si="416"/>
        <v>28</v>
      </c>
      <c r="AK182" s="43"/>
    </row>
    <row r="183" ht="13.5" customHeight="1">
      <c r="A183" s="5">
        <f t="shared" si="407"/>
        <v>7</v>
      </c>
      <c r="B183" s="630" t="str">
        <f t="shared" ref="B183:C183" si="425">B114</f>
        <v>357</v>
      </c>
      <c r="C183" s="630" t="str">
        <f t="shared" si="425"/>
        <v>Bia Fraid</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4</v>
      </c>
      <c r="I183" s="881">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0" t="str">
        <f t="shared" ref="U183:V183" si="426">U114</f>
        <v>343</v>
      </c>
      <c r="V183" s="630" t="str">
        <f t="shared" si="426"/>
        <v>Trinity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35</v>
      </c>
      <c r="AI183" s="43"/>
      <c r="AJ183" s="5">
        <f t="shared" si="416"/>
        <v>35</v>
      </c>
      <c r="AK183" s="43"/>
    </row>
    <row r="184" ht="13.5" customHeight="1">
      <c r="A184" s="883">
        <f t="shared" si="407"/>
        <v>8</v>
      </c>
      <c r="B184" s="888" t="str">
        <f t="shared" ref="B184:C184" si="427">B115</f>
        <v>40</v>
      </c>
      <c r="C184" s="888" t="str">
        <f t="shared" si="427"/>
        <v>speedlejuice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360</v>
      </c>
      <c r="V184" s="888" t="str">
        <f t="shared" si="428"/>
        <v>Big Bang Fury</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10</v>
      </c>
      <c r="AA184" s="881">
        <f>IF(U184="","",SUMPRODUCT(--(Lineups!$AO$46:$AO$83=$U184),Lineups!$W$46:$W$83)+SUMPRODUCT(--(Lineups!$AA$47:$AA$84="SP*"),--(Lineups!$AO$46:$AO$83=$U184),Lineups!$W$47:$W$84))</f>
        <v>37</v>
      </c>
      <c r="AB184" s="881">
        <f>IF(U184="","",SUMPRODUCT(--(Lineups!$AS$46:$AS$83=$U184),Lineups!$W$46:$W$83)+SUMPRODUCT(--(Lineups!$AA$47:$AA$84="SP*"),--(Lineups!$AS$46:$AS$83=$U184),Lineups!$W$47:$W$84))</f>
        <v>10</v>
      </c>
      <c r="AC184" s="883">
        <f t="shared" si="414"/>
        <v>57</v>
      </c>
      <c r="AD184" s="43"/>
      <c r="AE184" s="883">
        <f t="shared" si="415"/>
        <v>61</v>
      </c>
      <c r="AF184" s="43"/>
      <c r="AG184" s="43"/>
      <c r="AH184" s="883">
        <f>IF($U184="","",SUMPRODUCT(--(Lineups!$AC$46:$AC$83=$U184),Lineups!$W$46:$W$83) + SUMPRODUCT(--(Lineups!$AA$47:$AA$84="SP*"),--(Lineups!$AC$46:$AC$83=$U184),Lineups!$W$47:$W$84))</f>
        <v>0</v>
      </c>
      <c r="AI184" s="43"/>
      <c r="AJ184" s="883">
        <f t="shared" si="416"/>
        <v>61</v>
      </c>
      <c r="AK184" s="43"/>
    </row>
    <row r="185" ht="13.5" customHeight="1">
      <c r="A185" s="5">
        <f t="shared" si="407"/>
        <v>9</v>
      </c>
      <c r="B185" s="630" t="str">
        <f t="shared" ref="B185:C185" si="429">B116</f>
        <v>50</v>
      </c>
      <c r="C185" s="630" t="str">
        <f t="shared" si="429"/>
        <v>Scald Eagle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0" t="str">
        <f t="shared" ref="U185:V185" si="430">U116</f>
        <v>37</v>
      </c>
      <c r="V185" s="630" t="str">
        <f t="shared" si="430"/>
        <v>Swagetha</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8</v>
      </c>
      <c r="AA185" s="881">
        <f>IF(U185="","",SUMPRODUCT(--(Lineups!$AO$46:$AO$83=$U185),Lineups!$W$46:$W$83)+SUMPRODUCT(--(Lineups!$AA$47:$AA$84="SP*"),--(Lineups!$AO$46:$AO$83=$U185),Lineups!$W$47:$W$84))</f>
        <v>8</v>
      </c>
      <c r="AB185" s="881">
        <f>IF(U185="","",SUMPRODUCT(--(Lineups!$AS$46:$AS$83=$U185),Lineups!$W$46:$W$83)+SUMPRODUCT(--(Lineups!$AA$47:$AA$84="SP*"),--(Lineups!$AS$46:$AS$83=$U185),Lineups!$W$47:$W$84))</f>
        <v>4</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3.5" customHeight="1">
      <c r="A186" s="883">
        <f t="shared" si="407"/>
        <v>10</v>
      </c>
      <c r="B186" s="888" t="str">
        <f t="shared" ref="B186:C186" si="431">B117</f>
        <v>505</v>
      </c>
      <c r="C186" s="888" t="str">
        <f t="shared" si="431"/>
        <v>Elyse LeKraken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13</v>
      </c>
      <c r="H186" s="881">
        <f>IF($B186="","",SUMPRODUCT(--(Lineups!$O$46:$O$83=$B186),Lineups!$AW$46:$AW$83)+SUMPRODUCT(--(Lineups!$A$47:$A$84="SP*"),--(Lineups!$O$46:$O$83=$B186),Lineups!$AW$47:$AW$84))</f>
        <v>0</v>
      </c>
      <c r="I186" s="881">
        <f>IF($B186="","",SUMPRODUCT(--(Lineups!$S$46:$S$83=$B186),Lineups!$AW$46:$AW$83)+SUMPRODUCT(--(Lineups!$A$47:$A$84="SP*"),--(Lineups!$S$46:$S$83=$B186),Lineups!$AW$47:$AW$84))</f>
        <v>6</v>
      </c>
      <c r="J186" s="883">
        <f t="shared" si="409"/>
        <v>19</v>
      </c>
      <c r="K186" s="43"/>
      <c r="L186" s="883">
        <f t="shared" si="410"/>
        <v>19</v>
      </c>
      <c r="M186" s="43"/>
      <c r="N186" s="43"/>
      <c r="O186" s="883">
        <f>IF($B186="","",SUMPRODUCT(--(Lineups!$C$46:$C$83=$B186),Lineups!$AW$46:$AW$83) + SUMPRODUCT(--(Lineups!$A$47:$A$84="SP*"),--(Lineups!$C$46:$C$83=$B186),Lineups!$AW$47:$AW$84))</f>
        <v>0</v>
      </c>
      <c r="P186" s="43"/>
      <c r="Q186" s="883">
        <f t="shared" si="411"/>
        <v>19</v>
      </c>
      <c r="R186" s="43"/>
      <c r="S186" s="43"/>
      <c r="T186" s="883">
        <f t="shared" si="412"/>
        <v>10</v>
      </c>
      <c r="U186" s="888" t="str">
        <f t="shared" ref="U186:V186" si="432">U117</f>
        <v>39</v>
      </c>
      <c r="V186" s="888" t="str">
        <f t="shared" si="432"/>
        <v>Gaffney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17</v>
      </c>
      <c r="AB186" s="881">
        <f>IF(U186="","",SUMPRODUCT(--(Lineups!$AS$46:$AS$83=$U186),Lineups!$W$46:$W$83)+SUMPRODUCT(--(Lineups!$AA$47:$AA$84="SP*"),--(Lineups!$AS$46:$AS$83=$U186),Lineups!$W$47:$W$84))</f>
        <v>47</v>
      </c>
      <c r="AC186" s="883">
        <f t="shared" si="414"/>
        <v>64</v>
      </c>
      <c r="AD186" s="43"/>
      <c r="AE186" s="883">
        <f t="shared" si="415"/>
        <v>64</v>
      </c>
      <c r="AF186" s="43"/>
      <c r="AG186" s="43"/>
      <c r="AH186" s="883">
        <f>IF($U186="","",SUMPRODUCT(--(Lineups!$AC$46:$AC$83=$U186),Lineups!$W$46:$W$83) + SUMPRODUCT(--(Lineups!$AA$47:$AA$84="SP*"),--(Lineups!$AC$46:$AC$83=$U186),Lineups!$W$47:$W$84))</f>
        <v>0</v>
      </c>
      <c r="AI186" s="43"/>
      <c r="AJ186" s="883">
        <f t="shared" si="416"/>
        <v>64</v>
      </c>
      <c r="AK186" s="43"/>
    </row>
    <row r="187" ht="13.5" customHeight="1">
      <c r="A187" s="5">
        <f t="shared" si="407"/>
        <v>11</v>
      </c>
      <c r="B187" s="630" t="str">
        <f t="shared" ref="B187:C187" si="433">B118</f>
        <v>8000</v>
      </c>
      <c r="C187" s="630" t="str">
        <f t="shared" si="433"/>
        <v>Killifornia</v>
      </c>
      <c r="D187" s="5">
        <f>IF($B187="","",SUMPRODUCT(--(Lineups!$G$46:$G$83=$B187),--(Lineups!$B$46:$B$83=""),Lineups!$AW$46:$AW$83)+SUMPRODUCT(--(Lineups!$A$47:$A$84="SP*"),--(Lineups!$G$46:$G$83=$B187),--(Lineups!$B$46:$B$83=""),Lineups!$AW$47:$AW$84))</f>
        <v>20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2</v>
      </c>
      <c r="I187" s="881">
        <f>IF($B187="","",SUMPRODUCT(--(Lineups!$S$46:$S$83=$B187),Lineups!$AW$46:$AW$83)+SUMPRODUCT(--(Lineups!$A$47:$A$84="SP*"),--(Lineups!$S$46:$S$83=$B187),Lineups!$AW$47:$AW$84))</f>
        <v>0</v>
      </c>
      <c r="J187" s="5">
        <f t="shared" si="409"/>
        <v>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30" t="str">
        <f t="shared" ref="U187:V187" si="434">U118</f>
        <v>48</v>
      </c>
      <c r="V187" s="630" t="str">
        <f t="shared" si="434"/>
        <v>Brute</v>
      </c>
      <c r="W187" s="5">
        <f>IF($U187="","",SUMPRODUCT(--(Lineups!$AG$46:$AG$83=$U187),--(Lineups!$AB$46:$AB$83=""),Lineups!$W$46:$W$83)+SUMPRODUCT(--(Lineups!$AA$47:$AA$84="SP*"),--(Lineups!$AG$46:$AG$83=$U187),--(Lineups!$AB$46:$AB$83=""),Lineups!$W$47:$W$84))</f>
        <v>64</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4</v>
      </c>
      <c r="AB187" s="881">
        <f>IF(U187="","",SUMPRODUCT(--(Lineups!$AS$46:$AS$83=$U187),Lineups!$W$46:$W$83)+SUMPRODUCT(--(Lineups!$AA$47:$AA$84="SP*"),--(Lineups!$AS$46:$AS$83=$U187),Lineups!$W$47:$W$84))</f>
        <v>0</v>
      </c>
      <c r="AC187" s="5">
        <f t="shared" si="414"/>
        <v>4</v>
      </c>
      <c r="AD187" s="43"/>
      <c r="AE187" s="5">
        <f t="shared" si="415"/>
        <v>68</v>
      </c>
      <c r="AF187" s="43"/>
      <c r="AG187" s="43"/>
      <c r="AH187" s="5">
        <f>IF($U187="","",SUMPRODUCT(--(Lineups!$AC$46:$AC$83=$U187),Lineups!$W$46:$W$83) + SUMPRODUCT(--(Lineups!$AA$47:$AA$84="SP*"),--(Lineups!$AC$46:$AC$83=$U187),Lineups!$W$47:$W$84))</f>
        <v>0</v>
      </c>
      <c r="AI187" s="43"/>
      <c r="AJ187" s="5">
        <f t="shared" si="416"/>
        <v>68</v>
      </c>
      <c r="AK187" s="43"/>
    </row>
    <row r="188" ht="13.5" customHeight="1">
      <c r="A188" s="883">
        <f t="shared" si="407"/>
        <v>12</v>
      </c>
      <c r="B188" s="888" t="str">
        <f t="shared" ref="B188:C188" si="435">B119</f>
        <v>90</v>
      </c>
      <c r="C188" s="888" t="str">
        <f t="shared" si="435"/>
        <v>Wee Bonnie Bruiser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3</v>
      </c>
      <c r="J188" s="883">
        <f t="shared" si="409"/>
        <v>3</v>
      </c>
      <c r="K188" s="43"/>
      <c r="L188" s="883">
        <f t="shared" si="410"/>
        <v>3</v>
      </c>
      <c r="M188" s="43"/>
      <c r="N188" s="43"/>
      <c r="O188" s="883">
        <f>IF($B188="","",SUMPRODUCT(--(Lineups!$C$46:$C$83=$B188),Lineups!$AW$46:$AW$83) + SUMPRODUCT(--(Lineups!$A$47:$A$84="SP*"),--(Lineups!$C$46:$C$83=$B188),Lineups!$AW$47:$AW$84))</f>
        <v>0</v>
      </c>
      <c r="P188" s="43"/>
      <c r="Q188" s="883">
        <f t="shared" si="411"/>
        <v>3</v>
      </c>
      <c r="R188" s="43"/>
      <c r="S188" s="43"/>
      <c r="T188" s="883">
        <f t="shared" si="412"/>
        <v>12</v>
      </c>
      <c r="U188" s="888" t="str">
        <f t="shared" ref="U188:V188" si="436">U119</f>
        <v>700</v>
      </c>
      <c r="V188" s="888" t="str">
        <f t="shared" si="436"/>
        <v>Springroll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25</v>
      </c>
      <c r="AI188" s="43"/>
      <c r="AJ188" s="883">
        <f t="shared" si="416"/>
        <v>25</v>
      </c>
      <c r="AK188" s="43"/>
    </row>
    <row r="189" ht="13.5" customHeight="1">
      <c r="A189" s="5">
        <f t="shared" si="407"/>
        <v>13</v>
      </c>
      <c r="B189" s="630" t="str">
        <f t="shared" ref="B189:C189" si="437">B120</f>
        <v>919</v>
      </c>
      <c r="C189" s="630" t="str">
        <f t="shared" si="437"/>
        <v>Grizz</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3</v>
      </c>
      <c r="I189" s="881">
        <f>IF($B189="","",SUMPRODUCT(--(Lineups!$S$46:$S$83=$B189),Lineups!$AW$46:$AW$83)+SUMPRODUCT(--(Lineups!$A$47:$A$84="SP*"),--(Lineups!$S$46:$S$83=$B189),Lineups!$AW$47:$AW$84))</f>
        <v>13</v>
      </c>
      <c r="J189" s="5">
        <f t="shared" si="409"/>
        <v>16</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30" t="str">
        <f t="shared" ref="U189:V189" si="438">U120</f>
        <v>71</v>
      </c>
      <c r="V189" s="630" t="str">
        <f t="shared" si="438"/>
        <v>Danger Potato</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3">
        <f t="shared" si="407"/>
        <v>14</v>
      </c>
      <c r="B190" s="888" t="str">
        <f t="shared" ref="B190:C190" si="439">B121</f>
        <v>949</v>
      </c>
      <c r="C190" s="888" t="str">
        <f t="shared" si="439"/>
        <v>Coyote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v>
      </c>
      <c r="H190" s="881">
        <f>IF($B190="","",SUMPRODUCT(--(Lineups!$O$46:$O$83=$B190),Lineups!$AW$46:$AW$83)+SUMPRODUCT(--(Lineups!$A$47:$A$84="SP*"),--(Lineups!$O$46:$O$83=$B190),Lineups!$AW$47:$AW$84))</f>
        <v>4</v>
      </c>
      <c r="I190" s="881">
        <f>IF($B190="","",SUMPRODUCT(--(Lineups!$S$46:$S$83=$B190),Lineups!$AW$46:$AW$83)+SUMPRODUCT(--(Lineups!$A$47:$A$84="SP*"),--(Lineups!$S$46:$S$83=$B190),Lineups!$AW$47:$AW$84))</f>
        <v>0</v>
      </c>
      <c r="J190" s="883">
        <f t="shared" si="409"/>
        <v>5</v>
      </c>
      <c r="K190" s="43"/>
      <c r="L190" s="883">
        <f t="shared" si="410"/>
        <v>5</v>
      </c>
      <c r="M190" s="43"/>
      <c r="N190" s="43"/>
      <c r="O190" s="883">
        <f>IF($B190="","",SUMPRODUCT(--(Lineups!$C$46:$C$83=$B190),Lineups!$AW$46:$AW$83) + SUMPRODUCT(--(Lineups!$A$47:$A$84="SP*"),--(Lineups!$C$46:$C$83=$B190),Lineups!$AW$47:$AW$84))</f>
        <v>0</v>
      </c>
      <c r="P190" s="43"/>
      <c r="Q190" s="883">
        <f t="shared" si="411"/>
        <v>5</v>
      </c>
      <c r="R190" s="43"/>
      <c r="S190" s="43"/>
      <c r="T190" s="883">
        <f t="shared" si="412"/>
        <v>14</v>
      </c>
      <c r="U190" s="888" t="str">
        <f t="shared" ref="U190:V190" si="440">U121</f>
        <v>79</v>
      </c>
      <c r="V190" s="888" t="str">
        <f t="shared" si="440"/>
        <v>Lil RegulateHer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4</v>
      </c>
      <c r="AC190" s="883">
        <f t="shared" si="414"/>
        <v>4</v>
      </c>
      <c r="AD190" s="43"/>
      <c r="AE190" s="883">
        <f t="shared" si="415"/>
        <v>4</v>
      </c>
      <c r="AF190" s="43"/>
      <c r="AG190" s="43"/>
      <c r="AH190" s="883">
        <f>IF($U190="","",SUMPRODUCT(--(Lineups!$AC$46:$AC$83=$U190),Lineups!$W$46:$W$83) + SUMPRODUCT(--(Lineups!$AA$47:$AA$84="SP*"),--(Lineups!$AC$46:$AC$83=$U190),Lineups!$W$47:$W$84))</f>
        <v>26</v>
      </c>
      <c r="AI190" s="43"/>
      <c r="AJ190" s="883">
        <f t="shared" si="416"/>
        <v>30</v>
      </c>
      <c r="AK190" s="43"/>
    </row>
    <row r="191" ht="13.5" customHeight="1">
      <c r="A191" s="5">
        <f t="shared" si="407"/>
        <v>15</v>
      </c>
      <c r="B191" s="630" t="str">
        <f t="shared" ref="B191:C191" si="441">B122</f>
        <v>99</v>
      </c>
      <c r="C191" s="630" t="str">
        <f t="shared" si="441"/>
        <v>Chinaski</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9</v>
      </c>
      <c r="H191" s="881">
        <f>IF($B191="","",SUMPRODUCT(--(Lineups!$O$46:$O$83=$B191),Lineups!$AW$46:$AW$83)+SUMPRODUCT(--(Lineups!$A$47:$A$84="SP*"),--(Lineups!$O$46:$O$83=$B191),Lineups!$AW$47:$AW$84))</f>
        <v>15</v>
      </c>
      <c r="I191" s="881">
        <f>IF($B191="","",SUMPRODUCT(--(Lineups!$S$46:$S$83=$B191),Lineups!$AW$46:$AW$83)+SUMPRODUCT(--(Lineups!$A$47:$A$84="SP*"),--(Lineups!$S$46:$S$83=$B191),Lineups!$AW$47:$AW$84))</f>
        <v>0</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30" t="str">
        <f t="shared" ref="U191:V191" si="442">U122</f>
        <v>89</v>
      </c>
      <c r="V191" s="630" t="str">
        <f t="shared" si="442"/>
        <v>High Roller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3</v>
      </c>
      <c r="AA191" s="881">
        <f>IF(U191="","",SUMPRODUCT(--(Lineups!$AO$46:$AO$83=$U191),Lineups!$W$46:$W$83)+SUMPRODUCT(--(Lineups!$AA$47:$AA$84="SP*"),--(Lineups!$AO$46:$AO$83=$U191),Lineups!$W$47:$W$84))</f>
        <v>4</v>
      </c>
      <c r="AB191" s="881">
        <f>IF(U191="","",SUMPRODUCT(--(Lineups!$AS$46:$AS$83=$U191),Lineups!$W$46:$W$83)+SUMPRODUCT(--(Lineups!$AA$47:$AA$84="SP*"),--(Lineups!$AS$46:$AS$83=$U191),Lineups!$W$47:$W$84))</f>
        <v>12</v>
      </c>
      <c r="AC191" s="5">
        <f t="shared" si="414"/>
        <v>19</v>
      </c>
      <c r="AD191" s="43"/>
      <c r="AE191" s="5">
        <f t="shared" si="415"/>
        <v>19</v>
      </c>
      <c r="AF191" s="43"/>
      <c r="AG191" s="43"/>
      <c r="AH191" s="5">
        <f>IF($U191="","",SUMPRODUCT(--(Lineups!$AC$46:$AC$83=$U191),Lineups!$W$46:$W$83) + SUMPRODUCT(--(Lineups!$AA$47:$AA$84="SP*"),--(Lineups!$AC$46:$AC$83=$U191),Lineups!$W$47:$W$84))</f>
        <v>0</v>
      </c>
      <c r="AI191" s="43"/>
      <c r="AJ191" s="5">
        <f t="shared" si="416"/>
        <v>19</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324</v>
      </c>
      <c r="F1" s="890"/>
      <c r="G1" s="890"/>
      <c r="H1" s="890"/>
      <c r="I1" s="890"/>
      <c r="J1" s="824"/>
      <c r="K1" s="824"/>
      <c r="L1" s="824"/>
      <c r="M1" s="824"/>
      <c r="N1" s="824"/>
      <c r="O1" s="824"/>
      <c r="P1" s="824"/>
      <c r="Q1" s="824"/>
      <c r="R1" s="824"/>
      <c r="S1" s="824"/>
      <c r="T1" s="824"/>
      <c r="U1" s="824"/>
      <c r="V1" s="891" t="s">
        <v>415</v>
      </c>
      <c r="W1" s="892"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417</v>
      </c>
      <c r="B2" s="875" t="s">
        <v>402</v>
      </c>
      <c r="C2" s="875" t="s">
        <v>403</v>
      </c>
      <c r="D2" s="875"/>
      <c r="E2" s="875" t="s">
        <v>211</v>
      </c>
      <c r="F2" s="875" t="s">
        <v>219</v>
      </c>
      <c r="G2" s="875" t="s">
        <v>221</v>
      </c>
      <c r="H2" s="875" t="s">
        <v>225</v>
      </c>
      <c r="I2" s="875" t="s">
        <v>228</v>
      </c>
      <c r="J2" s="875" t="s">
        <v>214</v>
      </c>
      <c r="K2" s="875" t="s">
        <v>222</v>
      </c>
      <c r="L2" s="875" t="s">
        <v>226</v>
      </c>
      <c r="M2" s="875" t="s">
        <v>233</v>
      </c>
      <c r="N2" s="875" t="s">
        <v>215</v>
      </c>
      <c r="O2" s="875" t="s">
        <v>212</v>
      </c>
      <c r="P2" s="875" t="s">
        <v>217</v>
      </c>
      <c r="Q2" s="875" t="s">
        <v>247</v>
      </c>
      <c r="R2" s="875" t="s">
        <v>250</v>
      </c>
      <c r="S2" s="875"/>
      <c r="T2" s="875"/>
      <c r="U2" s="876" t="s">
        <v>376</v>
      </c>
      <c r="V2" s="893"/>
      <c r="W2" s="894" t="s">
        <v>418</v>
      </c>
      <c r="X2" s="894" t="s">
        <v>211</v>
      </c>
      <c r="Y2" s="894" t="s">
        <v>219</v>
      </c>
      <c r="Z2" s="894" t="s">
        <v>221</v>
      </c>
      <c r="AA2" s="894" t="s">
        <v>225</v>
      </c>
      <c r="AB2" s="894" t="s">
        <v>228</v>
      </c>
      <c r="AC2" s="894" t="s">
        <v>214</v>
      </c>
      <c r="AD2" s="894" t="s">
        <v>222</v>
      </c>
      <c r="AE2" s="894" t="s">
        <v>226</v>
      </c>
      <c r="AF2" s="894" t="s">
        <v>233</v>
      </c>
      <c r="AG2" s="894" t="s">
        <v>215</v>
      </c>
      <c r="AH2" s="894" t="s">
        <v>212</v>
      </c>
      <c r="AI2" s="894" t="s">
        <v>247</v>
      </c>
      <c r="AJ2" s="894"/>
      <c r="AK2" s="5"/>
      <c r="AL2" s="5"/>
      <c r="AM2" s="5"/>
      <c r="AN2" s="5"/>
      <c r="AO2" s="5"/>
      <c r="AP2" s="5"/>
      <c r="AQ2" s="5"/>
      <c r="AR2" s="5"/>
      <c r="AS2" s="5"/>
      <c r="AT2" s="5"/>
      <c r="AU2" s="5"/>
      <c r="AV2" s="5"/>
      <c r="AW2" s="5"/>
      <c r="AX2" s="5"/>
    </row>
    <row r="3" ht="13.5" customHeight="1">
      <c r="A3" s="420">
        <v>1.0</v>
      </c>
      <c r="B3" s="895" t="str">
        <f>IF(IGRF!B14="","",IGRF!B14)</f>
        <v>10</v>
      </c>
      <c r="C3" s="672" t="str">
        <f>IF(IGRF!C14="","",IGRF!C14)</f>
        <v>Unprotected Lex</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1706</v>
      </c>
      <c r="C5" s="902" t="str">
        <f>IF(IGRF!C15="","",IGRF!C15)</f>
        <v>Maven</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v>
      </c>
      <c r="C7" s="672" t="str">
        <f>IF(IGRF!C16="","",IGRF!C16)</f>
        <v>Taryn</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22</v>
      </c>
      <c r="C9" s="902" t="str">
        <f>IF(IGRF!C17="","",IGRF!C17)</f>
        <v>Scara to Death</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1</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27</v>
      </c>
      <c r="C11" s="672" t="str">
        <f>IF(IGRF!C18="","",IGRF!C18)</f>
        <v>Gobrecht</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33</v>
      </c>
      <c r="C13" s="902" t="str">
        <f>IF(IGRF!C19="","",IGRF!C19)</f>
        <v>Klein</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357</v>
      </c>
      <c r="C15" s="672" t="str">
        <f>IF(IGRF!C20="","",IGRF!C20)</f>
        <v>Bia Fraid</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40</v>
      </c>
      <c r="C17" s="902" t="str">
        <f>IF(IGRF!C21="","",IGRF!C21)</f>
        <v>speedlejuice</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50</v>
      </c>
      <c r="C19" s="672" t="str">
        <f>IF(IGRF!C22="","",IGRF!C22)</f>
        <v>Scald Eagle</v>
      </c>
      <c r="D19" s="5" t="s">
        <v>419</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505</v>
      </c>
      <c r="C21" s="902" t="str">
        <f>IF(IGRF!C23="","",IGRF!C23)</f>
        <v>Elyse LeKraken</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8000</v>
      </c>
      <c r="C23" s="672" t="str">
        <f>IF(IGRF!C24="","",IGRF!C24)</f>
        <v>Killifornia</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90</v>
      </c>
      <c r="C25" s="902" t="str">
        <f>IF(IGRF!C25="","",IGRF!C25)</f>
        <v>Wee Bonnie Bruiser</v>
      </c>
      <c r="D25" s="883" t="s">
        <v>419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919</v>
      </c>
      <c r="C27" s="672" t="str">
        <f>IF(IGRF!C26="","",IGRF!C26)</f>
        <v>Grizz</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2</v>
      </c>
      <c r="O27" s="5">
        <f>IF($B27="","",COUNTIF(Penalties!$B28:$J28,O$2))</f>
        <v>1</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949</v>
      </c>
      <c r="C29" s="902" t="str">
        <f>IF(IGRF!C27="","",IGRF!C27)</f>
        <v>Coyote</v>
      </c>
      <c r="D29" s="883" t="s">
        <v>419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v>
      </c>
      <c r="C31" s="672" t="str">
        <f>IF(IGRF!C28="","",IGRF!C28)</f>
        <v>Chinaski</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417</v>
      </c>
      <c r="B47" s="206"/>
      <c r="C47" s="914" t="s">
        <v>422</v>
      </c>
      <c r="D47" s="915" t="s">
        <v>419</v>
      </c>
      <c r="E47" s="915">
        <f t="shared" ref="E47:AG47" si="1">SUM(E3,E5,E7,E9,E11,E13,E15,E17,E19,E21,E23,E25,E27,E29,E31,E33,E35,E37,E39,E41)</f>
        <v>0</v>
      </c>
      <c r="F47" s="915">
        <f t="shared" si="1"/>
        <v>0</v>
      </c>
      <c r="G47" s="915">
        <f t="shared" si="1"/>
        <v>1</v>
      </c>
      <c r="H47" s="915">
        <f t="shared" si="1"/>
        <v>0</v>
      </c>
      <c r="I47" s="915">
        <f t="shared" si="1"/>
        <v>0</v>
      </c>
      <c r="J47" s="915">
        <f t="shared" si="1"/>
        <v>4</v>
      </c>
      <c r="K47" s="915">
        <f t="shared" si="1"/>
        <v>0</v>
      </c>
      <c r="L47" s="915">
        <f t="shared" si="1"/>
        <v>0</v>
      </c>
      <c r="M47" s="915">
        <f t="shared" si="1"/>
        <v>0</v>
      </c>
      <c r="N47" s="915">
        <f t="shared" si="1"/>
        <v>5</v>
      </c>
      <c r="O47" s="915">
        <f t="shared" si="1"/>
        <v>2</v>
      </c>
      <c r="P47" s="915">
        <f t="shared" si="1"/>
        <v>0</v>
      </c>
      <c r="Q47" s="915">
        <f t="shared" si="1"/>
        <v>0</v>
      </c>
      <c r="R47" s="915">
        <f t="shared" si="1"/>
        <v>0</v>
      </c>
      <c r="S47" s="915">
        <f t="shared" si="1"/>
        <v>0</v>
      </c>
      <c r="T47" s="915">
        <f t="shared" si="1"/>
        <v>0</v>
      </c>
      <c r="U47" s="876">
        <f t="shared" si="1"/>
        <v>12</v>
      </c>
      <c r="V47" s="916">
        <f t="shared" si="1"/>
        <v>6</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420</v>
      </c>
      <c r="E48" s="915">
        <f t="shared" ref="E48:AG48" si="3">SUM(E4,E6,E8,E10,E12,E14,E16,E18,E20,E22,E24,E26,E28,E30,E32,E34,E36,E38,E40,E42)</f>
        <v>0</v>
      </c>
      <c r="F48" s="915">
        <f t="shared" si="3"/>
        <v>0</v>
      </c>
      <c r="G48" s="915">
        <f t="shared" si="3"/>
        <v>0</v>
      </c>
      <c r="H48" s="915">
        <f t="shared" si="3"/>
        <v>1</v>
      </c>
      <c r="I48" s="915">
        <f t="shared" si="3"/>
        <v>0</v>
      </c>
      <c r="J48" s="915">
        <f t="shared" si="3"/>
        <v>2</v>
      </c>
      <c r="K48" s="915">
        <f t="shared" si="3"/>
        <v>1</v>
      </c>
      <c r="L48" s="915">
        <f t="shared" si="3"/>
        <v>1</v>
      </c>
      <c r="M48" s="915">
        <f t="shared" si="3"/>
        <v>0</v>
      </c>
      <c r="N48" s="915">
        <f t="shared" si="3"/>
        <v>2</v>
      </c>
      <c r="O48" s="915">
        <f t="shared" si="3"/>
        <v>0</v>
      </c>
      <c r="P48" s="915">
        <f t="shared" si="3"/>
        <v>1</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376</v>
      </c>
      <c r="E49" s="876">
        <f t="shared" ref="E49:AI49" si="5">SUM(E47,E48)</f>
        <v>0</v>
      </c>
      <c r="F49" s="876">
        <f t="shared" si="5"/>
        <v>0</v>
      </c>
      <c r="G49" s="876">
        <f t="shared" si="5"/>
        <v>1</v>
      </c>
      <c r="H49" s="876">
        <f t="shared" si="5"/>
        <v>1</v>
      </c>
      <c r="I49" s="876">
        <f t="shared" si="5"/>
        <v>0</v>
      </c>
      <c r="J49" s="876">
        <f t="shared" si="5"/>
        <v>6</v>
      </c>
      <c r="K49" s="876">
        <f t="shared" si="5"/>
        <v>1</v>
      </c>
      <c r="L49" s="876">
        <f t="shared" si="5"/>
        <v>1</v>
      </c>
      <c r="M49" s="876">
        <f t="shared" si="5"/>
        <v>0</v>
      </c>
      <c r="N49" s="876">
        <f t="shared" si="5"/>
        <v>7</v>
      </c>
      <c r="O49" s="876">
        <f t="shared" si="5"/>
        <v>2</v>
      </c>
      <c r="P49" s="876">
        <f t="shared" si="5"/>
        <v>1</v>
      </c>
      <c r="Q49" s="876">
        <f t="shared" si="5"/>
        <v>0</v>
      </c>
      <c r="R49" s="876">
        <f t="shared" si="5"/>
        <v>0</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324</v>
      </c>
      <c r="F54" s="890"/>
      <c r="G54" s="890"/>
      <c r="H54" s="890"/>
      <c r="I54" s="890"/>
      <c r="J54" s="824"/>
      <c r="K54" s="824"/>
      <c r="L54" s="824"/>
      <c r="M54" s="824"/>
      <c r="N54" s="824"/>
      <c r="O54" s="824"/>
      <c r="P54" s="824"/>
      <c r="Q54" s="824"/>
      <c r="R54" s="824"/>
      <c r="S54" s="824"/>
      <c r="T54" s="824"/>
      <c r="U54" s="824"/>
      <c r="V54" s="891" t="s">
        <v>415</v>
      </c>
      <c r="W54" s="892"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423</v>
      </c>
      <c r="B55" s="875" t="s">
        <v>402</v>
      </c>
      <c r="C55" s="875" t="s">
        <v>403</v>
      </c>
      <c r="D55" s="875"/>
      <c r="E55" s="875" t="s">
        <v>211</v>
      </c>
      <c r="F55" s="875" t="s">
        <v>219</v>
      </c>
      <c r="G55" s="875" t="s">
        <v>221</v>
      </c>
      <c r="H55" s="875" t="s">
        <v>225</v>
      </c>
      <c r="I55" s="875" t="s">
        <v>228</v>
      </c>
      <c r="J55" s="875" t="s">
        <v>214</v>
      </c>
      <c r="K55" s="875" t="s">
        <v>222</v>
      </c>
      <c r="L55" s="875" t="s">
        <v>226</v>
      </c>
      <c r="M55" s="875" t="s">
        <v>233</v>
      </c>
      <c r="N55" s="875" t="s">
        <v>215</v>
      </c>
      <c r="O55" s="875" t="s">
        <v>212</v>
      </c>
      <c r="P55" s="875" t="s">
        <v>217</v>
      </c>
      <c r="Q55" s="875" t="s">
        <v>247</v>
      </c>
      <c r="R55" s="875" t="s">
        <v>250</v>
      </c>
      <c r="S55" s="875"/>
      <c r="T55" s="875"/>
      <c r="U55" s="876" t="s">
        <v>376</v>
      </c>
      <c r="V55" s="893"/>
      <c r="W55" s="894" t="s">
        <v>418</v>
      </c>
      <c r="X55" s="894" t="s">
        <v>211</v>
      </c>
      <c r="Y55" s="894" t="s">
        <v>219</v>
      </c>
      <c r="Z55" s="894" t="s">
        <v>221</v>
      </c>
      <c r="AA55" s="894" t="s">
        <v>225</v>
      </c>
      <c r="AB55" s="894" t="s">
        <v>228</v>
      </c>
      <c r="AC55" s="894" t="s">
        <v>214</v>
      </c>
      <c r="AD55" s="894" t="s">
        <v>222</v>
      </c>
      <c r="AE55" s="894" t="s">
        <v>226</v>
      </c>
      <c r="AF55" s="894" t="s">
        <v>233</v>
      </c>
      <c r="AG55" s="894" t="s">
        <v>215</v>
      </c>
      <c r="AH55" s="894" t="s">
        <v>212</v>
      </c>
      <c r="AI55" s="894" t="s">
        <v>247</v>
      </c>
      <c r="AJ55" s="894"/>
      <c r="AK55" s="43"/>
      <c r="AL55" s="43"/>
      <c r="AM55" s="43"/>
      <c r="AN55" s="43"/>
      <c r="AO55" s="43"/>
      <c r="AP55" s="43"/>
      <c r="AQ55" s="43"/>
      <c r="AR55" s="43"/>
      <c r="AS55" s="43"/>
      <c r="AT55" s="43"/>
      <c r="AU55" s="43"/>
      <c r="AV55" s="43"/>
      <c r="AW55" s="43"/>
      <c r="AX55" s="43"/>
    </row>
    <row r="56" ht="13.5" customHeight="1">
      <c r="A56" s="420">
        <v>1.0</v>
      </c>
      <c r="B56" s="895" t="str">
        <f>IF(IGRF!I14="","",IGRF!I14)</f>
        <v>11</v>
      </c>
      <c r="C56" s="672" t="str">
        <f>IF(IGRF!J14="","",IGRF!J14)</f>
        <v>Bertha Beatdown</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128</v>
      </c>
      <c r="C58" s="902" t="str">
        <f>IF(IGRF!J15="","",IGRF!J15)</f>
        <v>Carl</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139</v>
      </c>
      <c r="C60" s="672" t="str">
        <f>IF(IGRF!J16="","",IGRF!J16)</f>
        <v>Katie Postma</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22</v>
      </c>
      <c r="C62" s="902" t="str">
        <f>IF(IGRF!J17="","",IGRF!J17)</f>
        <v>Habanero Romero</v>
      </c>
      <c r="D62" s="883" t="s">
        <v>419</v>
      </c>
      <c r="E62" s="883">
        <f>IF($B62="","",COUNTIF(Penalties!$Q10:$Y10,E$55))</f>
        <v>1</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3</v>
      </c>
      <c r="V62" s="904">
        <f>IF(B62="","",SUM(E62:T62)*0.5)</f>
        <v>1.5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241</v>
      </c>
      <c r="C64" s="672" t="str">
        <f>IF(IGRF!J18="","",IGRF!J18)</f>
        <v>Lilly Pate</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4</v>
      </c>
      <c r="V65" s="897">
        <f>IF(B64="","",SUM(E65:T65)*0.5)</f>
        <v>2</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316</v>
      </c>
      <c r="C66" s="902" t="str">
        <f>IF(IGRF!J19="","",IGRF!J19)</f>
        <v>Eve Anne Hellical</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343</v>
      </c>
      <c r="C68" s="672" t="str">
        <f>IF(IGRF!J20="","",IGRF!J20)</f>
        <v>Trinity</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360</v>
      </c>
      <c r="C70" s="902" t="str">
        <f>IF(IGRF!J21="","",IGRF!J21)</f>
        <v>Big Bang Fury</v>
      </c>
      <c r="D70" s="883" t="s">
        <v>419</v>
      </c>
      <c r="E70" s="883">
        <f>IF($B70="","",COUNTIF(Penalties!$Q18:$Y18,E$55))</f>
        <v>0</v>
      </c>
      <c r="F70" s="883">
        <f>IF($B70="","",COUNTIF(Penalties!$Q18:$Y18,F$55))</f>
        <v>1</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1</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37</v>
      </c>
      <c r="C72" s="672" t="str">
        <f>IF(IGRF!J22="","",IGRF!J22)</f>
        <v>Swagetha</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39</v>
      </c>
      <c r="C74" s="902" t="str">
        <f>IF(IGRF!J23="","",IGRF!J23)</f>
        <v>Gaffney</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1</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48</v>
      </c>
      <c r="C76" s="672" t="str">
        <f>IF(IGRF!J24="","",IGRF!J24)</f>
        <v>Brute</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1</v>
      </c>
      <c r="Q76" s="5">
        <f>IF($B76="","",COUNTIF(Penalties!$Q24:$Y24,Q$55))</f>
        <v>0</v>
      </c>
      <c r="R76" s="5">
        <f>IF($B76="","",COUNTIF(Penalties!$Q24:$Y24,R$55))</f>
        <v>0</v>
      </c>
      <c r="S76" s="5"/>
      <c r="T76" s="5"/>
      <c r="U76" s="896">
        <f>IF(B76="","",SUM(E76:T76))</f>
        <v>5</v>
      </c>
      <c r="V76" s="897">
        <f>IF(B76="","",SUM(E76:T76)*0.5)</f>
        <v>2.5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700</v>
      </c>
      <c r="C78" s="902" t="str">
        <f>IF(IGRF!J25="","",IGRF!J25)</f>
        <v>Springroll</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71</v>
      </c>
      <c r="C80" s="672" t="str">
        <f>IF(IGRF!J26="","",IGRF!J26)</f>
        <v>Danger Potato</v>
      </c>
      <c r="D80" s="5" t="s">
        <v>419</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79</v>
      </c>
      <c r="C82" s="902" t="str">
        <f>IF(IGRF!J27="","",IGRF!J27)</f>
        <v>Lil RegulateHer</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89</v>
      </c>
      <c r="C84" s="672" t="str">
        <f>IF(IGRF!J28="","",IGRF!J28)</f>
        <v>High Roller</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423</v>
      </c>
      <c r="B100" s="206"/>
      <c r="C100" s="914" t="s">
        <v>422</v>
      </c>
      <c r="D100" s="915" t="s">
        <v>419</v>
      </c>
      <c r="E100" s="915">
        <f t="shared" ref="E100:AG100" si="6">SUM(E56,E58,E60,E62,E64,E66,E68,E70,E72,E74,E76,E78,E80,E82,E84,E86,E88,E90,E92,E94)</f>
        <v>1</v>
      </c>
      <c r="F100" s="915">
        <f t="shared" si="6"/>
        <v>2</v>
      </c>
      <c r="G100" s="915">
        <f t="shared" si="6"/>
        <v>0</v>
      </c>
      <c r="H100" s="915">
        <f t="shared" si="6"/>
        <v>0</v>
      </c>
      <c r="I100" s="915">
        <f t="shared" si="6"/>
        <v>0</v>
      </c>
      <c r="J100" s="915">
        <f t="shared" si="6"/>
        <v>6</v>
      </c>
      <c r="K100" s="915">
        <f t="shared" si="6"/>
        <v>0</v>
      </c>
      <c r="L100" s="915">
        <f t="shared" si="6"/>
        <v>0</v>
      </c>
      <c r="M100" s="915">
        <f t="shared" si="6"/>
        <v>0</v>
      </c>
      <c r="N100" s="915">
        <f t="shared" si="6"/>
        <v>3</v>
      </c>
      <c r="O100" s="915">
        <f t="shared" si="6"/>
        <v>3</v>
      </c>
      <c r="P100" s="915">
        <f t="shared" si="6"/>
        <v>3</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420</v>
      </c>
      <c r="E101" s="915">
        <f t="shared" ref="E101:AG101" si="8">SUM(E57,E59,E61,E63,E65,E67,E69,E71,E73,E75,E77,E79,E81,E83,E85,E87,E89,E91,E93,E95)</f>
        <v>0</v>
      </c>
      <c r="F101" s="915">
        <f t="shared" si="8"/>
        <v>2</v>
      </c>
      <c r="G101" s="915">
        <f t="shared" si="8"/>
        <v>0</v>
      </c>
      <c r="H101" s="915">
        <f t="shared" si="8"/>
        <v>0</v>
      </c>
      <c r="I101" s="915">
        <f t="shared" si="8"/>
        <v>0</v>
      </c>
      <c r="J101" s="915">
        <f t="shared" si="8"/>
        <v>3</v>
      </c>
      <c r="K101" s="915">
        <f t="shared" si="8"/>
        <v>0</v>
      </c>
      <c r="L101" s="915">
        <f t="shared" si="8"/>
        <v>1</v>
      </c>
      <c r="M101" s="915">
        <f t="shared" si="8"/>
        <v>0</v>
      </c>
      <c r="N101" s="915">
        <f t="shared" si="8"/>
        <v>0</v>
      </c>
      <c r="O101" s="915">
        <f t="shared" si="8"/>
        <v>4</v>
      </c>
      <c r="P101" s="915">
        <f t="shared" si="8"/>
        <v>1</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376</v>
      </c>
      <c r="E102" s="876">
        <f t="shared" ref="E102:AI102" si="10">SUM(E100,E101)</f>
        <v>1</v>
      </c>
      <c r="F102" s="876">
        <f t="shared" si="10"/>
        <v>4</v>
      </c>
      <c r="G102" s="876">
        <f t="shared" si="10"/>
        <v>0</v>
      </c>
      <c r="H102" s="876">
        <f t="shared" si="10"/>
        <v>0</v>
      </c>
      <c r="I102" s="876">
        <f t="shared" si="10"/>
        <v>0</v>
      </c>
      <c r="J102" s="876">
        <f t="shared" si="10"/>
        <v>9</v>
      </c>
      <c r="K102" s="876">
        <f t="shared" si="10"/>
        <v>0</v>
      </c>
      <c r="L102" s="876">
        <f t="shared" si="10"/>
        <v>1</v>
      </c>
      <c r="M102" s="876">
        <f t="shared" si="10"/>
        <v>0</v>
      </c>
      <c r="N102" s="876">
        <f t="shared" si="10"/>
        <v>3</v>
      </c>
      <c r="O102" s="876">
        <f t="shared" si="10"/>
        <v>7</v>
      </c>
      <c r="P102" s="876">
        <f t="shared" si="10"/>
        <v>4</v>
      </c>
      <c r="Q102" s="876">
        <f t="shared" si="10"/>
        <v>0</v>
      </c>
      <c r="R102" s="876">
        <f t="shared" si="10"/>
        <v>0</v>
      </c>
      <c r="S102" s="876">
        <f t="shared" si="10"/>
        <v>0</v>
      </c>
      <c r="T102" s="876">
        <f t="shared" si="10"/>
        <v>0</v>
      </c>
      <c r="U102" s="920">
        <f t="shared" si="10"/>
        <v>29</v>
      </c>
      <c r="V102" s="921">
        <f t="shared" si="10"/>
        <v>14.5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419</v>
      </c>
      <c r="B1" s="922" t="s">
        <v>417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344</v>
      </c>
      <c r="B2" s="924" t="s">
        <v>424</v>
      </c>
      <c r="C2" s="924" t="s">
        <v>259</v>
      </c>
      <c r="D2" s="924" t="s">
        <v>425</v>
      </c>
      <c r="E2" s="924" t="s">
        <v>426</v>
      </c>
      <c r="F2" s="924" t="s">
        <v>427</v>
      </c>
      <c r="G2" s="927" t="s">
        <v>428</v>
      </c>
      <c r="H2" s="927" t="s">
        <v>409</v>
      </c>
      <c r="I2" s="926" t="s">
        <v>429</v>
      </c>
      <c r="J2" s="927" t="s">
        <v>430</v>
      </c>
      <c r="K2" s="927" t="s">
        <v>431</v>
      </c>
      <c r="L2" s="927" t="s">
        <v>188</v>
      </c>
      <c r="M2" s="924" t="s">
        <v>200</v>
      </c>
      <c r="N2" s="924" t="s">
        <v>432</v>
      </c>
      <c r="O2" s="924" t="s">
        <v>433</v>
      </c>
      <c r="P2" s="420"/>
      <c r="Q2" s="924" t="s">
        <v>344</v>
      </c>
      <c r="R2" s="924" t="s">
        <v>424</v>
      </c>
      <c r="S2" s="924" t="s">
        <v>259</v>
      </c>
      <c r="T2" s="924" t="s">
        <v>425</v>
      </c>
      <c r="U2" s="924" t="s">
        <v>426</v>
      </c>
      <c r="V2" s="924" t="s">
        <v>427</v>
      </c>
      <c r="W2" s="927" t="s">
        <v>428</v>
      </c>
      <c r="X2" s="927" t="s">
        <v>409</v>
      </c>
      <c r="Y2" s="926" t="s">
        <v>429</v>
      </c>
      <c r="Z2" s="927" t="s">
        <v>430</v>
      </c>
      <c r="AA2" s="927" t="s">
        <v>431</v>
      </c>
      <c r="AB2" s="927" t="s">
        <v>188</v>
      </c>
      <c r="AC2" s="924" t="s">
        <v>200</v>
      </c>
      <c r="AD2" s="924" t="s">
        <v>432</v>
      </c>
      <c r="AE2" s="924" t="s">
        <v>433</v>
      </c>
    </row>
    <row r="3" ht="13.5" customHeight="1">
      <c r="A3" s="672">
        <v>1.0</v>
      </c>
      <c r="B3" s="420">
        <f>IF(ISNA(MATCH($A3,Score!A$4:A$41,0)),"",MATCH($A3,Score!A$4:A$41,0)+ROW(Score!A$3))</f>
        <v>4</v>
      </c>
      <c r="C3" s="895" t="str">
        <f t="shared" ref="C3:D3" si="1">IF($B3="","",INDIRECT(ADDRESS($B3,C$1,1,,"Score")))</f>
        <v>1706</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316</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33</v>
      </c>
      <c r="D5" s="931">
        <f t="shared" si="13"/>
        <v>2</v>
      </c>
      <c r="E5" s="930">
        <f>IF(B5="","",SUM(D5,D6))</f>
        <v>2</v>
      </c>
      <c r="F5" s="930">
        <f>IF(B5="","",E5-U5)</f>
        <v>2</v>
      </c>
      <c r="G5" s="933" t="str">
        <f t="shared" ref="G5:H5" si="14">IF($B5="","",IF(ISBLANK(INDIRECT(ADDRESS($B5,G$1,1,,"Score"))),"",1))</f>
        <v/>
      </c>
      <c r="H5" s="933">
        <f t="shared" si="14"/>
        <v>1</v>
      </c>
      <c r="I5" s="934">
        <f>IF(H5=1,F5,"")</f>
        <v>2</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79</v>
      </c>
      <c r="T5" s="931">
        <f t="shared" si="16"/>
        <v>0</v>
      </c>
      <c r="U5" s="930">
        <f>IF(R5="","",SUM(T5,T6))</f>
        <v>0</v>
      </c>
      <c r="V5" s="930">
        <f>IF(R5="","",U5-E5)</f>
        <v>-2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50</v>
      </c>
      <c r="D7" s="420">
        <f t="shared" si="23"/>
        <v>1</v>
      </c>
      <c r="E7" s="672">
        <f>IF(B7="","",SUM(D7,D8))</f>
        <v>1</v>
      </c>
      <c r="F7" s="672">
        <f>IF(B7="","",E7-U7)</f>
        <v>1</v>
      </c>
      <c r="G7" s="928" t="str">
        <f t="shared" ref="G7:H7" si="24">IF($B7="","",IF(ISBLANK(INDIRECT(ADDRESS($B7,G$1,1,,"Score"))),"",1))</f>
        <v/>
      </c>
      <c r="H7" s="928">
        <f t="shared" si="24"/>
        <v>1</v>
      </c>
      <c r="I7" s="929">
        <f>IF(H7=1,F7,"")</f>
        <v>1</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700</v>
      </c>
      <c r="T7" s="420">
        <f t="shared" si="26"/>
        <v>0</v>
      </c>
      <c r="U7" s="672">
        <f>IF(R7="","",SUM(T7,T8))</f>
        <v>0</v>
      </c>
      <c r="V7" s="672">
        <f>IF(R7="","",U7-E7)</f>
        <v>-1</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1706</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343</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33</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316</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50</v>
      </c>
      <c r="D13" s="931">
        <f t="shared" si="53"/>
        <v>0</v>
      </c>
      <c r="E13" s="930">
        <f>IF(B13="","",SUM(D13,D14))</f>
        <v>0</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79</v>
      </c>
      <c r="T13" s="931">
        <f t="shared" si="56"/>
        <v>3</v>
      </c>
      <c r="U13" s="930">
        <f>IF(R13="","",SUM(T13,T14))</f>
        <v>3</v>
      </c>
      <c r="V13" s="930">
        <f>IF(R13="","",U13-E13)</f>
        <v>3</v>
      </c>
      <c r="W13" s="933" t="str">
        <f t="shared" ref="W13:X13" si="57">IF($R13="","",IF(ISBLANK(INDIRECT(ADDRESS($R13,W$1,1,,"Score"))),"",1))</f>
        <v/>
      </c>
      <c r="X13" s="933">
        <f t="shared" si="57"/>
        <v>1</v>
      </c>
      <c r="Y13" s="934">
        <f>IF(X13=1,V13,"")</f>
        <v>3</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50</v>
      </c>
      <c r="D15" s="420">
        <f t="shared" si="63"/>
        <v>0</v>
      </c>
      <c r="E15" s="672">
        <f>IF(B15="","",SUM(D15,D16))</f>
        <v>0</v>
      </c>
      <c r="F15" s="672">
        <f>IF(B15="","",E15-U15)</f>
        <v>-2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700</v>
      </c>
      <c r="T15" s="420">
        <f t="shared" si="66"/>
        <v>2</v>
      </c>
      <c r="U15" s="672">
        <f>IF(R15="","",SUM(T15,T16))</f>
        <v>2</v>
      </c>
      <c r="V15" s="672">
        <f>IF(R15="","",U15-E15)</f>
        <v>2</v>
      </c>
      <c r="W15" s="928" t="str">
        <f t="shared" ref="W15:X15" si="67">IF($R15="","",IF(ISBLANK(INDIRECT(ADDRESS($R15,W$1,1,,"Score"))),"",1))</f>
        <v/>
      </c>
      <c r="X15" s="928">
        <f t="shared" si="67"/>
        <v>1</v>
      </c>
      <c r="Y15" s="929">
        <f>IF(X15=1,V15,"")</f>
        <v>2</v>
      </c>
      <c r="Z15" s="928">
        <f t="shared" ref="Z15:AB15" si="68">IF($R15="","",IF(ISBLANK(INDIRECT(ADDRESS($R15,Z$1,1,,"Score"))),"",1))</f>
        <v>1</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11</v>
      </c>
      <c r="C17" s="932" t="str">
        <f t="shared" ref="C17:D17" si="73">IF($B17="","",INDIRECT(ADDRESS($B17,C$1,1,,"Score")))</f>
        <v>1706</v>
      </c>
      <c r="D17" s="931">
        <f t="shared" si="73"/>
        <v>10</v>
      </c>
      <c r="E17" s="930">
        <f>IF(B17="","",SUM(D17,D18))</f>
        <v>10</v>
      </c>
      <c r="F17" s="930">
        <f>IF(B17="","",E17-U17)</f>
        <v>10</v>
      </c>
      <c r="G17" s="933" t="str">
        <f t="shared" ref="G17:H17" si="74">IF($B17="","",IF(ISBLANK(INDIRECT(ADDRESS($B17,G$1,1,,"Score"))),"",1))</f>
        <v/>
      </c>
      <c r="H17" s="933">
        <f t="shared" si="74"/>
        <v>1</v>
      </c>
      <c r="I17" s="934">
        <f>IF(H17=1,F17,"")</f>
        <v>10</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343</v>
      </c>
      <c r="T17" s="931">
        <f t="shared" si="76"/>
        <v>0</v>
      </c>
      <c r="U17" s="930">
        <f>IF(R17="","",SUM(T17,T18))</f>
        <v>0</v>
      </c>
      <c r="V17" s="930">
        <f>IF(R17="","",U17-E17)</f>
        <v>-10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12</v>
      </c>
      <c r="C19" s="895" t="str">
        <f t="shared" ref="C19:D19" si="83">IF($B19="","",INDIRECT(ADDRESS($B19,C$1,1,,"Score")))</f>
        <v>33</v>
      </c>
      <c r="D19" s="420">
        <f t="shared" si="83"/>
        <v>4</v>
      </c>
      <c r="E19" s="672">
        <f>IF(B19="","",SUM(D19,D20))</f>
        <v>4</v>
      </c>
      <c r="F19" s="672">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316</v>
      </c>
      <c r="T19" s="420">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13</v>
      </c>
      <c r="C21" s="932" t="str">
        <f t="shared" ref="C21:D21" si="93">IF($B21="","",INDIRECT(ADDRESS($B21,C$1,1,,"Score")))</f>
        <v>50</v>
      </c>
      <c r="D21" s="931">
        <f t="shared" si="93"/>
        <v>8</v>
      </c>
      <c r="E21" s="930">
        <f>IF(B21="","",SUM(D21,D22))</f>
        <v>8</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79</v>
      </c>
      <c r="T21" s="931">
        <f t="shared" si="96"/>
        <v>0</v>
      </c>
      <c r="U21" s="930">
        <f>IF(R21="","",SUM(T21,T22))</f>
        <v>0</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14</v>
      </c>
      <c r="C23" s="895" t="str">
        <f t="shared" ref="C23:D23" si="103">IF($B23="","",INDIRECT(ADDRESS($B23,C$1,1,,"Score")))</f>
        <v>1706</v>
      </c>
      <c r="D23" s="420">
        <f t="shared" si="103"/>
        <v>8</v>
      </c>
      <c r="E23" s="672">
        <f>IF(B23="","",SUM(D23,D24))</f>
        <v>8</v>
      </c>
      <c r="F23" s="672">
        <f>IF(B23="","",E23-U23)</f>
        <v>8</v>
      </c>
      <c r="G23" s="928" t="str">
        <f t="shared" ref="G23:H23" si="104">IF($B23="","",IF(ISBLANK(INDIRECT(ADDRESS($B23,G$1,1,,"Score"))),"",1))</f>
        <v/>
      </c>
      <c r="H23" s="928">
        <f t="shared" si="104"/>
        <v>1</v>
      </c>
      <c r="I23" s="929">
        <f>IF(H23=1,F23,"")</f>
        <v>8</v>
      </c>
      <c r="J23" s="928" t="str">
        <f t="shared" ref="J23:L23" si="105">IF($B23="","",IF(ISBLANK(INDIRECT(ADDRESS($B23,J$1,1,,"Score"))),"",1))</f>
        <v/>
      </c>
      <c r="K23" s="928" t="str">
        <f t="shared" si="105"/>
        <v/>
      </c>
      <c r="L23" s="928"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700</v>
      </c>
      <c r="T23" s="420">
        <f t="shared" si="106"/>
        <v>0</v>
      </c>
      <c r="U23" s="672">
        <f>IF(R23="","",SUM(T23,T24))</f>
        <v>0</v>
      </c>
      <c r="V23" s="672">
        <f>IF(R23="","",U23-E23)</f>
        <v>-8</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15</v>
      </c>
      <c r="C25" s="932" t="str">
        <f t="shared" ref="C25:D25" si="113">IF($B25="","",INDIRECT(ADDRESS($B25,C$1,1,,"Score")))</f>
        <v>33</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343</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16</v>
      </c>
      <c r="C27" s="895" t="str">
        <f t="shared" ref="C27:D27" si="123">IF($B27="","",INDIRECT(ADDRESS($B27,C$1,1,,"Score")))</f>
        <v>50</v>
      </c>
      <c r="D27" s="420">
        <f t="shared" si="123"/>
        <v>4</v>
      </c>
      <c r="E27" s="672">
        <f>IF(B27="","",SUM(D27,D28))</f>
        <v>4</v>
      </c>
      <c r="F27" s="672">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316</v>
      </c>
      <c r="T27" s="420">
        <f t="shared" si="126"/>
        <v>0</v>
      </c>
      <c r="U27" s="672">
        <f>IF(R27="","",SUM(T27,T28))</f>
        <v>0</v>
      </c>
      <c r="V27" s="672">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17</v>
      </c>
      <c r="C29" s="932" t="str">
        <f t="shared" ref="C29:D29" si="133">IF($B29="","",INDIRECT(ADDRESS($B29,C$1,1,,"Score")))</f>
        <v>1706</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79</v>
      </c>
      <c r="T29" s="931">
        <f t="shared" si="136"/>
        <v>0</v>
      </c>
      <c r="U29" s="930">
        <f>IF(R29="","",SUM(T29,T30))</f>
        <v>0</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18</v>
      </c>
      <c r="C31" s="895" t="str">
        <f t="shared" ref="C31:D31" si="143">IF($B31="","",INDIRECT(ADDRESS($B31,C$1,1,,"Score")))</f>
        <v>33</v>
      </c>
      <c r="D31" s="420">
        <f t="shared" si="143"/>
        <v>2</v>
      </c>
      <c r="E31" s="672">
        <f>IF(B31="","",SUM(D31,D32))</f>
        <v>2</v>
      </c>
      <c r="F31" s="672">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700</v>
      </c>
      <c r="T31" s="420">
        <f t="shared" si="146"/>
        <v>0</v>
      </c>
      <c r="U31" s="672">
        <f>IF(R31="","",SUM(T31,T32))</f>
        <v>0</v>
      </c>
      <c r="V31" s="672">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19</v>
      </c>
      <c r="C33" s="932" t="str">
        <f t="shared" ref="C33:D33" si="153">IF($B33="","",INDIRECT(ADDRESS($B33,C$1,1,,"Score")))</f>
        <v>50</v>
      </c>
      <c r="D33" s="931">
        <f t="shared" si="153"/>
        <v>6</v>
      </c>
      <c r="E33" s="930">
        <f>IF(B33="","",SUM(D33,D34))</f>
        <v>6</v>
      </c>
      <c r="F33" s="930">
        <f>IF(B33="","",E33-U33)</f>
        <v>6</v>
      </c>
      <c r="G33" s="933" t="str">
        <f t="shared" ref="G33:H33" si="154">IF($B33="","",IF(ISBLANK(INDIRECT(ADDRESS($B33,G$1,1,,"Score"))),"",1))</f>
        <v/>
      </c>
      <c r="H33" s="933">
        <f t="shared" si="154"/>
        <v>1</v>
      </c>
      <c r="I33" s="934">
        <f>IF(H33=1,F33,"")</f>
        <v>6</v>
      </c>
      <c r="J33" s="933" t="str">
        <f t="shared" ref="J33:L33" si="155">IF($B33="","",IF(ISBLANK(INDIRECT(ADDRESS($B33,J$1,1,,"Score"))),"",1))</f>
        <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343</v>
      </c>
      <c r="T33" s="931">
        <f t="shared" si="156"/>
        <v>0</v>
      </c>
      <c r="U33" s="930">
        <f>IF(R33="","",SUM(T33,T34))</f>
        <v>0</v>
      </c>
      <c r="V33" s="930">
        <f>IF(R33="","",U33-E33)</f>
        <v>-6</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f>IF($B33="","",IF(INDIRECT(ADDRESS($B33+1,C$1-1,1,,"Score"))="SP",$B33+1,""))</f>
        <v>20</v>
      </c>
      <c r="C34" s="932" t="str">
        <f t="shared" ref="C34:D34" si="159">IF($B34="","",INDIRECT(ADDRESS($B34,C$1,1,,"Score")))</f>
        <v>50</v>
      </c>
      <c r="D34" s="931">
        <f t="shared" si="159"/>
        <v>0</v>
      </c>
      <c r="E34" s="930"/>
      <c r="F34" s="930"/>
      <c r="G34" s="933"/>
      <c r="H34" s="935"/>
      <c r="I34" s="934"/>
      <c r="J34" s="933" t="str">
        <f t="shared" ref="J34:L34" si="160">IF($B34="","",IF(ISBLANK(INDIRECT(ADDRESS($B34,J$1,1,,"Score"))),"",1))</f>
        <v/>
      </c>
      <c r="K34" s="933" t="str">
        <f t="shared" si="160"/>
        <v/>
      </c>
      <c r="L34" s="933" t="str">
        <f t="shared" si="160"/>
        <v/>
      </c>
      <c r="M34" s="931">
        <f t="shared" si="9"/>
        <v>0</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21</v>
      </c>
      <c r="C35" s="895" t="str">
        <f t="shared" ref="C35:D35" si="163">IF($B35="","",INDIRECT(ADDRESS($B35,C$1,1,,"Score")))</f>
        <v>1706</v>
      </c>
      <c r="D35" s="420">
        <f t="shared" si="163"/>
        <v>12</v>
      </c>
      <c r="E35" s="672">
        <f>IF(B35="","",SUM(D35,D36))</f>
        <v>12</v>
      </c>
      <c r="F35" s="672">
        <f>IF(B35="","",E35-U35)</f>
        <v>12</v>
      </c>
      <c r="G35" s="928" t="str">
        <f t="shared" ref="G35:H35" si="164">IF($B35="","",IF(ISBLANK(INDIRECT(ADDRESS($B35,G$1,1,,"Score"))),"",1))</f>
        <v/>
      </c>
      <c r="H35" s="928">
        <f t="shared" si="164"/>
        <v>1</v>
      </c>
      <c r="I35" s="929">
        <f>IF(H35=1,F35,"")</f>
        <v>12</v>
      </c>
      <c r="J35" s="928">
        <f t="shared" ref="J35:L35" si="165">IF($B35="","",IF(ISBLANK(INDIRECT(ADDRESS($B35,J$1,1,,"Score"))),"",1))</f>
        <v>1</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21</v>
      </c>
      <c r="S35" s="895" t="str">
        <f t="shared" ref="S35:T35" si="166">IF($R35="","",INDIRECT(ADDRESS($R35,S$1,1,,"Score")))</f>
        <v>48</v>
      </c>
      <c r="T35" s="420">
        <f t="shared" si="166"/>
        <v>0</v>
      </c>
      <c r="U35" s="672">
        <f>IF(R35="","",SUM(T35,T36))</f>
        <v>0</v>
      </c>
      <c r="V35" s="672">
        <f>IF(R35="","",U35-E35)</f>
        <v>-12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22</v>
      </c>
      <c r="C37" s="932" t="str">
        <f t="shared" ref="C37:D37" si="173">IF($B37="","",INDIRECT(ADDRESS($B37,C$1,1,,"Score")))</f>
        <v>33</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316</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23</v>
      </c>
      <c r="C39" s="895" t="str">
        <f t="shared" ref="C39:D39" si="183">IF($B39="","",INDIRECT(ADDRESS($B39,C$1,1,,"Score")))</f>
        <v>50</v>
      </c>
      <c r="D39" s="420">
        <f t="shared" si="183"/>
        <v>20</v>
      </c>
      <c r="E39" s="672">
        <f>IF(B39="","",SUM(D39,D40))</f>
        <v>20</v>
      </c>
      <c r="F39" s="672">
        <f>IF(B39="","",E39-U39)</f>
        <v>20</v>
      </c>
      <c r="G39" s="928" t="str">
        <f t="shared" ref="G39:H39" si="184">IF($B39="","",IF(ISBLANK(INDIRECT(ADDRESS($B39,G$1,1,,"Score"))),"",1))</f>
        <v/>
      </c>
      <c r="H39" s="928">
        <f t="shared" si="184"/>
        <v>1</v>
      </c>
      <c r="I39" s="929">
        <f>IF(H39=1,F39,"")</f>
        <v>20</v>
      </c>
      <c r="J39" s="928">
        <f t="shared" ref="J39:L39" si="185">IF($B39="","",IF(ISBLANK(INDIRECT(ADDRESS($B39,J$1,1,,"Score"))),"",1))</f>
        <v>1</v>
      </c>
      <c r="K39" s="928" t="str">
        <f t="shared" si="185"/>
        <v/>
      </c>
      <c r="L39" s="928" t="str">
        <f t="shared" si="185"/>
        <v/>
      </c>
      <c r="M39" s="420">
        <f t="shared" si="9"/>
        <v>5</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71</v>
      </c>
      <c r="T39" s="420">
        <f t="shared" si="186"/>
        <v>0</v>
      </c>
      <c r="U39" s="672">
        <f>IF(R39="","",SUM(T39,T40))</f>
        <v>0</v>
      </c>
      <c r="V39" s="672">
        <f>IF(R39="","",U39-E39)</f>
        <v>-20</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24</v>
      </c>
      <c r="C41" s="932" t="str">
        <f t="shared" ref="C41:D41" si="193">IF($B41="","",INDIRECT(ADDRESS($B41,C$1,1,,"Score")))</f>
        <v>1706</v>
      </c>
      <c r="D41" s="931">
        <f t="shared" si="193"/>
        <v>11</v>
      </c>
      <c r="E41" s="930">
        <f>IF(B41="","",SUM(D41,D42))</f>
        <v>11</v>
      </c>
      <c r="F41" s="930">
        <f>IF(B41="","",E41-U41)</f>
        <v>11</v>
      </c>
      <c r="G41" s="933">
        <f t="shared" ref="G41:H41" si="194">IF($B41="","",IF(ISBLANK(INDIRECT(ADDRESS($B41,G$1,1,,"Score"))),"",1))</f>
        <v>1</v>
      </c>
      <c r="H41" s="933" t="str">
        <f t="shared" si="194"/>
        <v/>
      </c>
      <c r="I41" s="934" t="str">
        <f>IF(H41=1,F41,"")</f>
        <v/>
      </c>
      <c r="J41" s="933" t="str">
        <f t="shared" ref="J41:L41" si="195">IF($B41="","",IF(ISBLANK(INDIRECT(ADDRESS($B41,J$1,1,,"Score"))),"",1))</f>
        <v/>
      </c>
      <c r="K41" s="933" t="str">
        <f t="shared" si="195"/>
        <v/>
      </c>
      <c r="L41" s="933" t="str">
        <f t="shared" si="195"/>
        <v/>
      </c>
      <c r="M41" s="931">
        <f t="shared" si="9"/>
        <v>3</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71</v>
      </c>
      <c r="T41" s="931">
        <f t="shared" si="196"/>
        <v>0</v>
      </c>
      <c r="U41" s="930">
        <f>IF(R41="","",SUM(T41,T42))</f>
        <v>0</v>
      </c>
      <c r="V41" s="930">
        <f>IF(R41="","",U41-E41)</f>
        <v>-11</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25</v>
      </c>
      <c r="C43" s="895" t="str">
        <f t="shared" ref="C43:D43" si="203">IF($B43="","",INDIRECT(ADDRESS($B43,C$1,1,,"Score")))</f>
        <v>50</v>
      </c>
      <c r="D43" s="420">
        <f t="shared" si="203"/>
        <v>2</v>
      </c>
      <c r="E43" s="672">
        <f>IF(B43="","",SUM(D43,D44))</f>
        <v>2</v>
      </c>
      <c r="F43" s="672">
        <f>IF(B43="","",E43-U43)</f>
        <v>2</v>
      </c>
      <c r="G43" s="928" t="str">
        <f t="shared" ref="G43:H43" si="204">IF($B43="","",IF(ISBLANK(INDIRECT(ADDRESS($B43,G$1,1,,"Score"))),"",1))</f>
        <v/>
      </c>
      <c r="H43" s="928">
        <f t="shared" si="204"/>
        <v>1</v>
      </c>
      <c r="I43" s="929">
        <f>IF(H43=1,F43,"")</f>
        <v>2</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25</v>
      </c>
      <c r="S43" s="895" t="str">
        <f t="shared" ref="S43:T43" si="206">IF($R43="","",INDIRECT(ADDRESS($R43,S$1,1,,"Score")))</f>
        <v>700</v>
      </c>
      <c r="T43" s="420">
        <f t="shared" si="206"/>
        <v>0</v>
      </c>
      <c r="U43" s="672">
        <f>IF(R43="","",SUM(T43,T44))</f>
        <v>0</v>
      </c>
      <c r="V43" s="672">
        <f>IF(R43="","",U43-E43)</f>
        <v>-2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26</v>
      </c>
      <c r="C45" s="932" t="str">
        <f t="shared" ref="C45:D45" si="213">IF($B45="","",INDIRECT(ADDRESS($B45,C$1,1,,"Score")))</f>
        <v>33</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343</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27</v>
      </c>
      <c r="C47" s="895" t="str">
        <f t="shared" ref="C47:D47" si="223">IF($B47="","",INDIRECT(ADDRESS($B47,C$1,1,,"Score")))</f>
        <v>40</v>
      </c>
      <c r="D47" s="420">
        <f t="shared" si="223"/>
        <v>4</v>
      </c>
      <c r="E47" s="672">
        <f>IF(B47="","",SUM(D47,D48))</f>
        <v>4</v>
      </c>
      <c r="F47" s="672">
        <f>IF(B47="","",E47-U47)</f>
        <v>4</v>
      </c>
      <c r="G47" s="928" t="str">
        <f t="shared" ref="G47:H47" si="224">IF($B47="","",IF(ISBLANK(INDIRECT(ADDRESS($B47,G$1,1,,"Score"))),"",1))</f>
        <v/>
      </c>
      <c r="H47" s="928">
        <f t="shared" si="224"/>
        <v>1</v>
      </c>
      <c r="I47" s="929">
        <f>IF(H47=1,F47,"")</f>
        <v>4</v>
      </c>
      <c r="J47" s="928">
        <f t="shared" ref="J47:L47" si="225">IF($B47="","",IF(ISBLANK(INDIRECT(ADDRESS($B47,J$1,1,,"Score"))),"",1))</f>
        <v>1</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27</v>
      </c>
      <c r="S47" s="895" t="str">
        <f t="shared" ref="S47:T47" si="226">IF($R47="","",INDIRECT(ADDRESS($R47,S$1,1,,"Score")))</f>
        <v>316</v>
      </c>
      <c r="T47" s="420">
        <f t="shared" si="226"/>
        <v>0</v>
      </c>
      <c r="U47" s="672">
        <f>IF(R47="","",SUM(T47,T48))</f>
        <v>0</v>
      </c>
      <c r="V47" s="672">
        <f>IF(R47="","",U47-E47)</f>
        <v>-4</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f>IF(ISNA(MATCH($A49,Score!A$4:A$41,0)),"",MATCH($A49,Score!A$4:A$41,0)+ROW(Score!A$3))</f>
        <v>28</v>
      </c>
      <c r="C49" s="932" t="str">
        <f t="shared" ref="C49:D49" si="233">IF($B49="","",INDIRECT(ADDRESS($B49,C$1,1,,"Score")))</f>
        <v>1706</v>
      </c>
      <c r="D49" s="931">
        <f t="shared" si="233"/>
        <v>8</v>
      </c>
      <c r="E49" s="930">
        <f>IF(B49="","",SUM(D49,D50))</f>
        <v>8</v>
      </c>
      <c r="F49" s="930">
        <f>IF(B49="","",E49-U49)</f>
        <v>-3</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2</v>
      </c>
      <c r="N49" s="672" t="str">
        <f>IF(ISNA(MATCH($A49,'Game Clock'!A$11:A$48,0)),"",INDIRECT(ADDRESS(MATCH($A49,'Game Clock'!A$11:A$48,0)+ROW('Game Clock'!A$10),N$1,1,,"Game Clock")))</f>
        <v/>
      </c>
      <c r="O49" s="930" t="str">
        <f>IF(OR(N49="",N49=0),"",60*E49/N49)</f>
        <v/>
      </c>
      <c r="P49" s="420"/>
      <c r="Q49" s="930">
        <f>Q47+1</f>
        <v>24</v>
      </c>
      <c r="R49" s="931">
        <f>IF(ISNA(MATCH($Q49,Score!T$4:T$41,0)),"",MATCH($Q49,Score!T$4:T$41,0)++ROW(Score!T$3))</f>
        <v>28</v>
      </c>
      <c r="S49" s="932" t="str">
        <f t="shared" ref="S49:T49" si="236">IF($R49="","",INDIRECT(ADDRESS($R49,S$1,1,,"Score")))</f>
        <v>79</v>
      </c>
      <c r="T49" s="931">
        <f t="shared" si="236"/>
        <v>11</v>
      </c>
      <c r="U49" s="930">
        <f>IF(R49="","",SUM(T49,T50))</f>
        <v>11</v>
      </c>
      <c r="V49" s="930">
        <f>IF(R49="","",U49-E49)</f>
        <v>3</v>
      </c>
      <c r="W49" s="933">
        <f t="shared" ref="W49:X49" si="237">IF($R49="","",IF(ISBLANK(INDIRECT(ADDRESS($R49,W$1,1,,"Score"))),"",1))</f>
        <v>1</v>
      </c>
      <c r="X49" s="933">
        <f t="shared" si="237"/>
        <v>1</v>
      </c>
      <c r="Y49" s="934">
        <f>IF(X49=1,V49,"")</f>
        <v>3</v>
      </c>
      <c r="Z49" s="933" t="str">
        <f t="shared" ref="Z49:AB49" si="238">IF($R49="","",IF(ISBLANK(INDIRECT(ADDRESS($R49,Z$1,1,,"Score"))),"",1))</f>
        <v/>
      </c>
      <c r="AA49" s="933" t="str">
        <f t="shared" si="238"/>
        <v/>
      </c>
      <c r="AB49" s="933" t="str">
        <f t="shared" si="238"/>
        <v/>
      </c>
      <c r="AC49" s="931">
        <f t="shared" si="12"/>
        <v>3</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114</v>
      </c>
      <c r="F79" s="939"/>
      <c r="G79" s="927">
        <f t="shared" ref="G79:H79" si="383">SUM(G3:G78)</f>
        <v>1</v>
      </c>
      <c r="H79" s="927">
        <f t="shared" si="383"/>
        <v>16</v>
      </c>
      <c r="I79" s="926"/>
      <c r="J79" s="940">
        <f t="shared" ref="J79:K79" si="384">SUM(J3:J78)</f>
        <v>14</v>
      </c>
      <c r="K79" s="940">
        <f t="shared" si="384"/>
        <v>0</v>
      </c>
      <c r="L79" s="927">
        <f>SUM(L3,L5,L7,L9,L11,L13,L15,L17,L19,L21,L23,L25,L27,L29,L31,L33,L35,L37,L39,L41,L43,L45,L47,L49,L51,L53,L55,L57,L59,L61,L63,L65,L67,L69,L71,L73,L75,L77)</f>
        <v>0</v>
      </c>
      <c r="M79" s="937"/>
      <c r="N79" s="939" t="s">
        <v>435</v>
      </c>
      <c r="O79" s="938" t="str">
        <f>IF(COUNT(O3:O78),AVERAGE(O3:O78),"")</f>
        <v/>
      </c>
      <c r="P79" s="420"/>
      <c r="Q79" s="936" t="s">
        <v>434</v>
      </c>
      <c r="R79" s="937"/>
      <c r="S79" s="937"/>
      <c r="T79" s="937"/>
      <c r="U79" s="938">
        <f>SUM(U3:U78)</f>
        <v>28</v>
      </c>
      <c r="V79" s="939"/>
      <c r="W79" s="927">
        <f t="shared" ref="W79:X79" si="385">SUM(W3:W78)</f>
        <v>1</v>
      </c>
      <c r="X79" s="927">
        <f t="shared" si="385"/>
        <v>7</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5</v>
      </c>
      <c r="AC79" s="937"/>
      <c r="AD79" s="939" t="s">
        <v>435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420</v>
      </c>
      <c r="B86" s="922" t="s">
        <v>417</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3.5" customHeight="1">
      <c r="A87" s="924" t="s">
        <v>344</v>
      </c>
      <c r="B87" s="924" t="s">
        <v>424</v>
      </c>
      <c r="C87" s="924" t="s">
        <v>259</v>
      </c>
      <c r="D87" s="924" t="s">
        <v>425</v>
      </c>
      <c r="E87" s="924" t="s">
        <v>426</v>
      </c>
      <c r="F87" s="924" t="s">
        <v>427</v>
      </c>
      <c r="G87" s="927" t="s">
        <v>428</v>
      </c>
      <c r="H87" s="927" t="s">
        <v>409</v>
      </c>
      <c r="I87" s="926" t="s">
        <v>429</v>
      </c>
      <c r="J87" s="927" t="s">
        <v>430</v>
      </c>
      <c r="K87" s="927" t="s">
        <v>431</v>
      </c>
      <c r="L87" s="927" t="s">
        <v>188</v>
      </c>
      <c r="M87" s="924" t="s">
        <v>200</v>
      </c>
      <c r="N87" s="924" t="s">
        <v>432</v>
      </c>
      <c r="O87" s="924" t="s">
        <v>433</v>
      </c>
      <c r="P87" s="420"/>
      <c r="Q87" s="924" t="s">
        <v>344</v>
      </c>
      <c r="R87" s="924" t="s">
        <v>424</v>
      </c>
      <c r="S87" s="924" t="s">
        <v>259</v>
      </c>
      <c r="T87" s="924" t="s">
        <v>425</v>
      </c>
      <c r="U87" s="924" t="s">
        <v>426</v>
      </c>
      <c r="V87" s="924" t="s">
        <v>427</v>
      </c>
      <c r="W87" s="927" t="s">
        <v>428</v>
      </c>
      <c r="X87" s="927" t="s">
        <v>409</v>
      </c>
      <c r="Y87" s="926" t="s">
        <v>429</v>
      </c>
      <c r="Z87" s="927" t="s">
        <v>430</v>
      </c>
      <c r="AA87" s="927" t="s">
        <v>431</v>
      </c>
      <c r="AB87" s="927" t="s">
        <v>188</v>
      </c>
      <c r="AC87" s="924" t="s">
        <v>200</v>
      </c>
      <c r="AD87" s="924" t="s">
        <v>432</v>
      </c>
      <c r="AE87" s="924" t="s">
        <v>433</v>
      </c>
    </row>
    <row r="88" ht="13.5" customHeight="1">
      <c r="A88" s="672">
        <v>1.0</v>
      </c>
      <c r="B88" s="420">
        <f>IF(ISNA(MATCH($A88,Score!A$46:A$83,0)),"",MATCH($A88,Score!A$46:A$83,0)+ROW(Score!A$45))</f>
        <v>46</v>
      </c>
      <c r="C88" s="895" t="str">
        <f t="shared" ref="C88:D88" si="388">IF($B88="","",INDIRECT(ADDRESS($B88,C$1,1,,"Score")))</f>
        <v>50</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79</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1706</v>
      </c>
      <c r="D90" s="931">
        <f t="shared" si="400"/>
        <v>4</v>
      </c>
      <c r="E90" s="930">
        <f>IF(B90="","",SUM(D90,D91))</f>
        <v>4</v>
      </c>
      <c r="F90" s="930">
        <f>IF(B90="","",E90-U90)</f>
        <v>-7</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700</v>
      </c>
      <c r="T90" s="931">
        <f t="shared" si="403"/>
        <v>11</v>
      </c>
      <c r="U90" s="930">
        <f>IF(R90="","",SUM(T90,T91))</f>
        <v>11</v>
      </c>
      <c r="V90" s="930">
        <f>IF(R90="","",U90-E90)</f>
        <v>7</v>
      </c>
      <c r="W90" s="933" t="str">
        <f t="shared" ref="W90:X90" si="404">IF($R90="","",IF(ISBLANK(INDIRECT(ADDRESS($R90,W$1,1,,"Score"))),"",1))</f>
        <v/>
      </c>
      <c r="X90" s="933">
        <f t="shared" si="404"/>
        <v>1</v>
      </c>
      <c r="Y90" s="934">
        <f>IF(X90=1,V90,"")</f>
        <v>7</v>
      </c>
      <c r="Z90" s="933" t="str">
        <f t="shared" ref="Z90:AB90" si="405">IF($R90="","",IF(ISBLANK(INDIRECT(ADDRESS($R90,Z$1,1,,"Score"))),"",1))</f>
        <v/>
      </c>
      <c r="AA90" s="933" t="str">
        <f t="shared" si="405"/>
        <v/>
      </c>
      <c r="AB90" s="933" t="str">
        <f t="shared" si="405"/>
        <v/>
      </c>
      <c r="AC90" s="931">
        <f t="shared" si="399"/>
        <v>3</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33</v>
      </c>
      <c r="D92" s="420">
        <f t="shared" si="410"/>
        <v>12</v>
      </c>
      <c r="E92" s="672">
        <f>IF(B92="","",SUM(D92,D93))</f>
        <v>12</v>
      </c>
      <c r="F92" s="672">
        <f>IF(B92="","",E92-U92)</f>
        <v>12</v>
      </c>
      <c r="G92" s="928" t="str">
        <f t="shared" ref="G92:H92" si="411">IF($B92="","",IF(ISBLANK(INDIRECT(ADDRESS($B92,G$1,1,,"Score"))),"",1))</f>
        <v/>
      </c>
      <c r="H92" s="928">
        <f t="shared" si="411"/>
        <v>1</v>
      </c>
      <c r="I92" s="929">
        <f>IF(H92=1,F92,"")</f>
        <v>12</v>
      </c>
      <c r="J92" s="928">
        <f t="shared" ref="J92:L92" si="412">IF($B92="","",IF(ISBLANK(INDIRECT(ADDRESS($B92,J$1,1,,"Score"))),"",1))</f>
        <v>1</v>
      </c>
      <c r="K92" s="928" t="str">
        <f t="shared" si="412"/>
        <v/>
      </c>
      <c r="L92" s="928" t="str">
        <f t="shared" si="412"/>
        <v/>
      </c>
      <c r="M92" s="420">
        <f t="shared" si="396"/>
        <v>4</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343</v>
      </c>
      <c r="T92" s="420">
        <f t="shared" si="413"/>
        <v>0</v>
      </c>
      <c r="U92" s="672">
        <f>IF(R92="","",SUM(T92,T93))</f>
        <v>0</v>
      </c>
      <c r="V92" s="672">
        <f>IF(R92="","",U92-E92)</f>
        <v>-12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50</v>
      </c>
      <c r="D94" s="931">
        <f t="shared" si="420"/>
        <v>4</v>
      </c>
      <c r="E94" s="930">
        <f>IF(B94="","",SUM(D94,D95))</f>
        <v>4</v>
      </c>
      <c r="F94" s="930">
        <f>IF(B94="","",E94-U94)</f>
        <v>2</v>
      </c>
      <c r="G94" s="933" t="str">
        <f t="shared" ref="G94:H94" si="421">IF($B94="","",IF(ISBLANK(INDIRECT(ADDRESS($B94,G$1,1,,"Score"))),"",1))</f>
        <v/>
      </c>
      <c r="H94" s="933">
        <f t="shared" si="421"/>
        <v>1</v>
      </c>
      <c r="I94" s="934">
        <f>IF(H94=1,F94,"")</f>
        <v>2</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316</v>
      </c>
      <c r="T94" s="931">
        <f t="shared" si="423"/>
        <v>2</v>
      </c>
      <c r="U94" s="930">
        <f>IF(R94="","",SUM(T94,T95))</f>
        <v>2</v>
      </c>
      <c r="V94" s="930">
        <f>IF(R94="","",U94-E94)</f>
        <v>-2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1706</v>
      </c>
      <c r="D96" s="420">
        <f t="shared" si="430"/>
        <v>2</v>
      </c>
      <c r="E96" s="672">
        <f>IF(B96="","",SUM(D96,D97))</f>
        <v>2</v>
      </c>
      <c r="F96" s="672">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79</v>
      </c>
      <c r="T96" s="420">
        <f t="shared" si="433"/>
        <v>2</v>
      </c>
      <c r="U96" s="672">
        <f>IF(R96="","",SUM(T96,T97))</f>
        <v>2</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50</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700</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40</v>
      </c>
      <c r="D100" s="420">
        <f t="shared" si="450"/>
        <v>3</v>
      </c>
      <c r="E100" s="672">
        <f>IF(B100="","",SUM(D100,D101))</f>
        <v>3</v>
      </c>
      <c r="F100" s="672">
        <f>IF(B100="","",E100-U100)</f>
        <v>3</v>
      </c>
      <c r="G100" s="928" t="str">
        <f t="shared" ref="G100:H100" si="451">IF($B100="","",IF(ISBLANK(INDIRECT(ADDRESS($B100,G$1,1,,"Score"))),"",1))</f>
        <v/>
      </c>
      <c r="H100" s="928">
        <f t="shared" si="451"/>
        <v>1</v>
      </c>
      <c r="I100" s="929">
        <f>IF(H100=1,F100,"")</f>
        <v>3</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343</v>
      </c>
      <c r="T100" s="420">
        <f t="shared" si="453"/>
        <v>0</v>
      </c>
      <c r="U100" s="672">
        <f>IF(R100="","",SUM(T100,T101))</f>
        <v>0</v>
      </c>
      <c r="V100" s="672">
        <f>IF(R100="","",U100-E100)</f>
        <v>-3</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1706</v>
      </c>
      <c r="D102" s="931">
        <f t="shared" si="460"/>
        <v>8</v>
      </c>
      <c r="E102" s="930">
        <f>IF(B102="","",SUM(D102,D103))</f>
        <v>8</v>
      </c>
      <c r="F102" s="930">
        <f>IF(B102="","",E102-U102)</f>
        <v>8</v>
      </c>
      <c r="G102" s="933" t="str">
        <f t="shared" ref="G102:H102" si="461">IF($B102="","",IF(ISBLANK(INDIRECT(ADDRESS($B102,G$1,1,,"Score"))),"",1))</f>
        <v/>
      </c>
      <c r="H102" s="933">
        <f t="shared" si="461"/>
        <v>1</v>
      </c>
      <c r="I102" s="934">
        <f>IF(H102=1,F102,"")</f>
        <v>8</v>
      </c>
      <c r="J102" s="933">
        <f t="shared" ref="J102:L102" si="462">IF($B102="","",IF(ISBLANK(INDIRECT(ADDRESS($B102,J$1,1,,"Score"))),"",1))</f>
        <v>1</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316</v>
      </c>
      <c r="T102" s="931">
        <f t="shared" si="463"/>
        <v>0</v>
      </c>
      <c r="U102" s="930">
        <f>IF(R102="","",SUM(T102,T103))</f>
        <v>0</v>
      </c>
      <c r="V102" s="930">
        <f>IF(R102="","",U102-E102)</f>
        <v>-8</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54</v>
      </c>
      <c r="C104" s="895" t="str">
        <f t="shared" ref="C104:D104" si="470">IF($B104="","",INDIRECT(ADDRESS($B104,C$1,1,,"Score")))</f>
        <v>33</v>
      </c>
      <c r="D104" s="420">
        <f t="shared" si="470"/>
        <v>4</v>
      </c>
      <c r="E104" s="672">
        <f>IF(B104="","",SUM(D104,D105))</f>
        <v>4</v>
      </c>
      <c r="F104" s="672">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79</v>
      </c>
      <c r="T104" s="420">
        <f t="shared" si="473"/>
        <v>0</v>
      </c>
      <c r="U104" s="672">
        <f>IF(R104="","",SUM(T104,T105))</f>
        <v>0</v>
      </c>
      <c r="V104" s="672">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55</v>
      </c>
      <c r="C106" s="932" t="str">
        <f t="shared" ref="C106:D106" si="480">IF($B106="","",INDIRECT(ADDRESS($B106,C$1,1,,"Score")))</f>
        <v>50</v>
      </c>
      <c r="D106" s="931">
        <f t="shared" si="480"/>
        <v>11</v>
      </c>
      <c r="E106" s="930">
        <f>IF(B106="","",SUM(D106,D107))</f>
        <v>11</v>
      </c>
      <c r="F106" s="930">
        <f>IF(B106="","",E106-U106)</f>
        <v>11</v>
      </c>
      <c r="G106" s="933" t="str">
        <f t="shared" ref="G106:H106" si="481">IF($B106="","",IF(ISBLANK(INDIRECT(ADDRESS($B106,G$1,1,,"Score"))),"",1))</f>
        <v/>
      </c>
      <c r="H106" s="933">
        <f t="shared" si="481"/>
        <v>1</v>
      </c>
      <c r="I106" s="934">
        <f>IF(H106=1,F106,"")</f>
        <v>11</v>
      </c>
      <c r="J106" s="933">
        <f t="shared" ref="J106:L106" si="482">IF($B106="","",IF(ISBLANK(INDIRECT(ADDRESS($B106,J$1,1,,"Score"))),"",1))</f>
        <v>1</v>
      </c>
      <c r="K106" s="933" t="str">
        <f t="shared" si="482"/>
        <v/>
      </c>
      <c r="L106" s="933" t="str">
        <f t="shared" si="482"/>
        <v/>
      </c>
      <c r="M106" s="931">
        <f t="shared" si="396"/>
        <v>3</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700</v>
      </c>
      <c r="T106" s="931">
        <f t="shared" si="483"/>
        <v>0</v>
      </c>
      <c r="U106" s="930">
        <f>IF(R106="","",SUM(T106,T107))</f>
        <v>0</v>
      </c>
      <c r="V106" s="930">
        <f>IF(R106="","",U106-E106)</f>
        <v>-11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56</v>
      </c>
      <c r="C108" s="895" t="str">
        <f t="shared" ref="C108:D108" si="490">IF($B108="","",INDIRECT(ADDRESS($B108,C$1,1,,"Score")))</f>
        <v>1706</v>
      </c>
      <c r="D108" s="420">
        <f t="shared" si="490"/>
        <v>8</v>
      </c>
      <c r="E108" s="672">
        <f>IF(B108="","",SUM(D108,D109))</f>
        <v>8</v>
      </c>
      <c r="F108" s="672">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20">
        <f t="shared" si="396"/>
        <v>2</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343</v>
      </c>
      <c r="T108" s="420">
        <f t="shared" si="493"/>
        <v>0</v>
      </c>
      <c r="U108" s="672">
        <f>IF(R108="","",SUM(T108,T109))</f>
        <v>0</v>
      </c>
      <c r="V108" s="672">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57</v>
      </c>
      <c r="C110" s="932" t="str">
        <f t="shared" ref="C110:D110" si="500">IF($B110="","",INDIRECT(ADDRESS($B110,C$1,1,,"Score")))</f>
        <v>33</v>
      </c>
      <c r="D110" s="931">
        <f t="shared" si="500"/>
        <v>0</v>
      </c>
      <c r="E110" s="930">
        <f>IF(B110="","",SUM(D110,D111))</f>
        <v>0</v>
      </c>
      <c r="F110" s="930">
        <f>IF(B110="","",E110-U110)</f>
        <v>-3</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316</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58</v>
      </c>
      <c r="C112" s="895" t="str">
        <f t="shared" ref="C112:D112" si="510">IF($B112="","",INDIRECT(ADDRESS($B112,C$1,1,,"Score")))</f>
        <v>50</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t="str">
        <f>IF(ISNA(MATCH($Q112,Score!T$46:T$83,0)),"",MATCH($Q112,Score!T$46:T$83,0)+ROW(Score!T$45))</f>
        <v/>
      </c>
      <c r="S112" s="895" t="str">
        <f t="shared" ref="S112:T112" si="513">IF($R112="","",INDIRECT(ADDRESS($R112,S$1,1,,"Score")))</f>
        <v/>
      </c>
      <c r="T112" s="420" t="str">
        <f t="shared" si="513"/>
        <v/>
      </c>
      <c r="U112" s="672" t="str">
        <f>IF(R112="","",SUM(T112,T113))</f>
        <v/>
      </c>
      <c r="V112" s="672" t="str">
        <f>IF(R112="","",U112-E112)</f>
        <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t="str">
        <f t="shared" si="399"/>
        <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59</v>
      </c>
      <c r="C114" s="932" t="str">
        <f t="shared" ref="C114:D114" si="520">IF($B114="","",INDIRECT(ADDRESS($B114,C$1,1,,"Score")))</f>
        <v>1706</v>
      </c>
      <c r="D114" s="931">
        <f t="shared" si="520"/>
        <v>0</v>
      </c>
      <c r="E114" s="930">
        <f>IF(B114="","",SUM(D114,D115))</f>
        <v>0</v>
      </c>
      <c r="F114" s="930">
        <f>IF(B114="","",E114-U114)</f>
        <v>0</v>
      </c>
      <c r="G114" s="933" t="str">
        <f t="shared" ref="G114:H114" si="521">IF($B114="","",IF(ISBLANK(INDIRECT(ADDRESS($B114,G$1,1,,"Score"))),"",1))</f>
        <v/>
      </c>
      <c r="H114" s="933">
        <f t="shared" si="521"/>
        <v>1</v>
      </c>
      <c r="I114" s="934">
        <f>IF(H114=1,F114,"")</f>
        <v>0</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59</v>
      </c>
      <c r="S114" s="932" t="str">
        <f t="shared" ref="S114:T114" si="523">IF($R114="","",INDIRECT(ADDRESS($R114,S$1,1,,"Score")))</f>
        <v>700</v>
      </c>
      <c r="T114" s="931">
        <f t="shared" si="523"/>
        <v>0</v>
      </c>
      <c r="U114" s="930">
        <f>IF(R114="","",SUM(T114,T115))</f>
        <v>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60</v>
      </c>
      <c r="C116" s="895" t="str">
        <f t="shared" ref="C116:D116" si="530">IF($B116="","",INDIRECT(ADDRESS($B116,C$1,1,,"Score")))</f>
        <v>33</v>
      </c>
      <c r="D116" s="420">
        <f t="shared" si="530"/>
        <v>4</v>
      </c>
      <c r="E116" s="672">
        <f>IF(B116="","",SUM(D116,D117))</f>
        <v>4</v>
      </c>
      <c r="F116" s="672">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60</v>
      </c>
      <c r="S116" s="895" t="str">
        <f t="shared" ref="S116:T116" si="533">IF($R116="","",INDIRECT(ADDRESS($R116,S$1,1,,"Score")))</f>
        <v>316</v>
      </c>
      <c r="T116" s="420">
        <f t="shared" si="533"/>
        <v>0</v>
      </c>
      <c r="U116" s="672">
        <f>IF(R116="","",SUM(T116,T117))</f>
        <v>0</v>
      </c>
      <c r="V116" s="672">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61</v>
      </c>
      <c r="C118" s="932" t="str">
        <f t="shared" ref="C118:D118" si="540">IF($B118="","",INDIRECT(ADDRESS($B118,C$1,1,,"Score")))</f>
        <v>50</v>
      </c>
      <c r="D118" s="931">
        <f t="shared" si="540"/>
        <v>3</v>
      </c>
      <c r="E118" s="930">
        <f>IF(B118="","",SUM(D118,D119))</f>
        <v>3</v>
      </c>
      <c r="F118" s="930">
        <f>IF(B118="","",E118-U118)</f>
        <v>1</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61</v>
      </c>
      <c r="S118" s="932" t="str">
        <f t="shared" ref="S118:T118" si="543">IF($R118="","",INDIRECT(ADDRESS($R118,S$1,1,,"Score")))</f>
        <v>343</v>
      </c>
      <c r="T118" s="931">
        <f t="shared" si="543"/>
        <v>2</v>
      </c>
      <c r="U118" s="930">
        <f>IF(R118="","",SUM(T118,T119))</f>
        <v>2</v>
      </c>
      <c r="V118" s="930">
        <f>IF(R118="","",U118-E118)</f>
        <v>-1</v>
      </c>
      <c r="W118" s="933" t="str">
        <f t="shared" ref="W118:X118" si="544">IF($R118="","",IF(ISBLANK(INDIRECT(ADDRESS($R118,W$1,1,,"Score"))),"",1))</f>
        <v/>
      </c>
      <c r="X118" s="933">
        <f t="shared" si="544"/>
        <v>1</v>
      </c>
      <c r="Y118" s="934">
        <f>IF(X118=1,V118,"")</f>
        <v>-1</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62</v>
      </c>
      <c r="C120" s="895" t="str">
        <f t="shared" ref="C120:D120" si="550">IF($B120="","",INDIRECT(ADDRESS($B120,C$1,1,,"Score")))</f>
        <v>1706</v>
      </c>
      <c r="D120" s="420">
        <f t="shared" si="550"/>
        <v>4</v>
      </c>
      <c r="E120" s="672">
        <f>IF(B120="","",SUM(D120,D121))</f>
        <v>4</v>
      </c>
      <c r="F120" s="672">
        <f>IF(B120="","",E120-U120)</f>
        <v>3</v>
      </c>
      <c r="G120" s="928" t="str">
        <f t="shared" ref="G120:H120" si="551">IF($B120="","",IF(ISBLANK(INDIRECT(ADDRESS($B120,G$1,1,,"Score"))),"",1))</f>
        <v/>
      </c>
      <c r="H120" s="928">
        <f t="shared" si="551"/>
        <v>1</v>
      </c>
      <c r="I120" s="929">
        <f>IF(H120=1,F120,"")</f>
        <v>3</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62</v>
      </c>
      <c r="S120" s="895" t="str">
        <f t="shared" ref="S120:T120" si="553">IF($R120="","",INDIRECT(ADDRESS($R120,S$1,1,,"Score")))</f>
        <v>79</v>
      </c>
      <c r="T120" s="420">
        <f t="shared" si="553"/>
        <v>1</v>
      </c>
      <c r="U120" s="672">
        <f>IF(R120="","",SUM(T120,T121))</f>
        <v>1</v>
      </c>
      <c r="V120" s="672">
        <f>IF(R120="","",U120-E120)</f>
        <v>-3</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63</v>
      </c>
      <c r="C122" s="932" t="str">
        <f t="shared" ref="C122:D122" si="560">IF($B122="","",INDIRECT(ADDRESS($B122,C$1,1,,"Score")))</f>
        <v>33</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63</v>
      </c>
      <c r="S122" s="932" t="str">
        <f t="shared" ref="S122:T122" si="563">IF($R122="","",INDIRECT(ADDRESS($R122,S$1,1,,"Score")))</f>
        <v>700</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64</v>
      </c>
      <c r="C124" s="895" t="str">
        <f t="shared" ref="C124:D124" si="570">IF($B124="","",INDIRECT(ADDRESS($B124,C$1,1,,"Score")))</f>
        <v>50</v>
      </c>
      <c r="D124" s="420">
        <f t="shared" si="570"/>
        <v>4</v>
      </c>
      <c r="E124" s="672">
        <f>IF(B124="","",SUM(D124,D125))</f>
        <v>4</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2</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64</v>
      </c>
      <c r="S124" s="895" t="str">
        <f t="shared" ref="S124:T124" si="573">IF($R124="","",INDIRECT(ADDRESS($R124,S$1,1,,"Score")))</f>
        <v>343</v>
      </c>
      <c r="T124" s="420">
        <f t="shared" si="573"/>
        <v>0</v>
      </c>
      <c r="U124" s="672">
        <f>IF(R124="","",SUM(T124,T125))</f>
        <v>0</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65</v>
      </c>
      <c r="C126" s="932" t="str">
        <f t="shared" ref="C126:D126" si="580">IF($B126="","",INDIRECT(ADDRESS($B126,C$1,1,,"Score")))</f>
        <v>1706</v>
      </c>
      <c r="D126" s="931">
        <f t="shared" si="580"/>
        <v>12</v>
      </c>
      <c r="E126" s="930">
        <f>IF(B126="","",SUM(D126,D127))</f>
        <v>12</v>
      </c>
      <c r="F126" s="930">
        <f>IF(B126="","",E126-U126)</f>
        <v>12</v>
      </c>
      <c r="G126" s="933">
        <f t="shared" ref="G126:H126" si="581">IF($B126="","",IF(ISBLANK(INDIRECT(ADDRESS($B126,G$1,1,,"Score"))),"",1))</f>
        <v>1</v>
      </c>
      <c r="H126" s="933">
        <f t="shared" si="581"/>
        <v>1</v>
      </c>
      <c r="I126" s="934">
        <f>IF(H126=1,F126,"")</f>
        <v>12</v>
      </c>
      <c r="J126" s="933" t="str">
        <f t="shared" ref="J126:L126" si="582">IF($B126="","",IF(ISBLANK(INDIRECT(ADDRESS($B126,J$1,1,,"Score"))),"",1))</f>
        <v/>
      </c>
      <c r="K126" s="933" t="str">
        <f t="shared" si="582"/>
        <v/>
      </c>
      <c r="L126" s="933" t="str">
        <f t="shared" si="582"/>
        <v/>
      </c>
      <c r="M126" s="931">
        <f t="shared" si="396"/>
        <v>3</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65</v>
      </c>
      <c r="S126" s="932" t="str">
        <f t="shared" ref="S126:T126" si="583">IF($R126="","",INDIRECT(ADDRESS($R126,S$1,1,,"Score")))</f>
        <v>316</v>
      </c>
      <c r="T126" s="931">
        <f t="shared" si="583"/>
        <v>0</v>
      </c>
      <c r="U126" s="930">
        <f>IF(R126="","",SUM(T126,T127))</f>
        <v>0</v>
      </c>
      <c r="V126" s="930">
        <f>IF(R126="","",U126-E126)</f>
        <v>-12</v>
      </c>
      <c r="W126" s="933">
        <f t="shared" ref="W126:X126" si="584">IF($R126="","",IF(ISBLANK(INDIRECT(ADDRESS($R126,W$1,1,,"Score"))),"",1))</f>
        <v>1</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66</v>
      </c>
      <c r="S127" s="932" t="str">
        <f t="shared" ref="S127:T127" si="588">IF($R127="","",INDIRECT(ADDRESS($R127,S$1,1,,"Score")))</f>
        <v>139</v>
      </c>
      <c r="T127" s="931">
        <f t="shared" si="588"/>
        <v>0</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3.5" customHeight="1">
      <c r="A128" s="672">
        <f>A126+1</f>
        <v>21</v>
      </c>
      <c r="B128" s="420">
        <f>IF(ISNA(MATCH($A128,Score!A$46:A$83,0)),"",MATCH($A128,Score!A$46:A$83,0)+ROW(Score!A$45))</f>
        <v>67</v>
      </c>
      <c r="C128" s="895" t="str">
        <f t="shared" ref="C128:D128" si="590">IF($B128="","",INDIRECT(ADDRESS($B128,C$1,1,,"Score")))</f>
        <v>33</v>
      </c>
      <c r="D128" s="420">
        <f t="shared" si="590"/>
        <v>8</v>
      </c>
      <c r="E128" s="672">
        <f>IF(B128="","",SUM(D128,D129))</f>
        <v>8</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3</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67</v>
      </c>
      <c r="S128" s="895" t="str">
        <f t="shared" ref="S128:T128" si="593">IF($R128="","",INDIRECT(ADDRESS($R128,S$1,1,,"Score")))</f>
        <v>79</v>
      </c>
      <c r="T128" s="420">
        <f t="shared" si="593"/>
        <v>4</v>
      </c>
      <c r="U128" s="672">
        <f>IF(R128="","",SUM(T128,T129))</f>
        <v>4</v>
      </c>
      <c r="V128" s="672">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1</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f>IF(ISNA(MATCH($A130,Score!A$46:A$83,0)),"",MATCH($A130,Score!A$46:A$83,0)+ROW(Score!A$45))</f>
        <v>68</v>
      </c>
      <c r="C130" s="932" t="str">
        <f t="shared" ref="C130:D130" si="600">IF($B130="","",INDIRECT(ADDRESS($B130,C$1,1,,"Score")))</f>
        <v>50</v>
      </c>
      <c r="D130" s="931">
        <f t="shared" si="600"/>
        <v>2</v>
      </c>
      <c r="E130" s="930">
        <f>IF(B130="","",SUM(D130,D131))</f>
        <v>2</v>
      </c>
      <c r="F130" s="930">
        <f>IF(B130="","",E130-U130)</f>
        <v>-2</v>
      </c>
      <c r="G130" s="933" t="str">
        <f t="shared" ref="G130:H130" si="601">IF($B130="","",IF(ISBLANK(INDIRECT(ADDRESS($B130,G$1,1,,"Score"))),"",1))</f>
        <v/>
      </c>
      <c r="H130" s="933">
        <f t="shared" si="601"/>
        <v>1</v>
      </c>
      <c r="I130" s="934">
        <f>IF(H130=1,F130,"")</f>
        <v>-2</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68</v>
      </c>
      <c r="S130" s="932" t="str">
        <f t="shared" ref="S130:T130" si="603">IF($R130="","",INDIRECT(ADDRESS($R130,S$1,1,,"Score")))</f>
        <v>700</v>
      </c>
      <c r="T130" s="931">
        <f t="shared" si="603"/>
        <v>4</v>
      </c>
      <c r="U130" s="930">
        <f>IF(R130="","",SUM(T130,T131))</f>
        <v>4</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69</v>
      </c>
      <c r="C132" s="895" t="str">
        <f t="shared" ref="C132:D132" si="610">IF($B132="","",INDIRECT(ADDRESS($B132,C$1,1,,"Score")))</f>
        <v>1706</v>
      </c>
      <c r="D132" s="420">
        <f t="shared" si="610"/>
        <v>5</v>
      </c>
      <c r="E132" s="672">
        <f>IF(B132="","",SUM(D132,D133))</f>
        <v>5</v>
      </c>
      <c r="F132" s="672">
        <f>IF(B132="","",E132-U132)</f>
        <v>5</v>
      </c>
      <c r="G132" s="928" t="str">
        <f t="shared" ref="G132:H132" si="611">IF($B132="","",IF(ISBLANK(INDIRECT(ADDRESS($B132,G$1,1,,"Score"))),"",1))</f>
        <v/>
      </c>
      <c r="H132" s="928">
        <f t="shared" si="611"/>
        <v>1</v>
      </c>
      <c r="I132" s="929">
        <f>IF(H132=1,F132,"")</f>
        <v>5</v>
      </c>
      <c r="J132" s="928">
        <f t="shared" ref="J132:L132" si="612">IF($B132="","",IF(ISBLANK(INDIRECT(ADDRESS($B132,J$1,1,,"Score"))),"",1))</f>
        <v>1</v>
      </c>
      <c r="K132" s="928" t="str">
        <f t="shared" si="612"/>
        <v/>
      </c>
      <c r="L132" s="928" t="str">
        <f t="shared" si="612"/>
        <v/>
      </c>
      <c r="M132" s="420">
        <f t="shared" si="396"/>
        <v>2</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69</v>
      </c>
      <c r="S132" s="895" t="str">
        <f t="shared" ref="S132:T132" si="613">IF($R132="","",INDIRECT(ADDRESS($R132,S$1,1,,"Score")))</f>
        <v>343</v>
      </c>
      <c r="T132" s="420">
        <f t="shared" si="613"/>
        <v>0</v>
      </c>
      <c r="U132" s="672">
        <f>IF(R132="","",SUM(T132,T133))</f>
        <v>0</v>
      </c>
      <c r="V132" s="672">
        <f>IF(R132="","",U132-E132)</f>
        <v>-5</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114</v>
      </c>
      <c r="F164" s="939"/>
      <c r="G164" s="927">
        <f t="shared" ref="G164:H164" si="770">SUM(G88:G163)</f>
        <v>1</v>
      </c>
      <c r="H164" s="927">
        <f t="shared" si="770"/>
        <v>19</v>
      </c>
      <c r="I164" s="926"/>
      <c r="J164" s="940">
        <f t="shared" ref="J164:K164" si="771">SUM(J88:J163)</f>
        <v>18</v>
      </c>
      <c r="K164" s="940">
        <f t="shared" si="771"/>
        <v>0</v>
      </c>
      <c r="L164" s="927">
        <f t="shared" ref="L164:L165" si="774">SUM(L88,L90,L92,L94,L96,L98,L100,L102,L104,L106,L108,L110,L112,L114,L116,L118,L120,L122,L124,L126,L128,L130,L132,L134,L136,L138,L140,L142,L144,L146, L148, L150, L152, L154, L156,L158,L160,L162)</f>
        <v>0</v>
      </c>
      <c r="M164" s="937"/>
      <c r="N164" s="939" t="s">
        <v>435</v>
      </c>
      <c r="O164" s="938" t="str">
        <f>IF(COUNT(O88:O163),AVERAGE(O88:O163),"")</f>
        <v/>
      </c>
      <c r="P164" s="420"/>
      <c r="Q164" s="936" t="s">
        <v>436</v>
      </c>
      <c r="R164" s="937"/>
      <c r="S164" s="937"/>
      <c r="T164" s="937"/>
      <c r="U164" s="938">
        <f>SUM(U88:U163)</f>
        <v>29</v>
      </c>
      <c r="V164" s="939"/>
      <c r="W164" s="927">
        <f t="shared" ref="W164:X164" si="772">SUM(W88:W163)</f>
        <v>1</v>
      </c>
      <c r="X164" s="927">
        <f t="shared" si="772"/>
        <v>4</v>
      </c>
      <c r="Y164" s="926"/>
      <c r="Z164" s="940">
        <f t="shared" ref="Z164:AA164" si="773">SUM(Z88:Z163)</f>
        <v>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435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417</v>
      </c>
      <c r="B171" s="942" t="s">
        <v>259</v>
      </c>
      <c r="C171" s="420"/>
      <c r="D171" s="942" t="s">
        <v>425</v>
      </c>
      <c r="E171" s="942" t="s">
        <v>437</v>
      </c>
      <c r="F171" s="942" t="s">
        <v>427</v>
      </c>
      <c r="G171" s="942" t="s">
        <v>428</v>
      </c>
      <c r="H171" s="942" t="s">
        <v>409</v>
      </c>
      <c r="I171" s="942" t="s">
        <v>429</v>
      </c>
      <c r="J171" s="942" t="s">
        <v>430</v>
      </c>
      <c r="K171" s="942" t="s">
        <v>431</v>
      </c>
      <c r="L171" s="942" t="s">
        <v>188</v>
      </c>
      <c r="M171" s="942" t="s">
        <v>200</v>
      </c>
      <c r="N171" s="942"/>
      <c r="O171" s="942"/>
      <c r="P171" s="420"/>
      <c r="Q171" s="942" t="s">
        <v>423</v>
      </c>
      <c r="R171" s="942" t="s">
        <v>259</v>
      </c>
      <c r="S171" s="420"/>
      <c r="T171" s="942" t="s">
        <v>425</v>
      </c>
      <c r="U171" s="942" t="s">
        <v>437</v>
      </c>
      <c r="V171" s="942" t="s">
        <v>427</v>
      </c>
      <c r="W171" s="942" t="s">
        <v>428</v>
      </c>
      <c r="X171" s="942" t="s">
        <v>409</v>
      </c>
      <c r="Y171" s="942" t="s">
        <v>429</v>
      </c>
      <c r="Z171" s="942" t="s">
        <v>430</v>
      </c>
      <c r="AA171" s="942" t="s">
        <v>431</v>
      </c>
      <c r="AB171" s="942" t="s">
        <v>188</v>
      </c>
      <c r="AC171" s="942" t="s">
        <v>200</v>
      </c>
      <c r="AD171" s="420"/>
      <c r="AE171" s="420"/>
    </row>
    <row r="172" ht="13.5" customHeight="1">
      <c r="A172" s="672">
        <v>1.0</v>
      </c>
      <c r="B172" s="943" t="str">
        <f>IF(IGRF!B14="","",IGRF!B14)</f>
        <v>10</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11</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420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1706</v>
      </c>
      <c r="C175" s="420" t="s">
        <v>419</v>
      </c>
      <c r="D175" s="420">
        <f>IF(OR($E175="",$E175=0),"",SUMPRODUCT(--($C$3:$C$78=$B175),D$3:D$78))</f>
        <v>53</v>
      </c>
      <c r="E175" s="420">
        <f>IF($B175="","",SUMPRODUCT(--(C$3:C$78=$B175)))</f>
        <v>8</v>
      </c>
      <c r="F175" s="420">
        <f>IF(OR($E175="",$E175=0),"",SUMIF($C$3:$C$62,$B175,F$3:F$62))</f>
        <v>38</v>
      </c>
      <c r="G175" s="931">
        <f t="shared" ref="G175:M175" si="783">IF(OR($E175="",$E175=0),"",SUMPRODUCT(--($C$3:$C$78=$B175),G$3:G$78))</f>
        <v>1</v>
      </c>
      <c r="H175" s="931">
        <f t="shared" si="783"/>
        <v>4</v>
      </c>
      <c r="I175" s="929">
        <f t="shared" si="783"/>
        <v>34</v>
      </c>
      <c r="J175" s="931">
        <f t="shared" si="783"/>
        <v>3</v>
      </c>
      <c r="K175" s="931">
        <f t="shared" si="783"/>
        <v>0</v>
      </c>
      <c r="L175" s="931">
        <f t="shared" si="783"/>
        <v>0</v>
      </c>
      <c r="M175" s="420">
        <f t="shared" si="783"/>
        <v>16</v>
      </c>
      <c r="N175" s="420"/>
      <c r="O175" s="420"/>
      <c r="P175" s="420"/>
      <c r="Q175" s="672">
        <f>Q172+1</f>
        <v>2</v>
      </c>
      <c r="R175" s="943" t="str">
        <f>IF(IGRF!I15="","",IGRF!I15)</f>
        <v>128</v>
      </c>
      <c r="S175" s="420" t="s">
        <v>419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420</v>
      </c>
      <c r="D176" s="420">
        <f>IF(OR($E176="",$E176=0),"",SUMPRODUCT(--($C$88:$C$163=$B175),D$88:D$163))</f>
        <v>43</v>
      </c>
      <c r="E176" s="420">
        <f>IF($B175="","",SUMPRODUCT(--(C$88:C$163=$B175)))</f>
        <v>8</v>
      </c>
      <c r="F176" s="420">
        <f>IF(OR($E176="",$E176=0),"",SUMIF($C$88:$C$147,$B175,F$88:F$147))</f>
        <v>29</v>
      </c>
      <c r="G176" s="931">
        <f t="shared" ref="G176:M176" si="785">IF(OR($E176="",$E176=0),"",SUMPRODUCT(--($C$88:$C$163=$B175),G$88:G$163))</f>
        <v>1</v>
      </c>
      <c r="H176" s="931">
        <f t="shared" si="785"/>
        <v>7</v>
      </c>
      <c r="I176" s="929">
        <f t="shared" si="785"/>
        <v>36</v>
      </c>
      <c r="J176" s="931">
        <f t="shared" si="785"/>
        <v>6</v>
      </c>
      <c r="K176" s="931">
        <f t="shared" si="785"/>
        <v>0</v>
      </c>
      <c r="L176" s="931">
        <f t="shared" si="785"/>
        <v>0</v>
      </c>
      <c r="M176" s="420">
        <f t="shared" si="785"/>
        <v>14</v>
      </c>
      <c r="N176" s="420"/>
      <c r="O176" s="420"/>
      <c r="P176" s="420"/>
      <c r="Q176" s="672"/>
      <c r="R176" s="672"/>
      <c r="S176" s="420" t="s">
        <v>420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376</v>
      </c>
      <c r="D177" s="944">
        <f t="shared" ref="D177:F177" si="787">IF($B175="","",SUM(D175:D176))</f>
        <v>96</v>
      </c>
      <c r="E177" s="944">
        <f t="shared" si="787"/>
        <v>16</v>
      </c>
      <c r="F177" s="944">
        <f t="shared" si="787"/>
        <v>67</v>
      </c>
      <c r="G177" s="933">
        <f t="shared" ref="G177:L177" si="788">IF($B175="","",SUM(G175,G176))</f>
        <v>2</v>
      </c>
      <c r="H177" s="933">
        <f t="shared" si="788"/>
        <v>11</v>
      </c>
      <c r="I177" s="945">
        <f t="shared" si="788"/>
        <v>70</v>
      </c>
      <c r="J177" s="933">
        <f t="shared" si="788"/>
        <v>9</v>
      </c>
      <c r="K177" s="933">
        <f t="shared" si="788"/>
        <v>0</v>
      </c>
      <c r="L177" s="933">
        <f t="shared" si="788"/>
        <v>0</v>
      </c>
      <c r="M177" s="944">
        <f>IF($B175="","",SUM(M175:M176))</f>
        <v>30</v>
      </c>
      <c r="N177" s="420"/>
      <c r="O177" s="420"/>
      <c r="P177" s="420"/>
      <c r="Q177" s="672"/>
      <c r="R177" s="672"/>
      <c r="S177" s="944" t="s">
        <v>376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2</v>
      </c>
      <c r="C178" s="420" t="s">
        <v>419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139</v>
      </c>
      <c r="S178" s="420" t="s">
        <v>419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420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420</v>
      </c>
      <c r="T179" s="420">
        <f>IF(OR($U179="",$U179=0),"",SUMPRODUCT(--($S$88:$S$163=$R178),T$88:T$163))</f>
        <v>0</v>
      </c>
      <c r="U179" s="420">
        <f>IF($R178="","",SUMPRODUCT(--(S$88:S$163=$R178)))</f>
        <v>1</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1</v>
      </c>
      <c r="AD179" s="420"/>
      <c r="AE179" s="420"/>
    </row>
    <row r="180" ht="13.5" customHeight="1">
      <c r="A180" s="672"/>
      <c r="B180" s="943"/>
      <c r="C180" s="944" t="s">
        <v>376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376</v>
      </c>
      <c r="T180" s="944">
        <f>IF($R178="","",SUM(T178:T179))</f>
        <v>0</v>
      </c>
      <c r="U180" s="944">
        <f t="shared" ref="U180:AC180" si="796">IF($R178="","",SUM(U178,U179))</f>
        <v>1</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1</v>
      </c>
      <c r="AD180" s="420"/>
      <c r="AE180" s="420"/>
    </row>
    <row r="181" ht="13.5" customHeight="1">
      <c r="A181" s="672">
        <f>A178+1</f>
        <v>4</v>
      </c>
      <c r="B181" s="943" t="str">
        <f>IF(IGRF!B17="","",IGRF!B17)</f>
        <v>22</v>
      </c>
      <c r="C181" s="420" t="s">
        <v>419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22</v>
      </c>
      <c r="S181" s="420" t="s">
        <v>419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420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27</v>
      </c>
      <c r="C184" s="420" t="s">
        <v>419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241</v>
      </c>
      <c r="S184" s="420" t="s">
        <v>419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420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33</v>
      </c>
      <c r="C187" s="420" t="s">
        <v>419</v>
      </c>
      <c r="D187" s="420">
        <f>IF(OR($E187="",$E187=0),"",SUMPRODUCT(--($C$3:$C$78=$B187),D$3:D$78))</f>
        <v>16</v>
      </c>
      <c r="E187" s="420">
        <f>IF($B187="","",SUMPRODUCT(--(C$3:C$78=$B187)))</f>
        <v>7</v>
      </c>
      <c r="F187" s="420">
        <f>IF(OR($E187="",$E187=0),"",SUMIF($C$3:$C$62,$B187,F$3:F$62))</f>
        <v>8</v>
      </c>
      <c r="G187" s="931">
        <f t="shared" ref="G187:M187" si="811">IF(OR($E187="",$E187=0),"",SUMPRODUCT(--($C$3:$C$78=$B187),G$3:G$78))</f>
        <v>0</v>
      </c>
      <c r="H187" s="931">
        <f t="shared" si="811"/>
        <v>5</v>
      </c>
      <c r="I187" s="929">
        <f t="shared" si="811"/>
        <v>16</v>
      </c>
      <c r="J187" s="931">
        <f t="shared" si="811"/>
        <v>5</v>
      </c>
      <c r="K187" s="931">
        <f t="shared" si="811"/>
        <v>0</v>
      </c>
      <c r="L187" s="931">
        <f t="shared" si="811"/>
        <v>0</v>
      </c>
      <c r="M187" s="420">
        <f t="shared" si="811"/>
        <v>7</v>
      </c>
      <c r="N187" s="420"/>
      <c r="O187" s="420"/>
      <c r="P187" s="420"/>
      <c r="Q187" s="672">
        <f>Q184+1</f>
        <v>6</v>
      </c>
      <c r="R187" s="943" t="str">
        <f>IF(IGRF!I19="","",IGRF!I19)</f>
        <v>316</v>
      </c>
      <c r="S187" s="420" t="s">
        <v>419</v>
      </c>
      <c r="T187" s="420">
        <f>IF(OR($U187="",$U187=0),"",SUMPRODUCT(--($S$3:$S$78=$R187),T$3:T$78))</f>
        <v>4</v>
      </c>
      <c r="U187" s="420">
        <f>IF($R187="","",SUMPRODUCT(--(S$3:S$78=$R187)))</f>
        <v>6</v>
      </c>
      <c r="V187" s="420">
        <f t="shared" ref="V187:AC187" si="812">IF(OR($U187="",$U187=0),"",SUMPRODUCT(--($S$3:$S$78=$R187),V$3:V$78))</f>
        <v>-16</v>
      </c>
      <c r="W187" s="931">
        <f t="shared" si="812"/>
        <v>0</v>
      </c>
      <c r="X187" s="931">
        <f t="shared" si="812"/>
        <v>1</v>
      </c>
      <c r="Y187" s="929">
        <f t="shared" si="812"/>
        <v>4</v>
      </c>
      <c r="Z187" s="931">
        <f t="shared" si="812"/>
        <v>1</v>
      </c>
      <c r="AA187" s="931">
        <f t="shared" si="812"/>
        <v>0</v>
      </c>
      <c r="AB187" s="931">
        <f t="shared" si="812"/>
        <v>0</v>
      </c>
      <c r="AC187" s="420">
        <f t="shared" si="812"/>
        <v>6</v>
      </c>
      <c r="AD187" s="420"/>
      <c r="AE187" s="420"/>
    </row>
    <row r="188" ht="13.5" customHeight="1">
      <c r="A188" s="672"/>
      <c r="B188" s="943"/>
      <c r="C188" s="420" t="s">
        <v>420</v>
      </c>
      <c r="D188" s="420">
        <f>IF(OR($E188="",$E188=0),"",SUMPRODUCT(--($C$88:$C$163=$B187),D$88:D$163))</f>
        <v>32</v>
      </c>
      <c r="E188" s="420">
        <f>IF($B187="","",SUMPRODUCT(--(C$88:C$163=$B187)))</f>
        <v>6</v>
      </c>
      <c r="F188" s="420">
        <f>IF(OR($E188="",$E188=0),"",SUMIF($C$88:$C$147,$B187,F$88:F$147))</f>
        <v>25</v>
      </c>
      <c r="G188" s="931">
        <f t="shared" ref="G188:M188" si="813">IF(OR($E188="",$E188=0),"",SUMPRODUCT(--($C$88:$C$163=$B187),G$88:G$163))</f>
        <v>0</v>
      </c>
      <c r="H188" s="931">
        <f t="shared" si="813"/>
        <v>4</v>
      </c>
      <c r="I188" s="929">
        <f t="shared" si="813"/>
        <v>24</v>
      </c>
      <c r="J188" s="931">
        <f t="shared" si="813"/>
        <v>4</v>
      </c>
      <c r="K188" s="931">
        <f t="shared" si="813"/>
        <v>0</v>
      </c>
      <c r="L188" s="931">
        <f t="shared" si="813"/>
        <v>0</v>
      </c>
      <c r="M188" s="420">
        <f t="shared" si="813"/>
        <v>11</v>
      </c>
      <c r="N188" s="420"/>
      <c r="O188" s="420"/>
      <c r="P188" s="420"/>
      <c r="Q188" s="672"/>
      <c r="R188" s="672"/>
      <c r="S188" s="420" t="s">
        <v>420</v>
      </c>
      <c r="T188" s="420">
        <f>IF(OR($U188="",$U188=0),"",SUMPRODUCT(--($S$88:$S$163=$R187),T$88:T$163))</f>
        <v>5</v>
      </c>
      <c r="U188" s="420">
        <f>IF($R187="","",SUMPRODUCT(--(S$88:S$163=$R187)))</f>
        <v>5</v>
      </c>
      <c r="V188" s="420">
        <f t="shared" ref="V188:AC188" si="814">IF(OR($U188="",$U188=0),"",SUMPRODUCT(--($S$88:$S$163=$R187),V$88:V$163))</f>
        <v>-23</v>
      </c>
      <c r="W188" s="931">
        <f t="shared" si="814"/>
        <v>1</v>
      </c>
      <c r="X188" s="931">
        <f t="shared" si="814"/>
        <v>1</v>
      </c>
      <c r="Y188" s="929">
        <f t="shared" si="814"/>
        <v>3</v>
      </c>
      <c r="Z188" s="931">
        <f t="shared" si="814"/>
        <v>1</v>
      </c>
      <c r="AA188" s="931">
        <f t="shared" si="814"/>
        <v>0</v>
      </c>
      <c r="AB188" s="931">
        <f t="shared" si="814"/>
        <v>2</v>
      </c>
      <c r="AC188" s="420">
        <f t="shared" si="814"/>
        <v>3</v>
      </c>
      <c r="AD188" s="420"/>
      <c r="AE188" s="420"/>
    </row>
    <row r="189" ht="13.5" customHeight="1">
      <c r="A189" s="672"/>
      <c r="B189" s="943"/>
      <c r="C189" s="944" t="s">
        <v>376</v>
      </c>
      <c r="D189" s="944">
        <f t="shared" ref="D189:F189" si="815">IF($B187="","",SUM(D187:D188))</f>
        <v>48</v>
      </c>
      <c r="E189" s="944">
        <f t="shared" si="815"/>
        <v>13</v>
      </c>
      <c r="F189" s="944">
        <f t="shared" si="815"/>
        <v>33</v>
      </c>
      <c r="G189" s="933">
        <f t="shared" ref="G189:L189" si="816">IF($B187="","",SUM(G187,G188))</f>
        <v>0</v>
      </c>
      <c r="H189" s="933">
        <f t="shared" si="816"/>
        <v>9</v>
      </c>
      <c r="I189" s="945">
        <f t="shared" si="816"/>
        <v>40</v>
      </c>
      <c r="J189" s="933">
        <f t="shared" si="816"/>
        <v>9</v>
      </c>
      <c r="K189" s="933">
        <f t="shared" si="816"/>
        <v>0</v>
      </c>
      <c r="L189" s="933">
        <f t="shared" si="816"/>
        <v>0</v>
      </c>
      <c r="M189" s="944">
        <f>IF($B187="","",SUM(M187:M188))</f>
        <v>18</v>
      </c>
      <c r="N189" s="420"/>
      <c r="O189" s="420"/>
      <c r="P189" s="420"/>
      <c r="Q189" s="672"/>
      <c r="R189" s="672"/>
      <c r="S189" s="944" t="s">
        <v>376</v>
      </c>
      <c r="T189" s="944">
        <f>IF($R187="","",SUM(T187:T188))</f>
        <v>9</v>
      </c>
      <c r="U189" s="944">
        <f t="shared" ref="U189:AC189" si="817">IF($R187="","",SUM(U187,U188))</f>
        <v>11</v>
      </c>
      <c r="V189" s="944">
        <f t="shared" si="817"/>
        <v>-39</v>
      </c>
      <c r="W189" s="933">
        <f t="shared" si="817"/>
        <v>1</v>
      </c>
      <c r="X189" s="933">
        <f t="shared" si="817"/>
        <v>2</v>
      </c>
      <c r="Y189" s="945">
        <f t="shared" si="817"/>
        <v>7</v>
      </c>
      <c r="Z189" s="933">
        <f t="shared" si="817"/>
        <v>2</v>
      </c>
      <c r="AA189" s="933">
        <f t="shared" si="817"/>
        <v>0</v>
      </c>
      <c r="AB189" s="933">
        <f t="shared" si="817"/>
        <v>2</v>
      </c>
      <c r="AC189" s="944">
        <f t="shared" si="817"/>
        <v>9</v>
      </c>
      <c r="AD189" s="420"/>
      <c r="AE189" s="420"/>
    </row>
    <row r="190" ht="13.5" customHeight="1">
      <c r="A190" s="672">
        <f>A187+1</f>
        <v>7</v>
      </c>
      <c r="B190" s="943" t="str">
        <f>IF(IGRF!B20="","",IGRF!B20)</f>
        <v>357</v>
      </c>
      <c r="C190" s="420" t="s">
        <v>419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343</v>
      </c>
      <c r="S190" s="420" t="s">
        <v>419</v>
      </c>
      <c r="T190" s="420">
        <f>IF(OR($U190="",$U190=0),"",SUMPRODUCT(--($S$3:$S$78=$R190),T$3:T$78))</f>
        <v>8</v>
      </c>
      <c r="U190" s="420">
        <f>IF($R190="","",SUMPRODUCT(--(S$3:S$78=$R190)))</f>
        <v>5</v>
      </c>
      <c r="V190" s="420">
        <f t="shared" ref="V190:AC190" si="819">IF(OR($U190="",$U190=0),"",SUMPRODUCT(--($S$3:$S$78=$R190),V$3:V$78))</f>
        <v>-12</v>
      </c>
      <c r="W190" s="931">
        <f t="shared" si="819"/>
        <v>0</v>
      </c>
      <c r="X190" s="931">
        <f t="shared" si="819"/>
        <v>2</v>
      </c>
      <c r="Y190" s="929">
        <f t="shared" si="819"/>
        <v>8</v>
      </c>
      <c r="Z190" s="931">
        <f t="shared" si="819"/>
        <v>2</v>
      </c>
      <c r="AA190" s="931">
        <f t="shared" si="819"/>
        <v>0</v>
      </c>
      <c r="AB190" s="931">
        <f t="shared" si="819"/>
        <v>2</v>
      </c>
      <c r="AC190" s="420">
        <f t="shared" si="819"/>
        <v>4</v>
      </c>
      <c r="AD190" s="420"/>
      <c r="AE190" s="420"/>
    </row>
    <row r="191" ht="13.5" customHeight="1">
      <c r="A191" s="672"/>
      <c r="B191" s="943"/>
      <c r="C191" s="420" t="s">
        <v>420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420</v>
      </c>
      <c r="T191" s="420">
        <f>IF(OR($U191="",$U191=0),"",SUMPRODUCT(--($S$88:$S$163=$R190),T$88:T$163))</f>
        <v>2</v>
      </c>
      <c r="U191" s="420">
        <f>IF($R190="","",SUMPRODUCT(--(S$88:S$163=$R190)))</f>
        <v>6</v>
      </c>
      <c r="V191" s="420">
        <f t="shared" ref="V191:AC191" si="821">IF(OR($U191="",$U191=0),"",SUMPRODUCT(--($S$88:$S$163=$R190),V$88:V$163))</f>
        <v>-33</v>
      </c>
      <c r="W191" s="931">
        <f t="shared" si="821"/>
        <v>0</v>
      </c>
      <c r="X191" s="931">
        <f t="shared" si="821"/>
        <v>1</v>
      </c>
      <c r="Y191" s="929">
        <f t="shared" si="821"/>
        <v>-1</v>
      </c>
      <c r="Z191" s="931">
        <f t="shared" si="821"/>
        <v>1</v>
      </c>
      <c r="AA191" s="931">
        <f t="shared" si="821"/>
        <v>0</v>
      </c>
      <c r="AB191" s="931">
        <f t="shared" si="821"/>
        <v>3</v>
      </c>
      <c r="AC191" s="420">
        <f t="shared" si="821"/>
        <v>3</v>
      </c>
      <c r="AD191" s="420"/>
      <c r="AE191" s="420"/>
    </row>
    <row r="192" ht="13.5" customHeight="1">
      <c r="A192" s="672"/>
      <c r="B192" s="943"/>
      <c r="C192" s="944" t="s">
        <v>376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376</v>
      </c>
      <c r="T192" s="944">
        <f>IF($R190="","",SUM(T190:T191))</f>
        <v>10</v>
      </c>
      <c r="U192" s="944">
        <f t="shared" ref="U192:AC192" si="824">IF($R190="","",SUM(U190,U191))</f>
        <v>11</v>
      </c>
      <c r="V192" s="944">
        <f t="shared" si="824"/>
        <v>-45</v>
      </c>
      <c r="W192" s="933">
        <f t="shared" si="824"/>
        <v>0</v>
      </c>
      <c r="X192" s="933">
        <f t="shared" si="824"/>
        <v>3</v>
      </c>
      <c r="Y192" s="945">
        <f t="shared" si="824"/>
        <v>7</v>
      </c>
      <c r="Z192" s="933">
        <f t="shared" si="824"/>
        <v>3</v>
      </c>
      <c r="AA192" s="933">
        <f t="shared" si="824"/>
        <v>0</v>
      </c>
      <c r="AB192" s="933">
        <f t="shared" si="824"/>
        <v>5</v>
      </c>
      <c r="AC192" s="944">
        <f t="shared" si="824"/>
        <v>7</v>
      </c>
      <c r="AD192" s="420"/>
      <c r="AE192" s="420"/>
    </row>
    <row r="193" ht="13.5" customHeight="1">
      <c r="A193" s="672">
        <f>A190+1</f>
        <v>8</v>
      </c>
      <c r="B193" s="943" t="str">
        <f>IF(IGRF!B21="","",IGRF!B21)</f>
        <v>40</v>
      </c>
      <c r="C193" s="420" t="s">
        <v>419</v>
      </c>
      <c r="D193" s="420">
        <f>IF(OR($E193="",$E193=0),"",SUMPRODUCT(--($C$3:$C$78=$B193),D$3:D$78))</f>
        <v>4</v>
      </c>
      <c r="E193" s="420">
        <f>IF($B193="","",SUMPRODUCT(--(C$3:C$78=$B193)))</f>
        <v>1</v>
      </c>
      <c r="F193" s="420">
        <f>IF(OR($E193="",$E193=0),"",SUMIF($C$3:$C$62,$B193,F$3:F$62))</f>
        <v>4</v>
      </c>
      <c r="G193" s="931">
        <f t="shared" ref="G193:M193" si="825">IF(OR($E193="",$E193=0),"",SUMPRODUCT(--($C$3:$C$78=$B193),G$3:G$78))</f>
        <v>0</v>
      </c>
      <c r="H193" s="931">
        <f t="shared" si="825"/>
        <v>1</v>
      </c>
      <c r="I193" s="929">
        <f t="shared" si="825"/>
        <v>4</v>
      </c>
      <c r="J193" s="931">
        <f t="shared" si="825"/>
        <v>1</v>
      </c>
      <c r="K193" s="931">
        <f t="shared" si="825"/>
        <v>0</v>
      </c>
      <c r="L193" s="931">
        <f t="shared" si="825"/>
        <v>0</v>
      </c>
      <c r="M193" s="420">
        <f t="shared" si="825"/>
        <v>1</v>
      </c>
      <c r="N193" s="420"/>
      <c r="O193" s="420"/>
      <c r="P193" s="420"/>
      <c r="Q193" s="672">
        <f>Q190+1</f>
        <v>8</v>
      </c>
      <c r="R193" s="943" t="str">
        <f>IF(IGRF!I21="","",IGRF!I21)</f>
        <v>360</v>
      </c>
      <c r="S193" s="420" t="s">
        <v>419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420</v>
      </c>
      <c r="D194" s="420">
        <f>IF(OR($E194="",$E194=0),"",SUMPRODUCT(--($C$88:$C$163=$B193),D$88:D$163))</f>
        <v>3</v>
      </c>
      <c r="E194" s="420">
        <f>IF($B193="","",SUMPRODUCT(--(C$88:C$163=$B193)))</f>
        <v>1</v>
      </c>
      <c r="F194" s="420">
        <f>IF(OR($E194="",$E194=0),"",SUMIF($C$88:$C$147,$B193,F$88:F$147))</f>
        <v>3</v>
      </c>
      <c r="G194" s="931">
        <f t="shared" ref="G194:M194" si="827">IF(OR($E194="",$E194=0),"",SUMPRODUCT(--($C$88:$C$163=$B193),G$88:G$163))</f>
        <v>0</v>
      </c>
      <c r="H194" s="931">
        <f t="shared" si="827"/>
        <v>1</v>
      </c>
      <c r="I194" s="929">
        <f t="shared" si="827"/>
        <v>3</v>
      </c>
      <c r="J194" s="931">
        <f t="shared" si="827"/>
        <v>1</v>
      </c>
      <c r="K194" s="931">
        <f t="shared" si="827"/>
        <v>0</v>
      </c>
      <c r="L194" s="931">
        <f t="shared" si="827"/>
        <v>0</v>
      </c>
      <c r="M194" s="420">
        <f t="shared" si="827"/>
        <v>1</v>
      </c>
      <c r="N194" s="420"/>
      <c r="O194" s="420"/>
      <c r="P194" s="420"/>
      <c r="Q194" s="672"/>
      <c r="R194" s="672"/>
      <c r="S194" s="420" t="s">
        <v>420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376</v>
      </c>
      <c r="D195" s="944">
        <f t="shared" ref="D195:F195" si="829">IF($B193="","",SUM(D193:D194))</f>
        <v>7</v>
      </c>
      <c r="E195" s="944">
        <f t="shared" si="829"/>
        <v>2</v>
      </c>
      <c r="F195" s="944">
        <f t="shared" si="829"/>
        <v>7</v>
      </c>
      <c r="G195" s="933">
        <f t="shared" ref="G195:L195" si="830">IF($B193="","",SUM(G193,G194))</f>
        <v>0</v>
      </c>
      <c r="H195" s="933">
        <f t="shared" si="830"/>
        <v>2</v>
      </c>
      <c r="I195" s="945">
        <f t="shared" si="830"/>
        <v>7</v>
      </c>
      <c r="J195" s="933">
        <f t="shared" si="830"/>
        <v>2</v>
      </c>
      <c r="K195" s="933">
        <f t="shared" si="830"/>
        <v>0</v>
      </c>
      <c r="L195" s="933">
        <f t="shared" si="830"/>
        <v>0</v>
      </c>
      <c r="M195" s="944">
        <f>IF($B193="","",SUM(M193:M194))</f>
        <v>2</v>
      </c>
      <c r="N195" s="420"/>
      <c r="O195" s="420"/>
      <c r="P195" s="420"/>
      <c r="Q195" s="672"/>
      <c r="R195" s="672"/>
      <c r="S195" s="944" t="s">
        <v>376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50</v>
      </c>
      <c r="C196" s="420" t="s">
        <v>419</v>
      </c>
      <c r="D196" s="420">
        <f>IF(OR($E196="",$E196=0),"",SUMPRODUCT(--($C$3:$C$78=$B196),D$3:D$78))</f>
        <v>41</v>
      </c>
      <c r="E196" s="420">
        <f>IF($B196="","",SUMPRODUCT(--(C$3:C$78=$B196)))</f>
        <v>9</v>
      </c>
      <c r="F196" s="420">
        <f>IF(OR($E196="",$E196=0),"",SUMIF($C$3:$C$62,$B196,F$3:F$62))</f>
        <v>36</v>
      </c>
      <c r="G196" s="931">
        <f t="shared" ref="G196:M196" si="832">IF(OR($E196="",$E196=0),"",SUMPRODUCT(--($C$3:$C$78=$B196),G$3:G$78))</f>
        <v>0</v>
      </c>
      <c r="H196" s="931">
        <f t="shared" si="832"/>
        <v>6</v>
      </c>
      <c r="I196" s="929">
        <f t="shared" si="832"/>
        <v>41</v>
      </c>
      <c r="J196" s="931">
        <f t="shared" si="832"/>
        <v>5</v>
      </c>
      <c r="K196" s="931">
        <f t="shared" si="832"/>
        <v>0</v>
      </c>
      <c r="L196" s="931">
        <f t="shared" si="832"/>
        <v>0</v>
      </c>
      <c r="M196" s="420">
        <f t="shared" si="832"/>
        <v>14</v>
      </c>
      <c r="N196" s="420"/>
      <c r="O196" s="420"/>
      <c r="P196" s="420"/>
      <c r="Q196" s="672">
        <f>Q193+1</f>
        <v>9</v>
      </c>
      <c r="R196" s="943" t="str">
        <f>IF(IGRF!I22="","",IGRF!I22)</f>
        <v>37</v>
      </c>
      <c r="S196" s="420" t="s">
        <v>419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420</v>
      </c>
      <c r="D197" s="420">
        <f>IF(OR($E197="",$E197=0),"",SUMPRODUCT(--($C$88:$C$163=$B196),D$88:D$163))</f>
        <v>36</v>
      </c>
      <c r="E197" s="420">
        <f>IF($B196="","",SUMPRODUCT(--(C$88:C$163=$B196)))</f>
        <v>8</v>
      </c>
      <c r="F197" s="420">
        <f>IF(OR($E197="",$E197=0),"",SUMIF($C$88:$C$147,$B196,F$88:F$147))</f>
        <v>28</v>
      </c>
      <c r="G197" s="931">
        <f t="shared" ref="G197:M197" si="834">IF(OR($E197="",$E197=0),"",SUMPRODUCT(--($C$88:$C$163=$B196),G$88:G$163))</f>
        <v>0</v>
      </c>
      <c r="H197" s="931">
        <f t="shared" si="834"/>
        <v>7</v>
      </c>
      <c r="I197" s="929">
        <f t="shared" si="834"/>
        <v>27</v>
      </c>
      <c r="J197" s="931">
        <f t="shared" si="834"/>
        <v>7</v>
      </c>
      <c r="K197" s="931">
        <f t="shared" si="834"/>
        <v>0</v>
      </c>
      <c r="L197" s="931">
        <f t="shared" si="834"/>
        <v>0</v>
      </c>
      <c r="M197" s="420">
        <f t="shared" si="834"/>
        <v>13</v>
      </c>
      <c r="N197" s="420"/>
      <c r="O197" s="420"/>
      <c r="P197" s="420"/>
      <c r="Q197" s="672"/>
      <c r="R197" s="672"/>
      <c r="S197" s="420" t="s">
        <v>420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376</v>
      </c>
      <c r="D198" s="944">
        <f t="shared" ref="D198:F198" si="836">IF($B196="","",SUM(D196:D197))</f>
        <v>77</v>
      </c>
      <c r="E198" s="944">
        <f t="shared" si="836"/>
        <v>17</v>
      </c>
      <c r="F198" s="944">
        <f t="shared" si="836"/>
        <v>64</v>
      </c>
      <c r="G198" s="933">
        <f t="shared" ref="G198:L198" si="837">IF($B196="","",SUM(G196,G197))</f>
        <v>0</v>
      </c>
      <c r="H198" s="933">
        <f t="shared" si="837"/>
        <v>13</v>
      </c>
      <c r="I198" s="945">
        <f t="shared" si="837"/>
        <v>68</v>
      </c>
      <c r="J198" s="933">
        <f t="shared" si="837"/>
        <v>12</v>
      </c>
      <c r="K198" s="933">
        <f t="shared" si="837"/>
        <v>0</v>
      </c>
      <c r="L198" s="933">
        <f t="shared" si="837"/>
        <v>0</v>
      </c>
      <c r="M198" s="944">
        <f>IF($B196="","",SUM(M196:M197))</f>
        <v>27</v>
      </c>
      <c r="N198" s="420"/>
      <c r="O198" s="420"/>
      <c r="P198" s="420"/>
      <c r="Q198" s="672"/>
      <c r="R198" s="672"/>
      <c r="S198" s="944" t="s">
        <v>376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505</v>
      </c>
      <c r="C199" s="420" t="s">
        <v>419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39</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420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8000</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48</v>
      </c>
      <c r="S202" s="420" t="s">
        <v>419</v>
      </c>
      <c r="T202" s="420">
        <f>IF(OR($U202="",$U202=0),"",SUMPRODUCT(--($S$3:$S$78=$R202),T$3:T$78))</f>
        <v>0</v>
      </c>
      <c r="U202" s="420">
        <f>IF($R202="","",SUMPRODUCT(--(S$3:S$78=$R202)))</f>
        <v>1</v>
      </c>
      <c r="V202" s="420">
        <f t="shared" ref="V202:AC202" si="847">IF(OR($U202="",$U202=0),"",SUMPRODUCT(--($S$3:$S$78=$R202),V$3:V$78))</f>
        <v>-12</v>
      </c>
      <c r="W202" s="931">
        <f t="shared" si="847"/>
        <v>0</v>
      </c>
      <c r="X202" s="931">
        <f t="shared" si="847"/>
        <v>0</v>
      </c>
      <c r="Y202" s="929">
        <f t="shared" si="847"/>
        <v>0</v>
      </c>
      <c r="Z202" s="931">
        <f t="shared" si="847"/>
        <v>0</v>
      </c>
      <c r="AA202" s="931">
        <f t="shared" si="847"/>
        <v>0</v>
      </c>
      <c r="AB202" s="931">
        <f t="shared" si="847"/>
        <v>0</v>
      </c>
      <c r="AC202" s="420">
        <f t="shared" si="847"/>
        <v>1</v>
      </c>
      <c r="AD202" s="420"/>
      <c r="AE202" s="420"/>
    </row>
    <row r="203" ht="13.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376</v>
      </c>
      <c r="T204" s="944">
        <f>IF($R202="","",SUM(T202:T203))</f>
        <v>0</v>
      </c>
      <c r="U204" s="944">
        <f t="shared" ref="U204:AC204" si="852">IF($R202="","",SUM(U202,U203))</f>
        <v>1</v>
      </c>
      <c r="V204" s="944">
        <f t="shared" si="852"/>
        <v>-12</v>
      </c>
      <c r="W204" s="933">
        <f t="shared" si="852"/>
        <v>0</v>
      </c>
      <c r="X204" s="933">
        <f t="shared" si="852"/>
        <v>0</v>
      </c>
      <c r="Y204" s="945">
        <f t="shared" si="852"/>
        <v>0</v>
      </c>
      <c r="Z204" s="933">
        <f t="shared" si="852"/>
        <v>0</v>
      </c>
      <c r="AA204" s="933">
        <f t="shared" si="852"/>
        <v>0</v>
      </c>
      <c r="AB204" s="933">
        <f t="shared" si="852"/>
        <v>0</v>
      </c>
      <c r="AC204" s="944">
        <f t="shared" si="852"/>
        <v>1</v>
      </c>
      <c r="AD204" s="420"/>
      <c r="AE204" s="420"/>
    </row>
    <row r="205" ht="13.5" customHeight="1">
      <c r="A205" s="672">
        <f>A202+1</f>
        <v>12</v>
      </c>
      <c r="B205" s="943" t="str">
        <f>IF(IGRF!B25="","",IGRF!B25)</f>
        <v>90</v>
      </c>
      <c r="C205" s="420" t="s">
        <v>419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700</v>
      </c>
      <c r="S205" s="420" t="s">
        <v>419</v>
      </c>
      <c r="T205" s="420">
        <f>IF(OR($U205="",$U205=0),"",SUMPRODUCT(--($S$3:$S$78=$R205),T$3:T$78))</f>
        <v>2</v>
      </c>
      <c r="U205" s="420">
        <f>IF($R205="","",SUMPRODUCT(--(S$3:S$78=$R205)))</f>
        <v>5</v>
      </c>
      <c r="V205" s="420">
        <f t="shared" ref="V205:AC205" si="854">IF(OR($U205="",$U205=0),"",SUMPRODUCT(--($S$3:$S$78=$R205),V$3:V$78))</f>
        <v>-11</v>
      </c>
      <c r="W205" s="931">
        <f t="shared" si="854"/>
        <v>0</v>
      </c>
      <c r="X205" s="931">
        <f t="shared" si="854"/>
        <v>1</v>
      </c>
      <c r="Y205" s="929">
        <f t="shared" si="854"/>
        <v>2</v>
      </c>
      <c r="Z205" s="931">
        <f t="shared" si="854"/>
        <v>1</v>
      </c>
      <c r="AA205" s="931">
        <f t="shared" si="854"/>
        <v>0</v>
      </c>
      <c r="AB205" s="931">
        <f t="shared" si="854"/>
        <v>0</v>
      </c>
      <c r="AC205" s="420">
        <f t="shared" si="854"/>
        <v>5</v>
      </c>
      <c r="AD205" s="420"/>
      <c r="AE205" s="420"/>
    </row>
    <row r="206" ht="13.5" customHeight="1">
      <c r="A206" s="672"/>
      <c r="B206" s="943"/>
      <c r="C206" s="420" t="s">
        <v>420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420</v>
      </c>
      <c r="T206" s="420">
        <f>IF(OR($U206="",$U206=0),"",SUMPRODUCT(--($S$88:$S$163=$R205),T$88:T$163))</f>
        <v>15</v>
      </c>
      <c r="U206" s="420">
        <f>IF($R205="","",SUMPRODUCT(--(S$88:S$163=$R205)))</f>
        <v>6</v>
      </c>
      <c r="V206" s="420">
        <f t="shared" ref="V206:AC206" si="856">IF(OR($U206="",$U206=0),"",SUMPRODUCT(--($S$88:$S$163=$R205),V$88:V$163))</f>
        <v>-10</v>
      </c>
      <c r="W206" s="931">
        <f t="shared" si="856"/>
        <v>0</v>
      </c>
      <c r="X206" s="931">
        <f t="shared" si="856"/>
        <v>1</v>
      </c>
      <c r="Y206" s="929">
        <f t="shared" si="856"/>
        <v>7</v>
      </c>
      <c r="Z206" s="931">
        <f t="shared" si="856"/>
        <v>0</v>
      </c>
      <c r="AA206" s="931">
        <f t="shared" si="856"/>
        <v>0</v>
      </c>
      <c r="AB206" s="931">
        <f t="shared" si="856"/>
        <v>0</v>
      </c>
      <c r="AC206" s="420">
        <f t="shared" si="856"/>
        <v>8</v>
      </c>
      <c r="AD206" s="420"/>
      <c r="AE206" s="420"/>
    </row>
    <row r="207" ht="13.5" customHeight="1">
      <c r="A207" s="672"/>
      <c r="B207" s="943"/>
      <c r="C207" s="944" t="s">
        <v>376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376</v>
      </c>
      <c r="T207" s="944">
        <f>IF($R205="","",SUM(T205:T206))</f>
        <v>17</v>
      </c>
      <c r="U207" s="944">
        <f t="shared" ref="U207:AC207" si="859">IF($R205="","",SUM(U205,U206))</f>
        <v>11</v>
      </c>
      <c r="V207" s="944">
        <f t="shared" si="859"/>
        <v>-21</v>
      </c>
      <c r="W207" s="933">
        <f t="shared" si="859"/>
        <v>0</v>
      </c>
      <c r="X207" s="933">
        <f t="shared" si="859"/>
        <v>2</v>
      </c>
      <c r="Y207" s="945">
        <f t="shared" si="859"/>
        <v>9</v>
      </c>
      <c r="Z207" s="933">
        <f t="shared" si="859"/>
        <v>1</v>
      </c>
      <c r="AA207" s="933">
        <f t="shared" si="859"/>
        <v>0</v>
      </c>
      <c r="AB207" s="933">
        <f t="shared" si="859"/>
        <v>0</v>
      </c>
      <c r="AC207" s="944">
        <f t="shared" si="859"/>
        <v>13</v>
      </c>
      <c r="AD207" s="420"/>
      <c r="AE207" s="420"/>
    </row>
    <row r="208" ht="13.5" customHeight="1">
      <c r="A208" s="672">
        <f>A205+1</f>
        <v>13</v>
      </c>
      <c r="B208" s="943" t="str">
        <f>IF(IGRF!B26="","",IGRF!B26)</f>
        <v>919</v>
      </c>
      <c r="C208" s="420" t="s">
        <v>419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71</v>
      </c>
      <c r="S208" s="420" t="s">
        <v>419</v>
      </c>
      <c r="T208" s="420">
        <f>IF(OR($U208="",$U208=0),"",SUMPRODUCT(--($S$3:$S$78=$R208),T$3:T$78))</f>
        <v>0</v>
      </c>
      <c r="U208" s="420">
        <f>IF($R208="","",SUMPRODUCT(--(S$3:S$78=$R208)))</f>
        <v>2</v>
      </c>
      <c r="V208" s="420">
        <f t="shared" ref="V208:AC208" si="861">IF(OR($U208="",$U208=0),"",SUMPRODUCT(--($S$3:$S$78=$R208),V$3:V$78))</f>
        <v>-31</v>
      </c>
      <c r="W208" s="931">
        <f t="shared" si="861"/>
        <v>0</v>
      </c>
      <c r="X208" s="931">
        <f t="shared" si="861"/>
        <v>0</v>
      </c>
      <c r="Y208" s="929">
        <f t="shared" si="861"/>
        <v>0</v>
      </c>
      <c r="Z208" s="931">
        <f t="shared" si="861"/>
        <v>0</v>
      </c>
      <c r="AA208" s="931">
        <f t="shared" si="861"/>
        <v>0</v>
      </c>
      <c r="AB208" s="931">
        <f t="shared" si="861"/>
        <v>2</v>
      </c>
      <c r="AC208" s="420">
        <f t="shared" si="861"/>
        <v>0</v>
      </c>
      <c r="AD208" s="420"/>
      <c r="AE208" s="420"/>
    </row>
    <row r="209" ht="13.5" customHeight="1">
      <c r="A209" s="672"/>
      <c r="B209" s="943"/>
      <c r="C209" s="420" t="s">
        <v>420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376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376</v>
      </c>
      <c r="T210" s="944">
        <f>IF($R208="","",SUM(T208:T209))</f>
        <v>0</v>
      </c>
      <c r="U210" s="944">
        <f t="shared" ref="U210:AC210" si="866">IF($R208="","",SUM(U208,U209))</f>
        <v>2</v>
      </c>
      <c r="V210" s="944">
        <f t="shared" si="866"/>
        <v>-31</v>
      </c>
      <c r="W210" s="933">
        <f t="shared" si="866"/>
        <v>0</v>
      </c>
      <c r="X210" s="933">
        <f t="shared" si="866"/>
        <v>0</v>
      </c>
      <c r="Y210" s="945">
        <f t="shared" si="866"/>
        <v>0</v>
      </c>
      <c r="Z210" s="933">
        <f t="shared" si="866"/>
        <v>0</v>
      </c>
      <c r="AA210" s="933">
        <f t="shared" si="866"/>
        <v>0</v>
      </c>
      <c r="AB210" s="933">
        <f t="shared" si="866"/>
        <v>2</v>
      </c>
      <c r="AC210" s="944">
        <f t="shared" si="866"/>
        <v>0</v>
      </c>
      <c r="AD210" s="420"/>
      <c r="AE210" s="420"/>
    </row>
    <row r="211" ht="13.5" customHeight="1">
      <c r="A211" s="672">
        <f>A208+1</f>
        <v>14</v>
      </c>
      <c r="B211" s="943" t="str">
        <f>IF(IGRF!B27="","",IGRF!B27)</f>
        <v>949</v>
      </c>
      <c r="C211" s="420" t="s">
        <v>419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79</v>
      </c>
      <c r="S211" s="420" t="s">
        <v>419</v>
      </c>
      <c r="T211" s="420">
        <f>IF(OR($U211="",$U211=0),"",SUMPRODUCT(--($S$3:$S$78=$R211),T$3:T$78))</f>
        <v>14</v>
      </c>
      <c r="U211" s="420">
        <f>IF($R211="","",SUMPRODUCT(--(S$3:S$78=$R211)))</f>
        <v>5</v>
      </c>
      <c r="V211" s="420">
        <f t="shared" ref="V211:AC211" si="868">IF(OR($U211="",$U211=0),"",SUMPRODUCT(--($S$3:$S$78=$R211),V$3:V$78))</f>
        <v>-4</v>
      </c>
      <c r="W211" s="931">
        <f t="shared" si="868"/>
        <v>1</v>
      </c>
      <c r="X211" s="931">
        <f t="shared" si="868"/>
        <v>3</v>
      </c>
      <c r="Y211" s="929">
        <f t="shared" si="868"/>
        <v>6</v>
      </c>
      <c r="Z211" s="931">
        <f t="shared" si="868"/>
        <v>2</v>
      </c>
      <c r="AA211" s="931">
        <f t="shared" si="868"/>
        <v>0</v>
      </c>
      <c r="AB211" s="931">
        <f t="shared" si="868"/>
        <v>1</v>
      </c>
      <c r="AC211" s="420">
        <f t="shared" si="868"/>
        <v>6</v>
      </c>
      <c r="AD211" s="420"/>
      <c r="AE211" s="420"/>
    </row>
    <row r="212" ht="13.5" customHeight="1">
      <c r="A212" s="672"/>
      <c r="B212" s="943"/>
      <c r="C212" s="420" t="s">
        <v>420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420</v>
      </c>
      <c r="T212" s="420">
        <f>IF(OR($U212="",$U212=0),"",SUMPRODUCT(--($S$88:$S$163=$R211),T$88:T$163))</f>
        <v>7</v>
      </c>
      <c r="U212" s="420">
        <f>IF($R211="","",SUMPRODUCT(--(S$88:S$163=$R211)))</f>
        <v>5</v>
      </c>
      <c r="V212" s="420">
        <f t="shared" ref="V212:AC212" si="870">IF(OR($U212="",$U212=0),"",SUMPRODUCT(--($S$88:$S$163=$R211),V$88:V$163))</f>
        <v>-15</v>
      </c>
      <c r="W212" s="931">
        <f t="shared" si="870"/>
        <v>0</v>
      </c>
      <c r="X212" s="931">
        <f t="shared" si="870"/>
        <v>1</v>
      </c>
      <c r="Y212" s="929">
        <f t="shared" si="870"/>
        <v>-4</v>
      </c>
      <c r="Z212" s="931">
        <f t="shared" si="870"/>
        <v>1</v>
      </c>
      <c r="AA212" s="931">
        <f t="shared" si="870"/>
        <v>0</v>
      </c>
      <c r="AB212" s="931">
        <f t="shared" si="870"/>
        <v>0</v>
      </c>
      <c r="AC212" s="420">
        <f t="shared" si="870"/>
        <v>5</v>
      </c>
      <c r="AD212" s="420"/>
      <c r="AE212" s="420"/>
    </row>
    <row r="213" ht="13.5" customHeight="1">
      <c r="A213" s="672"/>
      <c r="B213" s="943"/>
      <c r="C213" s="944" t="s">
        <v>376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376</v>
      </c>
      <c r="T213" s="944">
        <f>IF($R211="","",SUM(T211:T212))</f>
        <v>21</v>
      </c>
      <c r="U213" s="944">
        <f t="shared" ref="U213:AC213" si="873">IF($R211="","",SUM(U211,U212))</f>
        <v>10</v>
      </c>
      <c r="V213" s="944">
        <f t="shared" si="873"/>
        <v>-19</v>
      </c>
      <c r="W213" s="933">
        <f t="shared" si="873"/>
        <v>1</v>
      </c>
      <c r="X213" s="933">
        <f t="shared" si="873"/>
        <v>4</v>
      </c>
      <c r="Y213" s="945">
        <f t="shared" si="873"/>
        <v>2</v>
      </c>
      <c r="Z213" s="933">
        <f t="shared" si="873"/>
        <v>3</v>
      </c>
      <c r="AA213" s="933">
        <f t="shared" si="873"/>
        <v>0</v>
      </c>
      <c r="AB213" s="933">
        <f t="shared" si="873"/>
        <v>1</v>
      </c>
      <c r="AC213" s="944">
        <f t="shared" si="873"/>
        <v>11</v>
      </c>
      <c r="AD213" s="420"/>
      <c r="AE213" s="420"/>
    </row>
    <row r="214" ht="13.5" customHeight="1">
      <c r="A214" s="672">
        <f>A211+1</f>
        <v>15</v>
      </c>
      <c r="B214" s="943" t="str">
        <f>IF(IGRF!B28="","",IGRF!B28)</f>
        <v>99</v>
      </c>
      <c r="C214" s="420" t="s">
        <v>419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89</v>
      </c>
      <c r="S214" s="420" t="s">
        <v>419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420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3.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3.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3.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