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OtaNNEAQ5pskzhj+RJIQWqcZcenUPAtEQ2ag6nbPo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ID#AAABBBOL6HA
Anon    (2023-12-13 00:26:55)
Total penalties must include any Non-Skater Expulsions, too.</t>
      </text>
    </comment>
    <comment authorId="0" ref="K36">
      <text>
        <t xml:space="preserve">======
ID#AAABBBOL6GI
Anon    (2023-12-13 00:26:55)
Total penalties must include any Non-Skater Expulsions, too.</t>
      </text>
    </comment>
    <comment authorId="0" ref="B7">
      <text>
        <t xml:space="preserve">======
ID#AAABBBOL6F8
Hint    (2023-12-13 00:26:55)
Enter date here in yyyy-mm-dd format, and it will be displayed on all pages.</t>
      </text>
    </comment>
    <comment authorId="0" ref="K59">
      <text>
        <t xml:space="preserve">======
ID#AAABBBHzDv0
G Hanek    (2023-12-13 00:26:55)
Leave blank if Official is not certified.</t>
      </text>
    </comment>
    <comment authorId="0" ref="L3">
      <text>
        <t xml:space="preserve">======
ID#AAABBBHzDvA
Hint    (2023-12-13 00:26:55)
Use this for doubleheaders or multi-game events. It will print on other sheets. 
Does not have to be entered as "A" or "B"; alphanumeric and multiple characters are honored.</t>
      </text>
    </comment>
    <comment authorId="0" ref="D39">
      <text>
        <t xml:space="preserve">======
ID#AAABBBHzDus
G Hanek    (2023-12-13 00:26:55)
Enter "yes" if an adjustment was made to the Official Score of this game.</t>
      </text>
    </comment>
    <comment authorId="0" ref="B14">
      <text>
        <t xml:space="preserve">======
ID#AAABBBCdPPo
Hint    (2023-12-13 00:26:54)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ID#AAABBBCdPPY
For use in Sanctioned games only    (2023-12-13 00:26:54)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ID#AAABBBCdPPM
G Hanek    (2023-12-13 00:26:54)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vgXhStcTEdRdaelV99ETTkSc04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ID#AAABBBOL6Gs
Hint    (2023-12-13 00:26:55)
Mark with an "X" if jam ended for injury to anyone.</t>
      </text>
    </comment>
    <comment authorId="0" ref="C4">
      <text>
        <t xml:space="preserve">======
ID#AAABBBOL6Gk
Hint    (2023-12-13 00:26:55)
Mark with an "X" if jammer lost eligibility for lead jammer, first pass or afterward.</t>
      </text>
    </comment>
    <comment authorId="0" ref="A4">
      <text>
        <t xml:space="preserve">======
ID#AAABBBOL6GM
Hint    (2023-12-13 00:26:55)
Write in jam number as you go, and make sure to add SP or SP* for star pass lines.</t>
      </text>
    </comment>
    <comment authorId="0" ref="E4">
      <text>
        <t xml:space="preserve">======
ID#AAABBBHzDvs
Hint    (2023-12-13 00:26:55)
Mark with "X" if when the listed jammer successfully calls off the jam before jam time runs out, legal call off or not.</t>
      </text>
    </comment>
    <comment authorId="0" ref="B4">
      <text>
        <t xml:space="preserve">======
ID#AAABBBHzDvg
Hint    (2023-12-13 00:26:55)
Skater roster NUMBER, not name.</t>
      </text>
    </comment>
    <comment authorId="0" ref="D4">
      <text>
        <t xml:space="preserve">======
ID#AAABBBHzDu4
Hint    (2023-12-13 00:26:55)
Use "X" rather than 1. If the jammer isn't Lead, leave blank..</t>
      </text>
    </comment>
    <comment authorId="0" ref="G4">
      <text>
        <t xml:space="preserve">======
ID#AAABBBCdPPQ
Hint    (2023-12-13 00:26:54)
Mark with an "X" if jammer never completed initial pass.</t>
      </text>
    </comment>
  </commentList>
  <extLst>
    <ext uri="GoogleSheetsCustomDataVersion2">
      <go:sheetsCustomData xmlns:go="http://customooxmlschemas.google.com/" r:id="rId1" roundtripDataSignature="AMtx7mjC0jtNkcCpNUajkxgKkWD11gZoD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ID#AAABBBOL6Gw
Katie    (2023-12-13 00:26:55)
This column exists to allow blocker/pivot +/- data to be calculated</t>
      </text>
    </comment>
    <comment authorId="0" ref="A4">
      <text>
        <t xml:space="preserve">======
ID#AAABBBOL6F0
Tip    (2023-12-13 00:26:55)
Write in jam number as you go. For Star Passes,  write SP on next line and rewrite the lineup with Jammer and Pivot swapped.</t>
      </text>
    </comment>
    <comment authorId="0" ref="B4">
      <text>
        <t xml:space="preserve">======
ID#AAABBBCdPPs
Katie    (2023-12-13 00:26:54)
Put an "X" in this box if the team did not field a pivot for this jam.</t>
      </text>
    </comment>
    <comment authorId="0" ref="AW4">
      <text>
        <t xml:space="preserve">======
ID#AAABBBCdPPI
Katie    (2023-12-13 00:26:54)
This column exists to allow blocker/pivot +/- data to be calculated</t>
      </text>
    </comment>
    <comment authorId="0" ref="C4">
      <text>
        <t xml:space="preserve">======
ID#AAABBBCdPPE
Katie    (2023-12-13 00:26:54)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kyt8s4Z6VQ9QZAaRg2Novgu+aF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ID#AAABBBOL6Go
Tip    (2023-12-13 00:26:55)
Write in jam number as you go. For Star Passes,  write SP on next line and rewrite the lineup with Jammer and Pivot swapped.</t>
      </text>
    </comment>
    <comment authorId="0" ref="AJ4">
      <text>
        <t xml:space="preserve">======
ID#AAABBBOL6GQ
Tip    (2023-12-13 00:26:55)
Write in jam number as you go. For Star Passes,  write SP on next line and rewrite the lineup with Jammer and Pivot swapped.</t>
      </text>
    </comment>
    <comment authorId="0" ref="AL48">
      <text>
        <t xml:space="preserve">======
ID#AAABBBOL6GE
Katie    (2023-12-13 00:26:55)
Jammer numbers arrive here from the Score sheet. Make any corrections on the Score sheet, not here. 
Always double check your jams played on the "Game Summary" page when done.</t>
      </text>
    </comment>
    <comment authorId="0" ref="C4">
      <text>
        <t xml:space="preserve">======
ID#AAABBBHzDv4
Katie    (2023-12-13 00:26:55)
Jammer numbers arrive here from the Score sheet. Make any corrections on the Score sheet, not here. 
Always double check your jams played on the "Game Summary" page when done.</t>
      </text>
    </comment>
    <comment authorId="0" ref="A48">
      <text>
        <t xml:space="preserve">======
ID#AAABBBHzDv8
Tip    (2023-12-13 00:26:55)
Write in jam number as you go. For Star Passes,  write SP on next line and rewrite the lineup with Jammer and Pivot swapped.</t>
      </text>
    </comment>
    <comment authorId="0" ref="B48">
      <text>
        <t xml:space="preserve">======
ID#AAABBBHzDvo
Katie    (2023-12-13 00:26:55)
Put an "X" in this box if the team did not field a pivot for this jam.</t>
      </text>
    </comment>
    <comment authorId="0" ref="AL4">
      <text>
        <t xml:space="preserve">======
ID#AAABBBHzDvY
Katie    (2023-12-13 00:26:55)
Jammer numbers arrive here from the Score sheet. Make any corrections on the Score sheet, not here. 
Always double check your jams played on the "Game Summary" page when done.</t>
      </text>
    </comment>
    <comment authorId="0" ref="C48">
      <text>
        <t xml:space="preserve">======
ID#AAABBBHzDvM
Katie    (2023-12-13 00:26:55)
Jammer numbers arrive here from the Score sheet. Make any corrections on the Score sheet, not here. 
Always double check your jams played on the "Game Summary" page when done.</t>
      </text>
    </comment>
    <comment authorId="0" ref="AK4">
      <text>
        <t xml:space="preserve">======
ID#AAABBBHzDvE
Katie    (2023-12-13 00:26:55)
Put an "X" in this box if the team did not field a pivot for this jam.</t>
      </text>
    </comment>
    <comment authorId="0" ref="AK48">
      <text>
        <t xml:space="preserve">======
ID#AAABBBHzDu8
Katie    (2023-12-13 00:26:55)
Put an "X" in this box if the team did not field a pivot for this jam.</t>
      </text>
    </comment>
    <comment authorId="0" ref="B4">
      <text>
        <t xml:space="preserve">======
ID#AAABBBCdPPw
Katie    (2023-12-13 00:26:54)
Put an "X" in this box if the team did not field a pivot for this jam.</t>
      </text>
    </comment>
    <comment authorId="0" ref="A4">
      <text>
        <t xml:space="preserve">======
ID#AAABBBCdPPc
Tip    (2023-12-13 00:26:54)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1oQhv6RZzGdh/9fH6bxaHq3ljag=="/>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ID#AAABBBOL6G8
G Hanek    (2023-12-13 00:26:55)
How the team did defensively (lower being better) while this skater was playing.</t>
      </text>
    </comment>
    <comment authorId="0" ref="AJ27">
      <text>
        <t xml:space="preserve">======
ID#AAABBBOL6G4
Hint    (2023-12-13 00:26:55)
Performance in comparison to own team's other blockers and pivots.</t>
      </text>
    </comment>
    <comment authorId="0" ref="AG27">
      <text>
        <t xml:space="preserve">======
ID#AAABBBOL6G0
Hint    (2023-12-13 00:26:55)
Performance in comparison to own team's other jammers</t>
      </text>
    </comment>
    <comment authorId="0" ref="AD5">
      <text>
        <t xml:space="preserve">======
ID#AAABBBOL6Gg
G Hanek    (2023-12-13 00:26:55)
How the team did offensively (higher being better)while this skater was playing.</t>
      </text>
    </comment>
    <comment authorId="0" ref="AJ5">
      <text>
        <t xml:space="preserve">======
ID#AAABBBOL6Gc
Hint    (2023-12-13 00:26:55)
Performance in comparison to own team's other blockers and pivots.</t>
      </text>
    </comment>
    <comment authorId="0" ref="AG5">
      <text>
        <t xml:space="preserve">======
ID#AAABBBOL6GY
Hint    (2023-12-13 00:26:55)
Performance in comparison to own team's other jammers</t>
      </text>
    </comment>
    <comment authorId="0" ref="AI27">
      <text>
        <t xml:space="preserve">======
ID#AAABBBOL6F4
Hint    (2023-12-13 00:26:55)
Performance in comparison to own team's other blockers.</t>
      </text>
    </comment>
    <comment authorId="0" ref="AD4">
      <text>
        <t xml:space="preserve">======
ID#AAABBBHzDvw
    (2023-12-13 00:26:55)
VTAR: "Versus Team Average Rating"
Skater's stats as compared to their team's average in that category.
Team's average is the average of each skater's average.</t>
      </text>
    </comment>
    <comment authorId="0" ref="AK5">
      <text>
        <t xml:space="preserve">======
ID#AAABBBHzDvk
G Hanek    (2023-12-13 00:26:55)
Average number of VTAR points scored for (+ number) or against (- number) the team when this skater was playing.</t>
      </text>
    </comment>
    <comment authorId="0" ref="AK27">
      <text>
        <t xml:space="preserve">======
ID#AAABBBHzDvU
G Hanek    (2023-12-13 00:26:55)
Average number of VTAR points scored for (+ number) or against (- number) the team when this skater was playing.</t>
      </text>
    </comment>
    <comment authorId="0" ref="AE5">
      <text>
        <t xml:space="preserve">======
ID#AAABBBHzDuw
G Hanek    (2023-12-13 00:26:55)
How the team did defensively (lower being better) while this skater was playing.</t>
      </text>
    </comment>
    <comment authorId="0" ref="AF5">
      <text>
        <t xml:space="preserve">======
ID#AAABBBHzDu0
G Hanek    (2023-12-13 00:26:55)
Total number of VTAR points scored for (+ number) or against (- number) the team when this skater was playing.
May vary wildly due to power jams.</t>
      </text>
    </comment>
    <comment authorId="0" ref="AH5">
      <text>
        <t xml:space="preserve">======
ID#AAABBBHzDuc
Hint    (2023-12-13 00:26:55)
Performance in comparison to own team's other pivots.</t>
      </text>
    </comment>
    <comment authorId="0" ref="AI5">
      <text>
        <t xml:space="preserve">======
ID#AAABBBCdPP8
Hint    (2023-12-13 00:26:55)
Performance in comparison to own team's other blockers.</t>
      </text>
    </comment>
    <comment authorId="0" ref="AF27">
      <text>
        <t xml:space="preserve">======
ID#AAABBBCdPPk
G Hanek    (2023-12-13 00:26:54)
Total number of VTAR points scored for (+ number) or against (- number) the team when this skater was playing.</t>
      </text>
    </comment>
    <comment authorId="0" ref="AH27">
      <text>
        <t xml:space="preserve">======
ID#AAABBBCdPPg
Hint    (2023-12-13 00:26:54)
Performance in comparison to own team's other pivots.</t>
      </text>
    </comment>
    <comment authorId="0" ref="AD27">
      <text>
        <t xml:space="preserve">======
ID#AAABBBCdPPU
G Hanek    (2023-12-13 00:26:54)
How the team did offensively (higher being better)while this skater was playing.</t>
      </text>
    </comment>
  </commentList>
  <extLst>
    <ext uri="GoogleSheetsCustomDataVersion2">
      <go:sheetsCustomData xmlns:go="http://customooxmlschemas.google.com/" r:id="rId1" roundtripDataSignature="AMtx7mgFUk6eODvFDjB+lSlvQuBsZNYxZ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ID#AAABBBOL6GU
Hint    (2023-12-13 00:26:55)
Smaller is better</t>
      </text>
    </comment>
    <comment authorId="0" ref="V27">
      <text>
        <t xml:space="preserve">======
ID#AAABBBOL6GA
Anon    (2023-12-13 00:26:55)
This total includes bench staff expulsions.</t>
      </text>
    </comment>
    <comment authorId="0" ref="V25">
      <text>
        <t xml:space="preserve">======
ID#AAABBBHzDvQ
Anon    (2023-12-13 00:26:55)
This total includes bench staff expulsions.</t>
      </text>
    </comment>
    <comment authorId="0" ref="X3">
      <text>
        <t xml:space="preserve">======
ID#AAABBBCdPQA
Hint    (2023-12-13 00:26:55)
Smaller is better</t>
      </text>
    </comment>
    <comment authorId="0" ref="V54">
      <text>
        <t xml:space="preserve">======
ID#AAABBBCdPP0
Anon    (2023-12-13 00:26:54)
This total includes bench staff expulsions.</t>
      </text>
    </comment>
  </commentList>
  <extLst>
    <ext uri="GoogleSheetsCustomDataVersion2">
      <go:sheetsCustomData xmlns:go="http://customooxmlschemas.google.com/" r:id="rId1" roundtripDataSignature="AMtx7mivB+8eZ5AtuSzOcZhmfCoqVHIeA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ID#AAABBBHzDvc
G Hanek    (2023-12-13 00:26:55)
Enter a description of the reason for the offset change to the Official Score.</t>
      </text>
    </comment>
    <comment authorId="0" ref="J45">
      <text>
        <t xml:space="preserve">======
ID#AAABBBHzDvI
G Hanek    (2023-12-13 00:26:55)
Enter a description of the reason for the offset change to the Official Score.</t>
      </text>
    </comment>
    <comment authorId="0" ref="B45">
      <text>
        <t xml:space="preserve">======
ID#AAABBBHzDuo
G Hanek    (2023-12-13 00:26:55)
Enter an increment to the Official Score as a positive whole number (e.g., "2").
Subtractions should be entered as negative numbers (e.g., "-2"). Negative values will be displayed in parenthesis in red.</t>
      </text>
    </comment>
    <comment authorId="0" ref="I45">
      <text>
        <t xml:space="preserve">======
ID#AAABBBHzDuk
G Hanek    (2023-12-13 00:26:55)
Enter an increment to the Official Score as a positive whole number (e.g., "2").
Subtractions should be entered as negative numbers (e.g., "-2"). Negative values will be displayed in parenthesis in red.</t>
      </text>
    </comment>
    <comment authorId="0" ref="J3">
      <text>
        <t xml:space="preserve">======
ID#AAABBBHzDug
G Hanek    (2023-12-13 00:26:55)
Enter a description of the reason for the offset change to the Official Score.</t>
      </text>
    </comment>
    <comment authorId="0" ref="I3">
      <text>
        <t xml:space="preserve">======
ID#AAABBBCdPQE
G Hanek    (2023-12-13 00:26:55)
Enter an increment to the Official Score as a positive whole number (e.g., "2").
Subtractions should be entered as negative numbers (e.g., "-2"). Negative values will be displayed in parenthesis in red.</t>
      </text>
    </comment>
    <comment authorId="0" ref="C3">
      <text>
        <t xml:space="preserve">======
ID#AAABBBCdPP4
G Hanek    (2023-12-13 00:26:55)
Enter a description of the reason for the offset change to the Official Score.</t>
      </text>
    </comment>
    <comment authorId="0" ref="B3">
      <text>
        <t xml:space="preserve">======
ID#AAABBBCdPPA
G Hanek    (2023-12-13 00:26:54)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aIR9CdrA0NR5BV+/Zjnkg7Tg6tQ=="/>
    </ext>
  </extLst>
</comments>
</file>

<file path=xl/sharedStrings.xml><?xml version="1.0" encoding="utf-8"?>
<sst xmlns="http://schemas.openxmlformats.org/spreadsheetml/2006/main" count="2565" uniqueCount="675">
  <si>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</si>
  <si>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</si>
  <si>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</si>
  <si>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</si>
  <si>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</si>
  <si>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</si>
  <si>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</si>
  <si>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</si>
  <si>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</si>
  <si>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</si>
  <si>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</si>
  <si>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</si>
  <si>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</si>
  <si>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</si>
  <si>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</si>
  <si>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</si>
  <si>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</si>
  <si>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</si>
  <si>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</si>
  <si>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</si>
  <si>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</si>
  <si>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</si>
  <si>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</si>
  <si>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</si>
  <si>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</si>
  <si>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</si>
  <si>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</si>
  <si>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</si>
  <si>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03</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</si>
  <si>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</si>
  <si>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</si>
  <si>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</si>
  <si>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</si>
  <si>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</si>
  <si>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</si>
  <si>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</si>
  <si>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</si>
  <si>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</si>
  <si>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</si>
  <si>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</si>
  <si>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</si>
  <si>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</si>
  <si>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</si>
  <si>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</si>
  <si>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</si>
  <si>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</si>
  <si>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Elevated Roller Derby</t>
  </si>
  <si>
    <t>TEAM</t>
  </si>
  <si>
    <t>All Stars</t>
  </si>
  <si>
    <t>Elevated Roller Derby All Stars</t>
  </si>
  <si>
    <t>COLOR</t>
  </si>
  <si>
    <t>White</t>
  </si>
  <si>
    <t>Black</t>
  </si>
  <si>
    <t># of players</t>
  </si>
  <si>
    <t xml:space="preserve"> Skater #</t>
  </si>
  <si>
    <t xml:space="preserve"> Skater Name</t>
  </si>
  <si>
    <t>01</t>
  </si>
  <si>
    <t>Goldy Knocks</t>
  </si>
  <si>
    <t>10*</t>
  </si>
  <si>
    <t>BAMPF!</t>
  </si>
  <si>
    <t>024</t>
  </si>
  <si>
    <t>Cutty</t>
  </si>
  <si>
    <t>11</t>
  </si>
  <si>
    <t>Killer Queen</t>
  </si>
  <si>
    <t>10</t>
  </si>
  <si>
    <t>Frida</t>
  </si>
  <si>
    <t>120</t>
  </si>
  <si>
    <t>Nikki Nail 'er</t>
  </si>
  <si>
    <t>16*</t>
  </si>
  <si>
    <t>Just Monroe</t>
  </si>
  <si>
    <t>13</t>
  </si>
  <si>
    <t>Libido Loca</t>
  </si>
  <si>
    <t>22*</t>
  </si>
  <si>
    <t>Meche</t>
  </si>
  <si>
    <t>15</t>
  </si>
  <si>
    <t>Harley Darlin</t>
  </si>
  <si>
    <t>24</t>
  </si>
  <si>
    <t>Ima BlowBya</t>
  </si>
  <si>
    <t>21*</t>
  </si>
  <si>
    <t>Agatha KrisB</t>
  </si>
  <si>
    <t>264</t>
  </si>
  <si>
    <t>Velasco Sauce</t>
  </si>
  <si>
    <t>213</t>
  </si>
  <si>
    <t>IceBox</t>
  </si>
  <si>
    <t>27*</t>
  </si>
  <si>
    <t>Babethoven</t>
  </si>
  <si>
    <t>221</t>
  </si>
  <si>
    <t>Syann</t>
  </si>
  <si>
    <t>3</t>
  </si>
  <si>
    <t>Alexia</t>
  </si>
  <si>
    <t>28</t>
  </si>
  <si>
    <t>Hot Box</t>
  </si>
  <si>
    <t>31</t>
  </si>
  <si>
    <t>2x Force</t>
  </si>
  <si>
    <t>321</t>
  </si>
  <si>
    <t>Rockit</t>
  </si>
  <si>
    <t>313</t>
  </si>
  <si>
    <t>WestCoast MaFia</t>
  </si>
  <si>
    <t>329</t>
  </si>
  <si>
    <t>Triple Axel Rose</t>
  </si>
  <si>
    <t>3381</t>
  </si>
  <si>
    <t>Hella Naughty</t>
  </si>
  <si>
    <t>410</t>
  </si>
  <si>
    <t>Ricketts</t>
  </si>
  <si>
    <t>38</t>
  </si>
  <si>
    <t>Colette Razorcat</t>
  </si>
  <si>
    <t>47</t>
  </si>
  <si>
    <t>Author of Pain</t>
  </si>
  <si>
    <t>394</t>
  </si>
  <si>
    <t>Punkie Pie</t>
  </si>
  <si>
    <t>484*</t>
  </si>
  <si>
    <t>Gemineye</t>
  </si>
  <si>
    <t>4</t>
  </si>
  <si>
    <t>Sure, man</t>
  </si>
  <si>
    <t>505</t>
  </si>
  <si>
    <t>Swearin' Marie</t>
  </si>
  <si>
    <t>602*</t>
  </si>
  <si>
    <t>Feen-X</t>
  </si>
  <si>
    <t>75*</t>
  </si>
  <si>
    <t>TamTrum</t>
  </si>
  <si>
    <t>7</t>
  </si>
  <si>
    <t>Skatie Katie</t>
  </si>
  <si>
    <t>88</t>
  </si>
  <si>
    <t>Rocktopus</t>
  </si>
  <si>
    <t>76</t>
  </si>
  <si>
    <t>Queen Loseyateefa</t>
  </si>
  <si>
    <t>9</t>
  </si>
  <si>
    <t>Kell's Inferno</t>
  </si>
  <si>
    <t>MsMURDR</t>
  </si>
  <si>
    <t>913*</t>
  </si>
  <si>
    <t>Termiskater</t>
  </si>
  <si>
    <t>96*</t>
  </si>
  <si>
    <t>Weird Flex</t>
  </si>
  <si>
    <t>999</t>
  </si>
  <si>
    <t>Amanda Jamitinya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</si>
  <si>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</si>
  <si>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</si>
  <si>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</si>
  <si>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</si>
  <si>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</si>
  <si>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</si>
  <si>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</si>
  <si>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</si>
  <si>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</si>
  <si>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</si>
  <si>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</si>
  <si>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</si>
  <si>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</si>
  <si>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</si>
  <si>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</si>
  <si>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</si>
  <si>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</si>
  <si>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</si>
  <si>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</si>
  <si>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</si>
  <si>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Katie Mason</t>
  </si>
  <si>
    <t>Angela Reece</t>
  </si>
  <si>
    <t xml:space="preserve">Signature: </t>
  </si>
  <si>
    <t>Head Referee</t>
  </si>
  <si>
    <t>Head NSO</t>
  </si>
  <si>
    <t>Sarah Oman</t>
  </si>
  <si>
    <t>Alex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</si>
  <si>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</si>
  <si>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</si>
  <si>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</si>
  <si>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</si>
  <si>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</si>
  <si>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</si>
  <si>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</si>
  <si>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</si>
  <si>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RoSLAMbo</t>
  </si>
  <si>
    <t>Dallas Derby Devils</t>
  </si>
  <si>
    <t xml:space="preserve"> </t>
  </si>
  <si>
    <t>Penalty Lineup Tracker</t>
  </si>
  <si>
    <t>Flourish</t>
  </si>
  <si>
    <t>Rose City Rollers</t>
  </si>
  <si>
    <t>1</t>
  </si>
  <si>
    <t>Jam Timer</t>
  </si>
  <si>
    <t>Rex Blocker</t>
  </si>
  <si>
    <t>Independent</t>
  </si>
  <si>
    <t>Scorekeeper</t>
  </si>
  <si>
    <t>DackinaBox</t>
  </si>
  <si>
    <t>Sin City Roller Derby</t>
  </si>
  <si>
    <t>Whoopzie Dazey</t>
  </si>
  <si>
    <t>ScoreBoard Operator</t>
  </si>
  <si>
    <t>Saradactyl</t>
  </si>
  <si>
    <t>Boston Roller Derby</t>
  </si>
  <si>
    <t>Penalty Box Manager</t>
  </si>
  <si>
    <t>Heads Will Roll</t>
  </si>
  <si>
    <t>Penalty Box Timer</t>
  </si>
  <si>
    <t>Snarkimedes</t>
  </si>
  <si>
    <t>UltraViolent Blu</t>
  </si>
  <si>
    <t>sNo</t>
  </si>
  <si>
    <t>Inside Pack Referee</t>
  </si>
  <si>
    <t>Bambi Lance</t>
  </si>
  <si>
    <t>Circle City Roller Derby</t>
  </si>
  <si>
    <t>Jammer Referee</t>
  </si>
  <si>
    <t>Don Scoreleone</t>
  </si>
  <si>
    <t>Sacramento Roller Derby</t>
  </si>
  <si>
    <t>Adam Smasher</t>
  </si>
  <si>
    <t>2</t>
  </si>
  <si>
    <t>Outside Pack Referee</t>
  </si>
  <si>
    <t>Ph. Demon</t>
  </si>
  <si>
    <t>h8-bit</t>
  </si>
  <si>
    <t>Jonny Demonic</t>
  </si>
  <si>
    <t>Santa Cruz Roller Derby</t>
  </si>
  <si>
    <t>Referee Alternate</t>
  </si>
  <si>
    <t>Fighting Girlfriend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</si>
  <si>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</si>
  <si>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</si>
  <si>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</si>
  <si>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</si>
  <si>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</si>
  <si>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</si>
  <si>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</si>
  <si>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</si>
  <si>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</si>
  <si>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</si>
  <si>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</si>
  <si>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</si>
  <si>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</si>
  <si>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</si>
  <si>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</si>
  <si>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</si>
  <si>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</si>
  <si>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</si>
  <si>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</si>
  <si>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</si>
  <si>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</si>
  <si>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</si>
  <si>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</si>
  <si>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</si>
  <si>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</si>
  <si>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</si>
  <si>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</si>
  <si>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Flourish / RoSLAMbo</t>
  </si>
  <si>
    <t>Penalty Tracker</t>
  </si>
  <si>
    <t>#</t>
  </si>
  <si>
    <t xml:space="preserve"> PENALTY / JAM #</t>
  </si>
  <si>
    <t>FO/EXP</t>
  </si>
  <si>
    <t>TOTAL</t>
  </si>
  <si>
    <t>NOTES</t>
  </si>
  <si>
    <t>Codes</t>
  </si>
  <si>
    <t>F</t>
  </si>
  <si>
    <t>G</t>
  </si>
  <si>
    <t>B</t>
  </si>
  <si>
    <t>(Gross)</t>
  </si>
  <si>
    <t>P</t>
  </si>
  <si>
    <t>D</t>
  </si>
  <si>
    <t>Misconduct</t>
  </si>
  <si>
    <t>Insubordination</t>
  </si>
  <si>
    <t>A</t>
  </si>
  <si>
    <t>High Block</t>
  </si>
  <si>
    <t>Back Block</t>
  </si>
  <si>
    <t>L</t>
  </si>
  <si>
    <t>Low Block</t>
  </si>
  <si>
    <t>E</t>
  </si>
  <si>
    <t>Leg Block</t>
  </si>
  <si>
    <t>C</t>
  </si>
  <si>
    <t>Forearms</t>
  </si>
  <si>
    <t>H</t>
  </si>
  <si>
    <t>Head Block</t>
  </si>
  <si>
    <t>M</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</si>
  <si>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</si>
  <si>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</si>
  <si>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</si>
  <si>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</si>
  <si>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</si>
  <si>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</si>
  <si>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</si>
  <si>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</si>
  <si>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</si>
  <si>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</si>
  <si>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</si>
  <si>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</si>
  <si>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</si>
  <si>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</si>
  <si>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</si>
  <si>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</si>
  <si>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</si>
  <si>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</si>
  <si>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</si>
  <si>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</si>
  <si>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</si>
  <si>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</si>
  <si>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</si>
  <si>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</si>
  <si>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</si>
  <si>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</si>
  <si>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</si>
  <si>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</si>
  <si>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</si>
  <si>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</si>
  <si>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</si>
  <si>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</si>
  <si>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</si>
  <si>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</si>
  <si>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</si>
  <si>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n/a</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</si>
  <si>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</si>
  <si>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</si>
  <si>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</si>
  <si>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</si>
  <si>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</si>
  <si>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</si>
  <si>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</si>
  <si>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</si>
  <si>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</si>
  <si>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</si>
  <si>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</si>
  <si>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</si>
  <si>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</si>
  <si>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</si>
  <si>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</si>
  <si>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</si>
  <si>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</si>
  <si>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</si>
  <si>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</si>
  <si>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</si>
  <si>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</si>
  <si>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</si>
  <si>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</si>
  <si>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</si>
  <si>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</si>
  <si>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</si>
  <si>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</si>
  <si>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</si>
  <si>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</si>
  <si>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</si>
  <si>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</si>
  <si>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</si>
  <si>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</si>
  <si>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</si>
  <si>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</si>
  <si>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</si>
  <si>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</si>
  <si>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</si>
  <si>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</si>
  <si>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</si>
  <si>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</si>
  <si>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</si>
  <si>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</si>
  <si>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</si>
  <si>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</si>
  <si>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</si>
  <si>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</si>
  <si>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</si>
  <si>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</si>
  <si>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</si>
  <si>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</si>
  <si>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</si>
  <si>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</si>
  <si>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</si>
  <si>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</si>
  <si>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</si>
  <si>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</si>
  <si>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</si>
  <si>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</si>
  <si>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</si>
  <si>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</si>
  <si>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</si>
  <si>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</si>
  <si>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</si>
  <si>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</si>
  <si>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</si>
  <si>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</si>
  <si>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</si>
  <si>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</si>
  <si>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</si>
  <si>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</si>
  <si>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</si>
  <si>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</si>
  <si>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</si>
  <si>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</si>
  <si>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</si>
  <si>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</si>
  <si>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</si>
  <si>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</si>
  <si>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</si>
  <si>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</si>
  <si>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</si>
  <si>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</si>
  <si>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</si>
  <si>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</si>
  <si>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</si>
  <si>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</si>
  <si>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</si>
  <si>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</si>
  <si>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</si>
  <si>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</si>
  <si>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</si>
  <si>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</si>
  <si>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</si>
  <si>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</si>
  <si>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</si>
  <si>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</si>
  <si>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</si>
  <si>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</si>
  <si>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</si>
  <si>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</si>
  <si>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</si>
  <si>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</si>
  <si>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</si>
  <si>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</si>
  <si>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OR</t>
  </si>
  <si>
    <t>White; 23:22.800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</si>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</sst>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45128.0</v>
      </c>
      <c r="C7" s="20"/>
      <c r="D7" s="20"/>
      <c r="E7" s="20"/>
      <c r="F7" s="76"/>
      <c r="G7" s="77" t="s">
        <v>39</v>
      </c>
      <c r="H7" s="78"/>
      <c r="I7" s="79">
        <v>45128.614583333336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4"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5"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68</v>
      </c>
      <c r="C17" s="103" t="s">
        <v>69</v>
      </c>
      <c r="D17" s="99"/>
      <c r="E17" s="99"/>
      <c r="F17" s="100"/>
      <c r="G17" s="101">
        <v>4.0</v>
      </c>
      <c r="H17" s="55"/>
      <c r="I17" s="104"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72</v>
      </c>
      <c r="C18" s="103" t="s">
        <v>73</v>
      </c>
      <c r="D18" s="99"/>
      <c r="E18" s="99"/>
      <c r="F18" s="100"/>
      <c r="G18" s="101">
        <v>5.0</v>
      </c>
      <c r="H18" s="55"/>
      <c r="I18" s="105"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2" t="s">
        <v>78</v>
      </c>
      <c r="J19" s="103"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5"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84</v>
      </c>
      <c r="C21" s="103" t="s">
        <v>85</v>
      </c>
      <c r="D21" s="99"/>
      <c r="E21" s="99"/>
      <c r="F21" s="100"/>
      <c r="G21" s="101">
        <v>8.0</v>
      </c>
      <c r="H21" s="55"/>
      <c r="I21" s="104"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5"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4"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5"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4"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5"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2" t="s">
        <v>110</v>
      </c>
      <c r="J27" s="103"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5"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116</v>
      </c>
      <c r="C29" s="103" t="s">
        <v>117</v>
      </c>
      <c r="D29" s="99"/>
      <c r="E29" s="99"/>
      <c r="F29" s="100"/>
      <c r="G29" s="101">
        <v>16.0</v>
      </c>
      <c r="H29" s="55"/>
      <c r="I29" s="102" t="s">
        <v>118</v>
      </c>
      <c r="J29" s="103"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5"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4" t="s">
        <v>126</v>
      </c>
      <c r="J31" s="98"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128</v>
      </c>
      <c r="D32" s="116"/>
      <c r="E32" s="116"/>
      <c r="F32" s="117"/>
      <c r="G32" s="101">
        <v>19.0</v>
      </c>
      <c r="H32" s="55"/>
      <c r="I32" s="102" t="s">
        <v>129</v>
      </c>
      <c r="J32" s="103"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t="s">
        <v>131</v>
      </c>
      <c r="C33" s="103" t="s">
        <v>132</v>
      </c>
      <c r="D33" s="118"/>
      <c r="E33" s="118"/>
      <c r="F33" s="119"/>
      <c r="G33" s="108">
        <v>20.0</v>
      </c>
      <c r="H33" s="61"/>
      <c r="I33" s="104"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124</v>
      </c>
      <c r="D36" s="125" t="s">
        <v>140</v>
      </c>
      <c r="E36" s="126"/>
      <c r="F36" s="127">
        <f>IF(COUNT(Score!A4:A41)=0,"",Penalties!L44)</f>
        <v>11</v>
      </c>
      <c r="G36" s="87"/>
      <c r="H36" s="122" t="s">
        <v>138</v>
      </c>
      <c r="I36" s="123" t="s">
        <v>139</v>
      </c>
      <c r="J36" s="124">
        <f>IF(COUNT(Score!T4:T41)=0,"",Score!AK42)</f>
        <v>48</v>
      </c>
      <c r="K36" s="125" t="s">
        <v>140</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161</v>
      </c>
      <c r="D37" s="125" t="s">
        <v>140</v>
      </c>
      <c r="E37" s="126"/>
      <c r="F37" s="127">
        <f>IF(COUNT(Score!A46:A83)=0,"",Penalties!AN44)</f>
        <v>9</v>
      </c>
      <c r="G37" s="87"/>
      <c r="H37" s="122" t="s">
        <v>141</v>
      </c>
      <c r="I37" s="123" t="s">
        <v>139</v>
      </c>
      <c r="J37" s="124">
        <f>IF(COUNT(Score!T46:T83)=0,"",Score!AK84-J36)</f>
        <v>25</v>
      </c>
      <c r="K37" s="125" t="s">
        <v>140</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285</v>
      </c>
      <c r="D38" s="130" t="s">
        <v>143</v>
      </c>
      <c r="E38" s="131"/>
      <c r="F38" s="132">
        <f>IF(COUNT(Score!A4:A41)=0,"",SUM(F36:F37))</f>
        <v>20</v>
      </c>
      <c r="G38" s="64"/>
      <c r="H38" s="133" t="s">
        <v>142</v>
      </c>
      <c r="I38" s="61"/>
      <c r="J38" s="129">
        <f>IF(COUNT(Score!T4:T41)=0,"",SUM(J36:J37))</f>
        <v>73</v>
      </c>
      <c r="K38" s="130" t="s">
        <v>143</v>
      </c>
      <c r="L38" s="132">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153</v>
      </c>
      <c r="B49" s="85" t="s">
        <v>121</v>
      </c>
      <c r="C49" s="86"/>
      <c r="D49" s="86"/>
      <c r="E49" s="86"/>
      <c r="F49" s="87"/>
      <c r="G49" s="164" t="s">
        <v>153</v>
      </c>
      <c r="H49" s="55"/>
      <c r="I49" s="85" t="s">
        <v>63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153</v>
      </c>
      <c r="B53" s="85" t="str">
        <f>IF(ISBLANK(C80), "", C80)</f>
        <v>sNo</v>
      </c>
      <c r="C53" s="86"/>
      <c r="D53" s="86"/>
      <c r="E53" s="86"/>
      <c r="F53" s="87"/>
      <c r="G53" s="164" t="s">
        <v>153</v>
      </c>
      <c r="H53" s="55"/>
      <c r="I53" s="85" t="str">
        <f>IF(ISBLANK(C60), "", C60)</f>
        <v>RoSLAMbo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169</v>
      </c>
      <c r="B60" s="114"/>
      <c r="C60" s="179" t="s">
        <v>170</v>
      </c>
      <c r="D60" s="114"/>
      <c r="E60" s="114"/>
      <c r="F60" s="114"/>
      <c r="G60" s="114"/>
      <c r="H60" s="179" t="s">
        <v>171</v>
      </c>
      <c r="I60" s="114"/>
      <c r="J60" s="180"/>
      <c r="K60" s="179" t="s">
        <v>172</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173</v>
      </c>
      <c r="B61" s="182"/>
      <c r="C61" s="183" t="s">
        <v>174</v>
      </c>
      <c r="D61" s="182"/>
      <c r="E61" s="182"/>
      <c r="F61" s="182"/>
      <c r="G61" s="182"/>
      <c r="H61" s="183" t="s">
        <v>175</v>
      </c>
      <c r="I61" s="182"/>
      <c r="J61" s="184"/>
      <c r="K61" s="183" t="s">
        <v>176</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173</v>
      </c>
      <c r="B62" s="187"/>
      <c r="C62" s="188" t="s">
        <v>170</v>
      </c>
      <c r="D62" s="189"/>
      <c r="E62" s="189"/>
      <c r="F62" s="187"/>
      <c r="G62" s="114"/>
      <c r="H62" s="179" t="s">
        <v>171</v>
      </c>
      <c r="I62" s="114"/>
      <c r="J62" s="180"/>
      <c r="K62" s="179" t="s">
        <v>172</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177</v>
      </c>
      <c r="B63" s="191"/>
      <c r="C63" s="183" t="s">
        <v>178</v>
      </c>
      <c r="D63" s="192"/>
      <c r="E63" s="192"/>
      <c r="F63" s="191"/>
      <c r="G63" s="182"/>
      <c r="H63" s="183" t="s">
        <v>179</v>
      </c>
      <c r="I63" s="182"/>
      <c r="J63" s="184"/>
      <c r="K63" s="183" t="s">
        <v>172</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180</v>
      </c>
      <c r="B64" s="187"/>
      <c r="C64" s="188" t="s">
        <v>181</v>
      </c>
      <c r="D64" s="187"/>
      <c r="E64" s="187"/>
      <c r="F64" s="187"/>
      <c r="G64" s="114"/>
      <c r="H64" s="179" t="s">
        <v>182</v>
      </c>
      <c r="I64" s="114"/>
      <c r="J64" s="180"/>
      <c r="K64" s="179" t="s">
        <v>172</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180</v>
      </c>
      <c r="B65" s="182"/>
      <c r="C65" s="183" t="s">
        <v>183</v>
      </c>
      <c r="D65" s="182"/>
      <c r="E65" s="182"/>
      <c r="F65" s="182"/>
      <c r="G65" s="182"/>
      <c r="H65" s="183" t="s">
        <v>182</v>
      </c>
      <c r="I65" s="182"/>
      <c r="J65" s="184"/>
      <c r="K65" s="183" t="s">
        <v>172</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184</v>
      </c>
      <c r="B66" s="114"/>
      <c r="C66" s="188" t="s">
        <v>185</v>
      </c>
      <c r="D66" s="193"/>
      <c r="E66" s="193"/>
      <c r="F66" s="114"/>
      <c r="G66" s="114"/>
      <c r="H66" s="179" t="s">
        <v>186</v>
      </c>
      <c r="I66" s="114"/>
      <c r="J66" s="180"/>
      <c r="K66" s="179" t="s">
        <v>172</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187</v>
      </c>
      <c r="B67" s="182"/>
      <c r="C67" s="183" t="s">
        <v>188</v>
      </c>
      <c r="D67" s="182"/>
      <c r="E67" s="182"/>
      <c r="F67" s="182"/>
      <c r="G67" s="182"/>
      <c r="H67" s="183" t="s">
        <v>175</v>
      </c>
      <c r="I67" s="182"/>
      <c r="J67" s="184"/>
      <c r="K67" s="183" t="s">
        <v>88</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189</v>
      </c>
      <c r="B68" s="114"/>
      <c r="C68" s="188" t="s">
        <v>190</v>
      </c>
      <c r="D68" s="193"/>
      <c r="E68" s="193"/>
      <c r="F68" s="114"/>
      <c r="G68" s="114"/>
      <c r="H68" s="179" t="s">
        <v>179</v>
      </c>
      <c r="I68" s="114"/>
      <c r="J68" s="180"/>
      <c r="K68" s="179" t="s">
        <v>172</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189</v>
      </c>
      <c r="B69" s="182"/>
      <c r="C69" s="183" t="s">
        <v>191</v>
      </c>
      <c r="D69" s="182"/>
      <c r="E69" s="182"/>
      <c r="F69" s="182"/>
      <c r="G69" s="182"/>
      <c r="H69" s="183" t="s">
        <v>179</v>
      </c>
      <c r="I69" s="182"/>
      <c r="J69" s="184"/>
      <c r="K69" s="183" t="s">
        <v>172</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158</v>
      </c>
      <c r="B80" s="114"/>
      <c r="C80" s="179" t="s">
        <v>192</v>
      </c>
      <c r="D80" s="114"/>
      <c r="E80" s="114"/>
      <c r="F80" s="114"/>
      <c r="G80" s="114"/>
      <c r="H80" s="179" t="s">
        <v>179</v>
      </c>
      <c r="I80" s="114"/>
      <c r="J80" s="180"/>
      <c r="K80" s="179" t="s">
        <v>176</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193</v>
      </c>
      <c r="B81" s="182"/>
      <c r="C81" s="183" t="s">
        <v>194</v>
      </c>
      <c r="D81" s="194"/>
      <c r="E81" s="194"/>
      <c r="F81" s="182"/>
      <c r="G81" s="182"/>
      <c r="H81" s="183" t="s">
        <v>195</v>
      </c>
      <c r="I81" s="182"/>
      <c r="J81" s="184"/>
      <c r="K81" s="183" t="s">
        <v>88</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196</v>
      </c>
      <c r="B82" s="114"/>
      <c r="C82" s="179" t="s">
        <v>197</v>
      </c>
      <c r="D82" s="114"/>
      <c r="E82" s="114"/>
      <c r="F82" s="114"/>
      <c r="G82" s="114"/>
      <c r="H82" s="179" t="s">
        <v>198</v>
      </c>
      <c r="I82" s="114"/>
      <c r="J82" s="180"/>
      <c r="K82" s="179" t="s">
        <v>88</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196</v>
      </c>
      <c r="B83" s="182"/>
      <c r="C83" s="183" t="s">
        <v>199</v>
      </c>
      <c r="D83" s="182"/>
      <c r="E83" s="182"/>
      <c r="F83" s="182"/>
      <c r="G83" s="182"/>
      <c r="H83" s="183" t="s">
        <v>179</v>
      </c>
      <c r="I83" s="182"/>
      <c r="J83" s="184"/>
      <c r="K83" s="183" t="s">
        <v>200</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201</v>
      </c>
      <c r="B84" s="114"/>
      <c r="C84" s="179" t="s">
        <v>202</v>
      </c>
      <c r="D84" s="193"/>
      <c r="E84" s="193"/>
      <c r="F84" s="114"/>
      <c r="G84" s="114"/>
      <c r="H84" s="179" t="s">
        <v>179</v>
      </c>
      <c r="I84" s="114"/>
      <c r="J84" s="180"/>
      <c r="K84" s="179" t="s">
        <v>172</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201</v>
      </c>
      <c r="B85" s="182"/>
      <c r="C85" s="183" t="s">
        <v>203</v>
      </c>
      <c r="D85" s="194"/>
      <c r="E85" s="194"/>
      <c r="F85" s="182"/>
      <c r="G85" s="182"/>
      <c r="H85" s="183" t="s">
        <v>35</v>
      </c>
      <c r="I85" s="182"/>
      <c r="J85" s="184"/>
      <c r="K85" s="183" t="s">
        <v>172</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201</v>
      </c>
      <c r="B86" s="114"/>
      <c r="C86" s="179" t="s">
        <v>204</v>
      </c>
      <c r="D86" s="193"/>
      <c r="E86" s="193"/>
      <c r="F86" s="114"/>
      <c r="G86" s="114"/>
      <c r="H86" s="179" t="s">
        <v>205</v>
      </c>
      <c r="I86" s="114"/>
      <c r="J86" s="180"/>
      <c r="K86" s="179" t="s">
        <v>88</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206</v>
      </c>
      <c r="B87" s="196"/>
      <c r="C87" s="183" t="s">
        <v>207</v>
      </c>
      <c r="D87" s="197"/>
      <c r="E87" s="198"/>
      <c r="F87" s="196"/>
      <c r="G87" s="196"/>
      <c r="H87" s="183" t="s">
        <v>46</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Arizona Roller Derby / All Stars</v>
      </c>
      <c r="B1" s="207"/>
      <c r="C1" s="207"/>
      <c r="D1" s="207"/>
      <c r="E1" s="207"/>
      <c r="F1" s="207"/>
      <c r="G1" s="207"/>
      <c r="H1" s="208"/>
      <c r="I1" s="209" t="str">
        <f>IF(ISBLANK(IGRF!$B$12), "", IGRF!$B$12)</f>
        <v>White</v>
      </c>
      <c r="J1" s="153"/>
      <c r="K1" s="210">
        <f>IF(ISBLANK(IGRF!$B$7), "", IGRF!$B$7)</f>
        <v>45128</v>
      </c>
      <c r="L1" s="211" t="s">
        <v>181</v>
      </c>
      <c r="M1" s="153"/>
      <c r="N1" s="153"/>
      <c r="O1" s="212" t="s">
        <v>199</v>
      </c>
      <c r="P1" s="170"/>
      <c r="Q1" s="213"/>
      <c r="R1" s="214">
        <v>1.0</v>
      </c>
      <c r="S1" s="215"/>
      <c r="T1" s="206" t="str">
        <f>IF(IGRF!$I$11="","Away Team",IF(IGRF!$B$10=IGRF!$I$10,IGRF!$I$11,IF(IGRF!$I$10=IGRF!$I$11,IGRF!$I$11,IF(OR(IGRF!$L$3="A",IGRF!$L$3="B"),IGRF!$I$10&amp;" "&amp;IGRF!$L$3,IGRF!$I$10&amp;" / "&amp;IGRF!$I$11))))</f>
        <v>Elevated Roller Derby / Elevated Roller Derby All Stars</v>
      </c>
      <c r="U1" s="207"/>
      <c r="V1" s="207"/>
      <c r="W1" s="207"/>
      <c r="X1" s="207"/>
      <c r="Y1" s="207"/>
      <c r="Z1" s="207"/>
      <c r="AA1" s="208"/>
      <c r="AB1" s="209" t="str">
        <f>IF(ISBLANK(IGRF!$I$12), "", IGRF!$I$12)</f>
        <v>Black</v>
      </c>
      <c r="AC1" s="153"/>
      <c r="AD1" s="210">
        <f>IF(ISBLANK(IGRF!$B$7), "", IGRF!$B$7)</f>
        <v>45128</v>
      </c>
      <c r="AE1" s="211" t="s">
        <v>183</v>
      </c>
      <c r="AF1" s="153"/>
      <c r="AG1" s="153"/>
      <c r="AH1" s="212" t="s">
        <v>197</v>
      </c>
      <c r="AI1" s="170"/>
      <c r="AJ1" s="213"/>
      <c r="AK1" s="214">
        <v>1.0</v>
      </c>
      <c r="AL1" s="215"/>
    </row>
    <row r="2" ht="15.0" customHeight="1">
      <c r="A2" s="216"/>
      <c r="B2" s="20"/>
      <c r="C2" s="20"/>
      <c r="D2" s="20"/>
      <c r="E2" s="20"/>
      <c r="F2" s="20"/>
      <c r="G2" s="20"/>
      <c r="H2" s="158"/>
      <c r="I2" s="217" t="s">
        <v>209</v>
      </c>
      <c r="J2" s="71"/>
      <c r="K2" s="218" t="s">
        <v>210</v>
      </c>
      <c r="L2" s="217" t="s">
        <v>180</v>
      </c>
      <c r="M2" s="71"/>
      <c r="N2" s="71"/>
      <c r="O2" s="219" t="s">
        <v>211</v>
      </c>
      <c r="P2" s="71"/>
      <c r="Q2" s="72"/>
      <c r="R2" s="220" t="str">
        <f>IF(ISBLANK(IGRF!$L$3), "", "GAME " &amp; IGRF!$L$3)</f>
        <v>GAME 03</v>
      </c>
      <c r="S2" s="215"/>
      <c r="T2" s="216"/>
      <c r="U2" s="20"/>
      <c r="V2" s="20"/>
      <c r="W2" s="20"/>
      <c r="X2" s="20"/>
      <c r="Y2" s="20"/>
      <c r="Z2" s="20"/>
      <c r="AA2" s="158"/>
      <c r="AB2" s="217" t="s">
        <v>209</v>
      </c>
      <c r="AC2" s="71"/>
      <c r="AD2" s="218" t="s">
        <v>210</v>
      </c>
      <c r="AE2" s="217" t="s">
        <v>180</v>
      </c>
      <c r="AF2" s="71"/>
      <c r="AG2" s="71"/>
      <c r="AH2" s="219" t="s">
        <v>211</v>
      </c>
      <c r="AI2" s="71"/>
      <c r="AJ2" s="72"/>
      <c r="AK2" s="220" t="str">
        <f>IF(ISBLANK(IGRF!$L$3), "", "GAME " &amp; IGRF!$L$3)</f>
        <v>GAME 03</v>
      </c>
      <c r="AL2" s="215"/>
    </row>
    <row r="3" ht="35.25" customHeight="1">
      <c r="A3" s="221" t="s">
        <v>212</v>
      </c>
      <c r="B3" s="222" t="s">
        <v>213</v>
      </c>
      <c r="C3" s="223" t="s">
        <v>214</v>
      </c>
      <c r="D3" s="224" t="s">
        <v>215</v>
      </c>
      <c r="E3" s="224" t="s">
        <v>216</v>
      </c>
      <c r="F3" s="224" t="s">
        <v>217</v>
      </c>
      <c r="G3" s="225" t="s">
        <v>218</v>
      </c>
      <c r="H3" s="221" t="s">
        <v>219</v>
      </c>
      <c r="I3" s="226" t="s">
        <v>220</v>
      </c>
      <c r="J3" s="226" t="s">
        <v>221</v>
      </c>
      <c r="K3" s="226" t="s">
        <v>222</v>
      </c>
      <c r="L3" s="226" t="s">
        <v>223</v>
      </c>
      <c r="M3" s="226" t="s">
        <v>224</v>
      </c>
      <c r="N3" s="226" t="s">
        <v>225</v>
      </c>
      <c r="O3" s="226" t="s">
        <v>226</v>
      </c>
      <c r="P3" s="226" t="s">
        <v>227</v>
      </c>
      <c r="Q3" s="227" t="s">
        <v>228</v>
      </c>
      <c r="R3" s="228" t="s">
        <v>229</v>
      </c>
      <c r="S3" s="229" t="s">
        <v>230</v>
      </c>
      <c r="T3" s="221" t="s">
        <v>212</v>
      </c>
      <c r="U3" s="222" t="s">
        <v>213</v>
      </c>
      <c r="V3" s="223" t="s">
        <v>214</v>
      </c>
      <c r="W3" s="224" t="s">
        <v>215</v>
      </c>
      <c r="X3" s="224" t="s">
        <v>216</v>
      </c>
      <c r="Y3" s="224" t="s">
        <v>217</v>
      </c>
      <c r="Z3" s="225" t="s">
        <v>218</v>
      </c>
      <c r="AA3" s="221" t="s">
        <v>219</v>
      </c>
      <c r="AB3" s="226" t="s">
        <v>220</v>
      </c>
      <c r="AC3" s="226" t="s">
        <v>221</v>
      </c>
      <c r="AD3" s="226" t="s">
        <v>222</v>
      </c>
      <c r="AE3" s="226" t="s">
        <v>223</v>
      </c>
      <c r="AF3" s="226" t="s">
        <v>224</v>
      </c>
      <c r="AG3" s="226" t="s">
        <v>225</v>
      </c>
      <c r="AH3" s="226" t="s">
        <v>226</v>
      </c>
      <c r="AI3" s="226" t="s">
        <v>227</v>
      </c>
      <c r="AJ3" s="227" t="s">
        <v>228</v>
      </c>
      <c r="AK3" s="228" t="s">
        <v>229</v>
      </c>
      <c r="AL3" s="229" t="s">
        <v>230</v>
      </c>
    </row>
    <row r="4" ht="33.75" customHeight="1">
      <c r="A4" s="230">
        <v>1.0</v>
      </c>
      <c r="B4" s="231" t="s">
        <v>96</v>
      </c>
      <c r="C4" s="232"/>
      <c r="D4" s="233" t="s">
        <v>231</v>
      </c>
      <c r="E4" s="233" t="s">
        <v>231</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74</v>
      </c>
      <c r="V4" s="232"/>
      <c r="W4" s="233"/>
      <c r="X4" s="233"/>
      <c r="Y4" s="233"/>
      <c r="Z4" s="234" t="s">
        <v>231</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100</v>
      </c>
      <c r="C5" s="242" t="s">
        <v>231</v>
      </c>
      <c r="D5" s="244"/>
      <c r="E5" s="244"/>
      <c r="F5" s="244"/>
      <c r="G5" s="245"/>
      <c r="H5" s="230">
        <v>4.0</v>
      </c>
      <c r="I5" s="246">
        <v>4.0</v>
      </c>
      <c r="J5" s="246">
        <v>4.0</v>
      </c>
      <c r="K5" s="246">
        <v>4.0</v>
      </c>
      <c r="L5" s="246">
        <v>4.0</v>
      </c>
      <c r="M5" s="246">
        <v>1.0</v>
      </c>
      <c r="N5" s="246"/>
      <c r="O5" s="246"/>
      <c r="P5" s="247"/>
      <c r="Q5" s="248">
        <f t="shared" si="1"/>
        <v>21</v>
      </c>
      <c r="R5" s="249">
        <f>IF(Q5="","",Q5+R4+'OS Offset'!B5)</f>
        <v>25</v>
      </c>
      <c r="S5" s="250">
        <f t="shared" si="2"/>
        <v>6</v>
      </c>
      <c r="T5" s="242">
        <v>2.0</v>
      </c>
      <c r="U5" s="251" t="s">
        <v>98</v>
      </c>
      <c r="V5" s="242" t="s">
        <v>231</v>
      </c>
      <c r="W5" s="244"/>
      <c r="X5" s="244"/>
      <c r="Y5" s="244"/>
      <c r="Z5" s="245"/>
      <c r="AA5" s="230">
        <v>4.0</v>
      </c>
      <c r="AB5" s="246">
        <v>4.0</v>
      </c>
      <c r="AC5" s="246">
        <v>2.0</v>
      </c>
      <c r="AD5" s="246"/>
      <c r="AE5" s="246"/>
      <c r="AF5" s="246"/>
      <c r="AG5" s="246"/>
      <c r="AH5" s="246"/>
      <c r="AI5" s="247"/>
      <c r="AJ5" s="248">
        <f t="shared" si="3"/>
        <v>10</v>
      </c>
      <c r="AK5" s="249">
        <f>IF(AJ5="","",AJ5+AK4+'OS Offset'!I5)</f>
        <v>10</v>
      </c>
      <c r="AL5" s="250">
        <f t="shared" si="4"/>
        <v>3</v>
      </c>
    </row>
    <row r="6" ht="33.75" customHeight="1">
      <c r="A6" s="230">
        <v>3.0</v>
      </c>
      <c r="B6" s="252" t="s">
        <v>64</v>
      </c>
      <c r="C6" s="230"/>
      <c r="D6" s="246" t="s">
        <v>231</v>
      </c>
      <c r="E6" s="246" t="s">
        <v>231</v>
      </c>
      <c r="F6" s="246"/>
      <c r="G6" s="253"/>
      <c r="H6" s="254">
        <v>4.0</v>
      </c>
      <c r="I6" s="255">
        <v>0.0</v>
      </c>
      <c r="J6" s="255"/>
      <c r="K6" s="255"/>
      <c r="L6" s="255"/>
      <c r="M6" s="255"/>
      <c r="N6" s="255"/>
      <c r="O6" s="255"/>
      <c r="P6" s="256"/>
      <c r="Q6" s="257">
        <f t="shared" si="1"/>
        <v>4</v>
      </c>
      <c r="R6" s="249">
        <f>IF(Q6="","",Q6+R5+'OS Offset'!B6)</f>
        <v>29</v>
      </c>
      <c r="S6" s="250">
        <f t="shared" si="2"/>
        <v>2</v>
      </c>
      <c r="T6" s="230">
        <v>3.0</v>
      </c>
      <c r="U6" s="258" t="s">
        <v>126</v>
      </c>
      <c r="V6" s="259"/>
      <c r="W6" s="260"/>
      <c r="X6" s="260"/>
      <c r="Y6" s="260"/>
      <c r="Z6" s="261" t="s">
        <v>231</v>
      </c>
      <c r="AA6" s="262"/>
      <c r="AB6" s="263"/>
      <c r="AC6" s="263"/>
      <c r="AD6" s="263"/>
      <c r="AE6" s="263"/>
      <c r="AF6" s="263"/>
      <c r="AG6" s="263"/>
      <c r="AH6" s="263"/>
      <c r="AI6" s="264"/>
      <c r="AJ6" s="265">
        <f t="shared" si="3"/>
        <v>0</v>
      </c>
      <c r="AK6" s="249">
        <f>IF(AJ6="","",AJ6+AK5+'OS Offset'!I6)</f>
        <v>10</v>
      </c>
      <c r="AL6" s="250">
        <f t="shared" si="4"/>
        <v>0</v>
      </c>
    </row>
    <row r="7" ht="33.75" customHeight="1">
      <c r="A7" s="242" t="s">
        <v>232</v>
      </c>
      <c r="B7" s="243"/>
      <c r="C7" s="242"/>
      <c r="D7" s="244"/>
      <c r="E7" s="244"/>
      <c r="F7" s="244"/>
      <c r="G7" s="245"/>
      <c r="H7" s="230"/>
      <c r="I7" s="246"/>
      <c r="J7" s="246"/>
      <c r="K7" s="246"/>
      <c r="L7" s="246"/>
      <c r="M7" s="246"/>
      <c r="N7" s="246"/>
      <c r="O7" s="246"/>
      <c r="P7" s="247"/>
      <c r="Q7" s="248">
        <f t="shared" si="1"/>
        <v>0</v>
      </c>
      <c r="R7" s="249">
        <f>IF(Q7="","",Q7+R6+'OS Offset'!B7)</f>
        <v>29</v>
      </c>
      <c r="S7" s="250">
        <f t="shared" si="2"/>
        <v>0</v>
      </c>
      <c r="T7" s="266" t="s">
        <v>233</v>
      </c>
      <c r="U7" s="267" t="s">
        <v>114</v>
      </c>
      <c r="V7" s="266"/>
      <c r="W7" s="268"/>
      <c r="X7" s="268"/>
      <c r="Y7" s="268"/>
      <c r="Z7" s="269"/>
      <c r="AA7" s="259">
        <v>0.0</v>
      </c>
      <c r="AB7" s="260"/>
      <c r="AC7" s="260"/>
      <c r="AD7" s="260"/>
      <c r="AE7" s="260"/>
      <c r="AF7" s="260"/>
      <c r="AG7" s="260"/>
      <c r="AH7" s="260"/>
      <c r="AI7" s="270"/>
      <c r="AJ7" s="271">
        <f t="shared" si="3"/>
        <v>0</v>
      </c>
      <c r="AK7" s="249">
        <f>IF(AJ7="","",AJ7+AK6+'OS Offset'!I7)</f>
        <v>10</v>
      </c>
      <c r="AL7" s="250">
        <f t="shared" si="4"/>
        <v>1</v>
      </c>
    </row>
    <row r="8" ht="33.75" customHeight="1">
      <c r="A8" s="230">
        <v>4.0</v>
      </c>
      <c r="B8" s="252" t="s">
        <v>108</v>
      </c>
      <c r="C8" s="230"/>
      <c r="D8" s="246" t="s">
        <v>231</v>
      </c>
      <c r="E8" s="246" t="s">
        <v>231</v>
      </c>
      <c r="F8" s="246"/>
      <c r="G8" s="253"/>
      <c r="H8" s="254">
        <v>4.0</v>
      </c>
      <c r="I8" s="255">
        <v>0.0</v>
      </c>
      <c r="J8" s="255"/>
      <c r="K8" s="255"/>
      <c r="L8" s="255"/>
      <c r="M8" s="255"/>
      <c r="N8" s="255"/>
      <c r="O8" s="255"/>
      <c r="P8" s="256"/>
      <c r="Q8" s="257">
        <f t="shared" si="1"/>
        <v>4</v>
      </c>
      <c r="R8" s="249">
        <f>IF(Q8="","",Q8+R7+'OS Offset'!B8)</f>
        <v>33</v>
      </c>
      <c r="S8" s="250">
        <f t="shared" si="2"/>
        <v>2</v>
      </c>
      <c r="T8" s="230">
        <v>4.0</v>
      </c>
      <c r="U8" s="258" t="s">
        <v>114</v>
      </c>
      <c r="V8" s="259"/>
      <c r="W8" s="260"/>
      <c r="X8" s="260"/>
      <c r="Y8" s="260"/>
      <c r="Z8" s="261"/>
      <c r="AA8" s="262">
        <v>0.0</v>
      </c>
      <c r="AB8" s="263"/>
      <c r="AC8" s="263"/>
      <c r="AD8" s="263"/>
      <c r="AE8" s="263"/>
      <c r="AF8" s="263"/>
      <c r="AG8" s="263"/>
      <c r="AH8" s="263"/>
      <c r="AI8" s="264"/>
      <c r="AJ8" s="265">
        <f t="shared" si="3"/>
        <v>0</v>
      </c>
      <c r="AK8" s="249">
        <f>IF(AJ8="","",AJ8+AK7+'OS Offset'!I8)</f>
        <v>10</v>
      </c>
      <c r="AL8" s="250">
        <f t="shared" si="4"/>
        <v>1</v>
      </c>
    </row>
    <row r="9" ht="33.75" customHeight="1">
      <c r="A9" s="242">
        <v>5.0</v>
      </c>
      <c r="B9" s="243" t="s">
        <v>96</v>
      </c>
      <c r="C9" s="242" t="s">
        <v>231</v>
      </c>
      <c r="D9" s="244"/>
      <c r="E9" s="244"/>
      <c r="F9" s="244"/>
      <c r="G9" s="245"/>
      <c r="H9" s="230">
        <v>4.0</v>
      </c>
      <c r="I9" s="246">
        <v>4.0</v>
      </c>
      <c r="J9" s="246">
        <v>4.0</v>
      </c>
      <c r="K9" s="246">
        <v>0.0</v>
      </c>
      <c r="L9" s="246"/>
      <c r="M9" s="246"/>
      <c r="N9" s="246"/>
      <c r="O9" s="246"/>
      <c r="P9" s="247"/>
      <c r="Q9" s="248">
        <f t="shared" si="1"/>
        <v>12</v>
      </c>
      <c r="R9" s="249">
        <f>IF(Q9="","",Q9+R8+'OS Offset'!B9)</f>
        <v>45</v>
      </c>
      <c r="S9" s="250">
        <f t="shared" si="2"/>
        <v>4</v>
      </c>
      <c r="T9" s="266">
        <v>5.0</v>
      </c>
      <c r="U9" s="267" t="s">
        <v>74</v>
      </c>
      <c r="V9" s="266" t="s">
        <v>231</v>
      </c>
      <c r="W9" s="268" t="s">
        <v>231</v>
      </c>
      <c r="X9" s="268"/>
      <c r="Y9" s="268"/>
      <c r="Z9" s="269"/>
      <c r="AA9" s="259">
        <v>4.0</v>
      </c>
      <c r="AB9" s="260">
        <v>1.0</v>
      </c>
      <c r="AC9" s="260"/>
      <c r="AD9" s="260"/>
      <c r="AE9" s="260"/>
      <c r="AF9" s="260"/>
      <c r="AG9" s="260"/>
      <c r="AH9" s="260"/>
      <c r="AI9" s="270"/>
      <c r="AJ9" s="271">
        <f t="shared" si="3"/>
        <v>5</v>
      </c>
      <c r="AK9" s="249">
        <f>IF(AJ9="","",AJ9+AK8+'OS Offset'!I9)</f>
        <v>15</v>
      </c>
      <c r="AL9" s="250">
        <f t="shared" si="4"/>
        <v>2</v>
      </c>
    </row>
    <row r="10" ht="33.75" customHeight="1">
      <c r="A10" s="230">
        <v>6.0</v>
      </c>
      <c r="B10" s="252" t="s">
        <v>100</v>
      </c>
      <c r="C10" s="230"/>
      <c r="D10" s="246" t="s">
        <v>231</v>
      </c>
      <c r="E10" s="246" t="s">
        <v>231</v>
      </c>
      <c r="F10" s="246"/>
      <c r="G10" s="253"/>
      <c r="H10" s="254">
        <v>4.0</v>
      </c>
      <c r="I10" s="255">
        <v>0.0</v>
      </c>
      <c r="J10" s="255"/>
      <c r="K10" s="255"/>
      <c r="L10" s="255"/>
      <c r="M10" s="255"/>
      <c r="N10" s="255"/>
      <c r="O10" s="255"/>
      <c r="P10" s="256"/>
      <c r="Q10" s="257">
        <f t="shared" si="1"/>
        <v>4</v>
      </c>
      <c r="R10" s="249">
        <f>IF(Q10="","",Q10+R9+'OS Offset'!B10)</f>
        <v>49</v>
      </c>
      <c r="S10" s="250">
        <f t="shared" si="2"/>
        <v>2</v>
      </c>
      <c r="T10" s="230">
        <v>6.0</v>
      </c>
      <c r="U10" s="258" t="s">
        <v>98</v>
      </c>
      <c r="V10" s="259"/>
      <c r="W10" s="260"/>
      <c r="X10" s="260"/>
      <c r="Y10" s="260"/>
      <c r="Z10" s="261" t="s">
        <v>231</v>
      </c>
      <c r="AA10" s="262"/>
      <c r="AB10" s="263"/>
      <c r="AC10" s="263"/>
      <c r="AD10" s="263"/>
      <c r="AE10" s="263"/>
      <c r="AF10" s="263"/>
      <c r="AG10" s="263"/>
      <c r="AH10" s="263"/>
      <c r="AI10" s="264"/>
      <c r="AJ10" s="265">
        <f t="shared" si="3"/>
        <v>0</v>
      </c>
      <c r="AK10" s="249">
        <f>IF(AJ10="","",AJ10+AK9+'OS Offset'!I10)</f>
        <v>15</v>
      </c>
      <c r="AL10" s="250">
        <f t="shared" si="4"/>
        <v>0</v>
      </c>
    </row>
    <row r="11" ht="33.75" customHeight="1">
      <c r="A11" s="242" t="s">
        <v>232</v>
      </c>
      <c r="B11" s="243"/>
      <c r="C11" s="242"/>
      <c r="D11" s="244"/>
      <c r="E11" s="244"/>
      <c r="F11" s="244"/>
      <c r="G11" s="245"/>
      <c r="H11" s="230"/>
      <c r="I11" s="246"/>
      <c r="J11" s="246"/>
      <c r="K11" s="246"/>
      <c r="L11" s="246"/>
      <c r="M11" s="246"/>
      <c r="N11" s="246"/>
      <c r="O11" s="246"/>
      <c r="P11" s="247"/>
      <c r="Q11" s="248">
        <f t="shared" si="1"/>
        <v>0</v>
      </c>
      <c r="R11" s="249">
        <f>IF(Q11="","",Q11+R10+'OS Offset'!B11)</f>
        <v>49</v>
      </c>
      <c r="S11" s="250">
        <f t="shared" si="2"/>
        <v>0</v>
      </c>
      <c r="T11" s="266" t="s">
        <v>233</v>
      </c>
      <c r="U11" s="267" t="s">
        <v>90</v>
      </c>
      <c r="V11" s="266"/>
      <c r="W11" s="268"/>
      <c r="X11" s="268"/>
      <c r="Y11" s="268"/>
      <c r="Z11" s="269"/>
      <c r="AA11" s="259">
        <v>0.0</v>
      </c>
      <c r="AB11" s="260"/>
      <c r="AC11" s="260"/>
      <c r="AD11" s="260"/>
      <c r="AE11" s="260"/>
      <c r="AF11" s="260"/>
      <c r="AG11" s="260"/>
      <c r="AH11" s="260"/>
      <c r="AI11" s="270"/>
      <c r="AJ11" s="271">
        <f t="shared" si="3"/>
        <v>0</v>
      </c>
      <c r="AK11" s="249">
        <f>IF(AJ11="","",AJ11+AK10+'OS Offset'!I11)</f>
        <v>15</v>
      </c>
      <c r="AL11" s="250">
        <f t="shared" si="4"/>
        <v>1</v>
      </c>
    </row>
    <row r="12" ht="33.75" customHeight="1">
      <c r="A12" s="230">
        <v>7.0</v>
      </c>
      <c r="B12" s="252" t="s">
        <v>64</v>
      </c>
      <c r="C12" s="230"/>
      <c r="D12" s="246" t="s">
        <v>231</v>
      </c>
      <c r="E12" s="246" t="s">
        <v>231</v>
      </c>
      <c r="F12" s="246"/>
      <c r="G12" s="253"/>
      <c r="H12" s="254">
        <v>4.0</v>
      </c>
      <c r="I12" s="255">
        <v>4.0</v>
      </c>
      <c r="J12" s="255">
        <v>4.0</v>
      </c>
      <c r="K12" s="255"/>
      <c r="L12" s="255"/>
      <c r="M12" s="255"/>
      <c r="N12" s="255"/>
      <c r="O12" s="255"/>
      <c r="P12" s="256"/>
      <c r="Q12" s="257">
        <f t="shared" si="1"/>
        <v>12</v>
      </c>
      <c r="R12" s="249">
        <f>IF(Q12="","",Q12+R11+'OS Offset'!B12)</f>
        <v>61</v>
      </c>
      <c r="S12" s="250">
        <f t="shared" si="2"/>
        <v>3</v>
      </c>
      <c r="T12" s="230">
        <v>7.0</v>
      </c>
      <c r="U12" s="258" t="s">
        <v>126</v>
      </c>
      <c r="V12" s="259"/>
      <c r="W12" s="260"/>
      <c r="X12" s="260"/>
      <c r="Y12" s="260"/>
      <c r="Z12" s="261" t="s">
        <v>231</v>
      </c>
      <c r="AA12" s="262"/>
      <c r="AB12" s="263"/>
      <c r="AC12" s="263"/>
      <c r="AD12" s="263"/>
      <c r="AE12" s="263"/>
      <c r="AF12" s="263"/>
      <c r="AG12" s="263"/>
      <c r="AH12" s="263"/>
      <c r="AI12" s="264"/>
      <c r="AJ12" s="265">
        <f t="shared" si="3"/>
        <v>0</v>
      </c>
      <c r="AK12" s="249">
        <f>IF(AJ12="","",AJ12+AK11+'OS Offset'!I12)</f>
        <v>15</v>
      </c>
      <c r="AL12" s="250">
        <f t="shared" si="4"/>
        <v>0</v>
      </c>
    </row>
    <row r="13" ht="33.75" customHeight="1">
      <c r="A13" s="242">
        <v>8.0</v>
      </c>
      <c r="B13" s="243" t="s">
        <v>108</v>
      </c>
      <c r="C13" s="242"/>
      <c r="D13" s="244" t="s">
        <v>231</v>
      </c>
      <c r="E13" s="244" t="s">
        <v>231</v>
      </c>
      <c r="F13" s="244"/>
      <c r="G13" s="245"/>
      <c r="H13" s="230">
        <v>4.0</v>
      </c>
      <c r="I13" s="246">
        <v>0.0</v>
      </c>
      <c r="J13" s="246"/>
      <c r="K13" s="246"/>
      <c r="L13" s="246"/>
      <c r="M13" s="246"/>
      <c r="N13" s="246"/>
      <c r="O13" s="246"/>
      <c r="P13" s="247"/>
      <c r="Q13" s="248">
        <f t="shared" si="1"/>
        <v>4</v>
      </c>
      <c r="R13" s="249">
        <f>IF(Q13="","",Q13+R12+'OS Offset'!B13)</f>
        <v>65</v>
      </c>
      <c r="S13" s="250">
        <f t="shared" si="2"/>
        <v>2</v>
      </c>
      <c r="T13" s="266">
        <v>8.0</v>
      </c>
      <c r="U13" s="267" t="s">
        <v>86</v>
      </c>
      <c r="V13" s="266"/>
      <c r="W13" s="268"/>
      <c r="X13" s="268"/>
      <c r="Y13" s="268"/>
      <c r="Z13" s="269"/>
      <c r="AA13" s="259">
        <v>4.0</v>
      </c>
      <c r="AB13" s="260">
        <v>0.0</v>
      </c>
      <c r="AC13" s="260"/>
      <c r="AD13" s="260"/>
      <c r="AE13" s="260"/>
      <c r="AF13" s="260"/>
      <c r="AG13" s="260"/>
      <c r="AH13" s="260"/>
      <c r="AI13" s="270"/>
      <c r="AJ13" s="271">
        <f t="shared" si="3"/>
        <v>4</v>
      </c>
      <c r="AK13" s="249">
        <f>IF(AJ13="","",AJ13+AK12+'OS Offset'!I13)</f>
        <v>19</v>
      </c>
      <c r="AL13" s="250">
        <f t="shared" si="4"/>
        <v>2</v>
      </c>
    </row>
    <row r="14" ht="33.75" customHeight="1">
      <c r="A14" s="230">
        <v>9.0</v>
      </c>
      <c r="B14" s="252" t="s">
        <v>96</v>
      </c>
      <c r="C14" s="230"/>
      <c r="D14" s="246" t="s">
        <v>231</v>
      </c>
      <c r="E14" s="246" t="s">
        <v>231</v>
      </c>
      <c r="F14" s="246"/>
      <c r="G14" s="253"/>
      <c r="H14" s="254">
        <v>3.0</v>
      </c>
      <c r="I14" s="255">
        <v>0.0</v>
      </c>
      <c r="J14" s="255"/>
      <c r="K14" s="255"/>
      <c r="L14" s="255"/>
      <c r="M14" s="255"/>
      <c r="N14" s="255"/>
      <c r="O14" s="255"/>
      <c r="P14" s="256"/>
      <c r="Q14" s="257">
        <f t="shared" si="1"/>
        <v>3</v>
      </c>
      <c r="R14" s="249">
        <f>IF(Q14="","",Q14+R13+'OS Offset'!B14)</f>
        <v>68</v>
      </c>
      <c r="S14" s="250">
        <f t="shared" si="2"/>
        <v>2</v>
      </c>
      <c r="T14" s="230">
        <v>9.0</v>
      </c>
      <c r="U14" s="258" t="s">
        <v>74</v>
      </c>
      <c r="V14" s="259"/>
      <c r="W14" s="260"/>
      <c r="X14" s="260"/>
      <c r="Y14" s="260"/>
      <c r="Z14" s="261"/>
      <c r="AA14" s="262">
        <v>2.0</v>
      </c>
      <c r="AB14" s="263"/>
      <c r="AC14" s="263"/>
      <c r="AD14" s="263"/>
      <c r="AE14" s="263"/>
      <c r="AF14" s="263"/>
      <c r="AG14" s="263"/>
      <c r="AH14" s="263"/>
      <c r="AI14" s="264"/>
      <c r="AJ14" s="265">
        <f t="shared" si="3"/>
        <v>2</v>
      </c>
      <c r="AK14" s="249">
        <f>IF(AJ14="","",AJ14+AK13+'OS Offset'!I14)</f>
        <v>21</v>
      </c>
      <c r="AL14" s="250">
        <f t="shared" si="4"/>
        <v>1</v>
      </c>
    </row>
    <row r="15" ht="33.75" customHeight="1">
      <c r="A15" s="242">
        <v>10.0</v>
      </c>
      <c r="B15" s="243" t="s">
        <v>100</v>
      </c>
      <c r="C15" s="242"/>
      <c r="D15" s="244" t="s">
        <v>231</v>
      </c>
      <c r="E15" s="244" t="s">
        <v>231</v>
      </c>
      <c r="F15" s="244"/>
      <c r="G15" s="245"/>
      <c r="H15" s="230">
        <v>4.0</v>
      </c>
      <c r="I15" s="246">
        <v>0.0</v>
      </c>
      <c r="J15" s="246"/>
      <c r="K15" s="246"/>
      <c r="L15" s="246"/>
      <c r="M15" s="246"/>
      <c r="N15" s="246"/>
      <c r="O15" s="246"/>
      <c r="P15" s="247"/>
      <c r="Q15" s="248">
        <f t="shared" si="1"/>
        <v>4</v>
      </c>
      <c r="R15" s="249">
        <f>IF(Q15="","",Q15+R14+'OS Offset'!B15)</f>
        <v>72</v>
      </c>
      <c r="S15" s="250">
        <f t="shared" si="2"/>
        <v>2</v>
      </c>
      <c r="T15" s="266">
        <v>10.0</v>
      </c>
      <c r="U15" s="267" t="s">
        <v>98</v>
      </c>
      <c r="V15" s="266"/>
      <c r="W15" s="268"/>
      <c r="X15" s="268"/>
      <c r="Y15" s="268"/>
      <c r="Z15" s="269" t="s">
        <v>231</v>
      </c>
      <c r="AA15" s="259"/>
      <c r="AB15" s="260"/>
      <c r="AC15" s="260"/>
      <c r="AD15" s="260"/>
      <c r="AE15" s="260"/>
      <c r="AF15" s="260"/>
      <c r="AG15" s="260"/>
      <c r="AH15" s="260"/>
      <c r="AI15" s="270"/>
      <c r="AJ15" s="271">
        <f t="shared" si="3"/>
        <v>0</v>
      </c>
      <c r="AK15" s="249">
        <f>IF(AJ15="","",AJ15+AK14+'OS Offset'!I15)</f>
        <v>21</v>
      </c>
      <c r="AL15" s="250">
        <f t="shared" si="4"/>
        <v>0</v>
      </c>
    </row>
    <row r="16" ht="33.75" customHeight="1">
      <c r="A16" s="230" t="s">
        <v>232</v>
      </c>
      <c r="B16" s="252"/>
      <c r="C16" s="230"/>
      <c r="D16" s="246"/>
      <c r="E16" s="246"/>
      <c r="F16" s="246"/>
      <c r="G16" s="253"/>
      <c r="H16" s="254"/>
      <c r="I16" s="255"/>
      <c r="J16" s="255"/>
      <c r="K16" s="255"/>
      <c r="L16" s="255"/>
      <c r="M16" s="255"/>
      <c r="N16" s="255"/>
      <c r="O16" s="255"/>
      <c r="P16" s="256"/>
      <c r="Q16" s="257">
        <f t="shared" si="1"/>
        <v>0</v>
      </c>
      <c r="R16" s="249">
        <f>IF(Q16="","",Q16+R15+'OS Offset'!B16)</f>
        <v>72</v>
      </c>
      <c r="S16" s="250">
        <f t="shared" si="2"/>
        <v>0</v>
      </c>
      <c r="T16" s="230" t="s">
        <v>233</v>
      </c>
      <c r="U16" s="258" t="s">
        <v>90</v>
      </c>
      <c r="V16" s="259"/>
      <c r="W16" s="260"/>
      <c r="X16" s="260"/>
      <c r="Y16" s="260"/>
      <c r="Z16" s="261" t="s">
        <v>231</v>
      </c>
      <c r="AA16" s="262"/>
      <c r="AB16" s="263"/>
      <c r="AC16" s="263"/>
      <c r="AD16" s="263"/>
      <c r="AE16" s="263"/>
      <c r="AF16" s="263"/>
      <c r="AG16" s="263"/>
      <c r="AH16" s="263"/>
      <c r="AI16" s="264"/>
      <c r="AJ16" s="265">
        <f t="shared" si="3"/>
        <v>0</v>
      </c>
      <c r="AK16" s="249">
        <f>IF(AJ16="","",AJ16+AK15+'OS Offset'!I16)</f>
        <v>21</v>
      </c>
      <c r="AL16" s="250">
        <f t="shared" si="4"/>
        <v>0</v>
      </c>
    </row>
    <row r="17" ht="33.75" customHeight="1">
      <c r="A17" s="242">
        <v>11.0</v>
      </c>
      <c r="B17" s="243" t="s">
        <v>64</v>
      </c>
      <c r="C17" s="242"/>
      <c r="D17" s="244"/>
      <c r="E17" s="244"/>
      <c r="F17" s="244"/>
      <c r="G17" s="245"/>
      <c r="H17" s="230">
        <v>4.0</v>
      </c>
      <c r="I17" s="246">
        <v>1.0</v>
      </c>
      <c r="J17" s="246"/>
      <c r="K17" s="246"/>
      <c r="L17" s="246"/>
      <c r="M17" s="246"/>
      <c r="N17" s="246"/>
      <c r="O17" s="246"/>
      <c r="P17" s="247"/>
      <c r="Q17" s="248">
        <f t="shared" si="1"/>
        <v>5</v>
      </c>
      <c r="R17" s="249">
        <f>IF(Q17="","",Q17+R16+'OS Offset'!B17)</f>
        <v>77</v>
      </c>
      <c r="S17" s="250">
        <f t="shared" si="2"/>
        <v>2</v>
      </c>
      <c r="T17" s="266">
        <v>11.0</v>
      </c>
      <c r="U17" s="267" t="s">
        <v>126</v>
      </c>
      <c r="V17" s="266"/>
      <c r="W17" s="268" t="s">
        <v>231</v>
      </c>
      <c r="X17" s="268" t="s">
        <v>231</v>
      </c>
      <c r="Y17" s="268"/>
      <c r="Z17" s="269"/>
      <c r="AA17" s="259">
        <v>4.0</v>
      </c>
      <c r="AB17" s="260">
        <v>3.0</v>
      </c>
      <c r="AC17" s="260"/>
      <c r="AD17" s="260"/>
      <c r="AE17" s="260"/>
      <c r="AF17" s="260"/>
      <c r="AG17" s="260"/>
      <c r="AH17" s="260"/>
      <c r="AI17" s="270"/>
      <c r="AJ17" s="271">
        <f t="shared" si="3"/>
        <v>7</v>
      </c>
      <c r="AK17" s="249">
        <f>IF(AJ17="","",AJ17+AK16+'OS Offset'!I17)</f>
        <v>28</v>
      </c>
      <c r="AL17" s="250">
        <f t="shared" si="4"/>
        <v>2</v>
      </c>
    </row>
    <row r="18" ht="33.75" customHeight="1">
      <c r="A18" s="230">
        <v>12.0</v>
      </c>
      <c r="B18" s="252" t="s">
        <v>108</v>
      </c>
      <c r="C18" s="230"/>
      <c r="D18" s="246"/>
      <c r="E18" s="246"/>
      <c r="F18" s="246"/>
      <c r="G18" s="253"/>
      <c r="H18" s="254">
        <v>0.0</v>
      </c>
      <c r="I18" s="255"/>
      <c r="J18" s="255"/>
      <c r="K18" s="255"/>
      <c r="L18" s="255"/>
      <c r="M18" s="255"/>
      <c r="N18" s="255"/>
      <c r="O18" s="255"/>
      <c r="P18" s="256"/>
      <c r="Q18" s="257">
        <f t="shared" si="1"/>
        <v>0</v>
      </c>
      <c r="R18" s="249">
        <f>IF(Q18="","",Q18+R17+'OS Offset'!B18)</f>
        <v>77</v>
      </c>
      <c r="S18" s="250">
        <f t="shared" si="2"/>
        <v>1</v>
      </c>
      <c r="T18" s="230">
        <v>12.0</v>
      </c>
      <c r="U18" s="258" t="s">
        <v>74</v>
      </c>
      <c r="V18" s="259"/>
      <c r="W18" s="260" t="s">
        <v>231</v>
      </c>
      <c r="X18" s="260" t="s">
        <v>231</v>
      </c>
      <c r="Y18" s="260"/>
      <c r="Z18" s="261"/>
      <c r="AA18" s="262">
        <v>4.0</v>
      </c>
      <c r="AB18" s="263">
        <v>0.0</v>
      </c>
      <c r="AC18" s="263"/>
      <c r="AD18" s="263"/>
      <c r="AE18" s="263"/>
      <c r="AF18" s="263"/>
      <c r="AG18" s="263"/>
      <c r="AH18" s="263"/>
      <c r="AI18" s="264"/>
      <c r="AJ18" s="265">
        <f t="shared" si="3"/>
        <v>4</v>
      </c>
      <c r="AK18" s="249">
        <f>IF(AJ18="","",AJ18+AK17+'OS Offset'!I18)</f>
        <v>32</v>
      </c>
      <c r="AL18" s="250">
        <f t="shared" si="4"/>
        <v>2</v>
      </c>
    </row>
    <row r="19" ht="33.75" customHeight="1">
      <c r="A19" s="242">
        <v>13.0</v>
      </c>
      <c r="B19" s="243" t="s">
        <v>96</v>
      </c>
      <c r="C19" s="242"/>
      <c r="D19" s="244" t="s">
        <v>231</v>
      </c>
      <c r="E19" s="244" t="s">
        <v>231</v>
      </c>
      <c r="F19" s="244"/>
      <c r="G19" s="245"/>
      <c r="H19" s="230">
        <v>4.0</v>
      </c>
      <c r="I19" s="246">
        <v>4.0</v>
      </c>
      <c r="J19" s="246">
        <v>0.0</v>
      </c>
      <c r="K19" s="246"/>
      <c r="L19" s="246"/>
      <c r="M19" s="246"/>
      <c r="N19" s="246"/>
      <c r="O19" s="246"/>
      <c r="P19" s="247"/>
      <c r="Q19" s="248">
        <f t="shared" si="1"/>
        <v>8</v>
      </c>
      <c r="R19" s="249">
        <f>IF(Q19="","",Q19+R18+'OS Offset'!B19)</f>
        <v>85</v>
      </c>
      <c r="S19" s="250">
        <f t="shared" si="2"/>
        <v>3</v>
      </c>
      <c r="T19" s="266">
        <v>13.0</v>
      </c>
      <c r="U19" s="267" t="s">
        <v>98</v>
      </c>
      <c r="V19" s="266"/>
      <c r="W19" s="268"/>
      <c r="X19" s="268"/>
      <c r="Y19" s="268"/>
      <c r="Z19" s="269"/>
      <c r="AA19" s="259">
        <v>4.0</v>
      </c>
      <c r="AB19" s="260"/>
      <c r="AC19" s="260"/>
      <c r="AD19" s="260"/>
      <c r="AE19" s="260"/>
      <c r="AF19" s="260"/>
      <c r="AG19" s="260"/>
      <c r="AH19" s="260"/>
      <c r="AI19" s="270"/>
      <c r="AJ19" s="271">
        <f t="shared" si="3"/>
        <v>4</v>
      </c>
      <c r="AK19" s="249">
        <f>IF(AJ19="","",AJ19+AK18+'OS Offset'!I19)</f>
        <v>36</v>
      </c>
      <c r="AL19" s="250">
        <f t="shared" si="4"/>
        <v>1</v>
      </c>
    </row>
    <row r="20" ht="33.75" customHeight="1">
      <c r="A20" s="230">
        <v>14.0</v>
      </c>
      <c r="B20" s="252" t="s">
        <v>100</v>
      </c>
      <c r="C20" s="230"/>
      <c r="D20" s="246" t="s">
        <v>231</v>
      </c>
      <c r="E20" s="246" t="s">
        <v>231</v>
      </c>
      <c r="F20" s="246"/>
      <c r="G20" s="253"/>
      <c r="H20" s="254">
        <v>4.0</v>
      </c>
      <c r="I20" s="255">
        <v>4.0</v>
      </c>
      <c r="J20" s="255"/>
      <c r="K20" s="255"/>
      <c r="L20" s="255"/>
      <c r="M20" s="255"/>
      <c r="N20" s="255"/>
      <c r="O20" s="255"/>
      <c r="P20" s="256"/>
      <c r="Q20" s="257">
        <f t="shared" si="1"/>
        <v>8</v>
      </c>
      <c r="R20" s="249">
        <f>IF(Q20="","",Q20+R19+'OS Offset'!B20)</f>
        <v>93</v>
      </c>
      <c r="S20" s="250">
        <f t="shared" si="2"/>
        <v>2</v>
      </c>
      <c r="T20" s="230">
        <v>14.0</v>
      </c>
      <c r="U20" s="258" t="s">
        <v>126</v>
      </c>
      <c r="V20" s="259"/>
      <c r="W20" s="260"/>
      <c r="X20" s="260"/>
      <c r="Y20" s="260"/>
      <c r="Z20" s="261" t="s">
        <v>231</v>
      </c>
      <c r="AA20" s="262"/>
      <c r="AB20" s="263"/>
      <c r="AC20" s="263"/>
      <c r="AD20" s="263"/>
      <c r="AE20" s="263"/>
      <c r="AF20" s="263"/>
      <c r="AG20" s="263"/>
      <c r="AH20" s="263"/>
      <c r="AI20" s="264"/>
      <c r="AJ20" s="265">
        <f t="shared" si="3"/>
        <v>0</v>
      </c>
      <c r="AK20" s="249">
        <f>IF(AJ20="","",AJ20+AK19+'OS Offset'!I20)</f>
        <v>36</v>
      </c>
      <c r="AL20" s="250">
        <f t="shared" si="4"/>
        <v>0</v>
      </c>
    </row>
    <row r="21" ht="33.75" customHeight="1">
      <c r="A21" s="242" t="s">
        <v>232</v>
      </c>
      <c r="B21" s="243"/>
      <c r="C21" s="242"/>
      <c r="D21" s="244"/>
      <c r="E21" s="244"/>
      <c r="F21" s="244"/>
      <c r="G21" s="245"/>
      <c r="H21" s="230"/>
      <c r="I21" s="246"/>
      <c r="J21" s="246"/>
      <c r="K21" s="246"/>
      <c r="L21" s="246"/>
      <c r="M21" s="246"/>
      <c r="N21" s="246"/>
      <c r="O21" s="246"/>
      <c r="P21" s="247"/>
      <c r="Q21" s="248">
        <f t="shared" si="1"/>
        <v>0</v>
      </c>
      <c r="R21" s="249">
        <f>IF(Q21="","",Q21+R20+'OS Offset'!B21)</f>
        <v>93</v>
      </c>
      <c r="S21" s="250">
        <f t="shared" si="2"/>
        <v>0</v>
      </c>
      <c r="T21" s="266" t="s">
        <v>233</v>
      </c>
      <c r="U21" s="267" t="s">
        <v>90</v>
      </c>
      <c r="V21" s="266"/>
      <c r="W21" s="268"/>
      <c r="X21" s="268"/>
      <c r="Y21" s="268"/>
      <c r="Z21" s="269" t="s">
        <v>231</v>
      </c>
      <c r="AA21" s="259"/>
      <c r="AB21" s="260"/>
      <c r="AC21" s="260"/>
      <c r="AD21" s="260"/>
      <c r="AE21" s="260"/>
      <c r="AF21" s="260"/>
      <c r="AG21" s="260"/>
      <c r="AH21" s="260"/>
      <c r="AI21" s="270"/>
      <c r="AJ21" s="271">
        <f t="shared" si="3"/>
        <v>0</v>
      </c>
      <c r="AK21" s="249">
        <f>IF(AJ21="","",AJ21+AK20+'OS Offset'!I21)</f>
        <v>36</v>
      </c>
      <c r="AL21" s="250">
        <f t="shared" si="4"/>
        <v>0</v>
      </c>
    </row>
    <row r="22" ht="33.75" customHeight="1">
      <c r="A22" s="230">
        <v>15.0</v>
      </c>
      <c r="B22" s="252" t="s">
        <v>64</v>
      </c>
      <c r="C22" s="230"/>
      <c r="D22" s="246" t="s">
        <v>231</v>
      </c>
      <c r="E22" s="246" t="s">
        <v>231</v>
      </c>
      <c r="F22" s="246"/>
      <c r="G22" s="253"/>
      <c r="H22" s="254">
        <v>4.0</v>
      </c>
      <c r="I22" s="255">
        <v>4.0</v>
      </c>
      <c r="J22" s="255">
        <v>0.0</v>
      </c>
      <c r="K22" s="255"/>
      <c r="L22" s="255"/>
      <c r="M22" s="255"/>
      <c r="N22" s="255"/>
      <c r="O22" s="255"/>
      <c r="P22" s="256"/>
      <c r="Q22" s="257">
        <f t="shared" si="1"/>
        <v>8</v>
      </c>
      <c r="R22" s="249">
        <f>IF(Q22="","",Q22+R21+'OS Offset'!B22)</f>
        <v>101</v>
      </c>
      <c r="S22" s="250">
        <f t="shared" si="2"/>
        <v>3</v>
      </c>
      <c r="T22" s="230">
        <v>15.0</v>
      </c>
      <c r="U22" s="258" t="s">
        <v>86</v>
      </c>
      <c r="V22" s="259"/>
      <c r="W22" s="260"/>
      <c r="X22" s="260"/>
      <c r="Y22" s="260"/>
      <c r="Z22" s="261" t="s">
        <v>231</v>
      </c>
      <c r="AA22" s="262"/>
      <c r="AB22" s="263"/>
      <c r="AC22" s="263"/>
      <c r="AD22" s="263"/>
      <c r="AE22" s="263"/>
      <c r="AF22" s="263"/>
      <c r="AG22" s="263"/>
      <c r="AH22" s="263"/>
      <c r="AI22" s="264"/>
      <c r="AJ22" s="265">
        <f t="shared" si="3"/>
        <v>0</v>
      </c>
      <c r="AK22" s="249">
        <f>IF(AJ22="","",AJ22+AK21+'OS Offset'!I22)</f>
        <v>36</v>
      </c>
      <c r="AL22" s="250">
        <f t="shared" si="4"/>
        <v>0</v>
      </c>
    </row>
    <row r="23" ht="33.75" customHeight="1">
      <c r="A23" s="242">
        <v>16.0</v>
      </c>
      <c r="B23" s="243" t="s">
        <v>108</v>
      </c>
      <c r="C23" s="242"/>
      <c r="D23" s="244" t="s">
        <v>231</v>
      </c>
      <c r="E23" s="244" t="s">
        <v>231</v>
      </c>
      <c r="F23" s="244"/>
      <c r="G23" s="245"/>
      <c r="H23" s="230">
        <v>4.0</v>
      </c>
      <c r="I23" s="246">
        <v>4.0</v>
      </c>
      <c r="J23" s="246">
        <v>4.0</v>
      </c>
      <c r="K23" s="246"/>
      <c r="L23" s="246"/>
      <c r="M23" s="246"/>
      <c r="N23" s="246"/>
      <c r="O23" s="246"/>
      <c r="P23" s="247"/>
      <c r="Q23" s="248">
        <f t="shared" si="1"/>
        <v>12</v>
      </c>
      <c r="R23" s="249">
        <f>IF(Q23="","",Q23+R22+'OS Offset'!B23)</f>
        <v>113</v>
      </c>
      <c r="S23" s="250">
        <f t="shared" si="2"/>
        <v>3</v>
      </c>
      <c r="T23" s="266">
        <v>16.0</v>
      </c>
      <c r="U23" s="267" t="s">
        <v>86</v>
      </c>
      <c r="V23" s="266"/>
      <c r="W23" s="268"/>
      <c r="X23" s="268"/>
      <c r="Y23" s="268"/>
      <c r="Z23" s="269" t="s">
        <v>231</v>
      </c>
      <c r="AA23" s="259"/>
      <c r="AB23" s="260"/>
      <c r="AC23" s="260"/>
      <c r="AD23" s="260"/>
      <c r="AE23" s="260"/>
      <c r="AF23" s="260"/>
      <c r="AG23" s="260"/>
      <c r="AH23" s="260"/>
      <c r="AI23" s="270"/>
      <c r="AJ23" s="271">
        <f t="shared" si="3"/>
        <v>0</v>
      </c>
      <c r="AK23" s="249">
        <f>IF(AJ23="","",AJ23+AK22+'OS Offset'!I23)</f>
        <v>36</v>
      </c>
      <c r="AL23" s="250">
        <f t="shared" si="4"/>
        <v>0</v>
      </c>
    </row>
    <row r="24" ht="33.75" customHeight="1">
      <c r="A24" s="230" t="s">
        <v>232</v>
      </c>
      <c r="B24" s="252"/>
      <c r="C24" s="230"/>
      <c r="D24" s="246"/>
      <c r="E24" s="246"/>
      <c r="F24" s="246"/>
      <c r="G24" s="253"/>
      <c r="H24" s="254"/>
      <c r="I24" s="255"/>
      <c r="J24" s="255"/>
      <c r="K24" s="255"/>
      <c r="L24" s="255"/>
      <c r="M24" s="255"/>
      <c r="N24" s="255"/>
      <c r="O24" s="255"/>
      <c r="P24" s="256"/>
      <c r="Q24" s="257">
        <f t="shared" si="1"/>
        <v>0</v>
      </c>
      <c r="R24" s="249">
        <f>IF(Q24="","",Q24+R23+'OS Offset'!B24)</f>
        <v>113</v>
      </c>
      <c r="S24" s="250">
        <f t="shared" si="2"/>
        <v>0</v>
      </c>
      <c r="T24" s="230" t="s">
        <v>233</v>
      </c>
      <c r="U24" s="258" t="s">
        <v>90</v>
      </c>
      <c r="V24" s="259"/>
      <c r="W24" s="260"/>
      <c r="X24" s="260"/>
      <c r="Y24" s="260"/>
      <c r="Z24" s="261" t="s">
        <v>231</v>
      </c>
      <c r="AA24" s="262"/>
      <c r="AB24" s="263"/>
      <c r="AC24" s="263"/>
      <c r="AD24" s="263"/>
      <c r="AE24" s="263"/>
      <c r="AF24" s="263"/>
      <c r="AG24" s="263"/>
      <c r="AH24" s="263"/>
      <c r="AI24" s="264"/>
      <c r="AJ24" s="265">
        <f t="shared" si="3"/>
        <v>0</v>
      </c>
      <c r="AK24" s="249">
        <f>IF(AJ24="","",AJ24+AK23+'OS Offset'!I24)</f>
        <v>36</v>
      </c>
      <c r="AL24" s="250">
        <f t="shared" si="4"/>
        <v>0</v>
      </c>
    </row>
    <row r="25" ht="33.75" customHeight="1">
      <c r="A25" s="242">
        <v>17.0</v>
      </c>
      <c r="B25" s="243" t="s">
        <v>96</v>
      </c>
      <c r="C25" s="242"/>
      <c r="D25" s="244" t="s">
        <v>231</v>
      </c>
      <c r="E25" s="244" t="s">
        <v>231</v>
      </c>
      <c r="F25" s="244"/>
      <c r="G25" s="245"/>
      <c r="H25" s="230">
        <v>4.0</v>
      </c>
      <c r="I25" s="246">
        <v>4.0</v>
      </c>
      <c r="J25" s="246">
        <v>0.0</v>
      </c>
      <c r="K25" s="246"/>
      <c r="L25" s="246"/>
      <c r="M25" s="246"/>
      <c r="N25" s="246"/>
      <c r="O25" s="246"/>
      <c r="P25" s="247"/>
      <c r="Q25" s="248">
        <f t="shared" si="1"/>
        <v>8</v>
      </c>
      <c r="R25" s="249">
        <f>IF(Q25="","",Q25+R24+'OS Offset'!B25)</f>
        <v>121</v>
      </c>
      <c r="S25" s="250">
        <f t="shared" si="2"/>
        <v>3</v>
      </c>
      <c r="T25" s="266">
        <v>17.0</v>
      </c>
      <c r="U25" s="267" t="s">
        <v>74</v>
      </c>
      <c r="V25" s="266"/>
      <c r="W25" s="268"/>
      <c r="X25" s="268"/>
      <c r="Y25" s="268"/>
      <c r="Z25" s="269" t="s">
        <v>231</v>
      </c>
      <c r="AA25" s="259"/>
      <c r="AB25" s="260"/>
      <c r="AC25" s="260"/>
      <c r="AD25" s="260"/>
      <c r="AE25" s="260"/>
      <c r="AF25" s="260"/>
      <c r="AG25" s="260"/>
      <c r="AH25" s="260"/>
      <c r="AI25" s="270"/>
      <c r="AJ25" s="271">
        <f t="shared" si="3"/>
        <v>0</v>
      </c>
      <c r="AK25" s="249">
        <f>IF(AJ25="","",AJ25+AK24+'OS Offset'!I25)</f>
        <v>36</v>
      </c>
      <c r="AL25" s="250">
        <f t="shared" si="4"/>
        <v>0</v>
      </c>
    </row>
    <row r="26" ht="33.75" customHeight="1">
      <c r="A26" s="230" t="s">
        <v>232</v>
      </c>
      <c r="B26" s="252"/>
      <c r="C26" s="230"/>
      <c r="D26" s="246"/>
      <c r="E26" s="246"/>
      <c r="F26" s="246"/>
      <c r="G26" s="253"/>
      <c r="H26" s="254"/>
      <c r="I26" s="255"/>
      <c r="J26" s="255"/>
      <c r="K26" s="255"/>
      <c r="L26" s="255"/>
      <c r="M26" s="255"/>
      <c r="N26" s="255"/>
      <c r="O26" s="255"/>
      <c r="P26" s="256"/>
      <c r="Q26" s="257">
        <f t="shared" si="1"/>
        <v>0</v>
      </c>
      <c r="R26" s="249">
        <f>IF(Q26="","",Q26+R25+'OS Offset'!B26)</f>
        <v>121</v>
      </c>
      <c r="S26" s="250">
        <f t="shared" si="2"/>
        <v>0</v>
      </c>
      <c r="T26" s="230" t="s">
        <v>233</v>
      </c>
      <c r="U26" s="258" t="s">
        <v>114</v>
      </c>
      <c r="V26" s="259"/>
      <c r="W26" s="260"/>
      <c r="X26" s="260"/>
      <c r="Y26" s="260"/>
      <c r="Z26" s="261"/>
      <c r="AA26" s="262">
        <v>0.0</v>
      </c>
      <c r="AB26" s="263"/>
      <c r="AC26" s="263"/>
      <c r="AD26" s="263"/>
      <c r="AE26" s="263"/>
      <c r="AF26" s="263"/>
      <c r="AG26" s="263"/>
      <c r="AH26" s="263"/>
      <c r="AI26" s="264"/>
      <c r="AJ26" s="265">
        <f t="shared" si="3"/>
        <v>0</v>
      </c>
      <c r="AK26" s="249">
        <f>IF(AJ26="","",AJ26+AK25+'OS Offset'!I26)</f>
        <v>36</v>
      </c>
      <c r="AL26" s="250">
        <f t="shared" si="4"/>
        <v>1</v>
      </c>
    </row>
    <row r="27" ht="33.75" customHeight="1">
      <c r="A27" s="242">
        <v>18.0</v>
      </c>
      <c r="B27" s="243" t="s">
        <v>100</v>
      </c>
      <c r="C27" s="242"/>
      <c r="D27" s="244"/>
      <c r="E27" s="244"/>
      <c r="F27" s="244"/>
      <c r="G27" s="245"/>
      <c r="H27" s="230">
        <v>3.0</v>
      </c>
      <c r="I27" s="246"/>
      <c r="J27" s="246"/>
      <c r="K27" s="246"/>
      <c r="L27" s="246"/>
      <c r="M27" s="246"/>
      <c r="N27" s="246"/>
      <c r="O27" s="246"/>
      <c r="P27" s="247"/>
      <c r="Q27" s="248">
        <f t="shared" si="1"/>
        <v>3</v>
      </c>
      <c r="R27" s="249">
        <f>IF(Q27="","",Q27+R26+'OS Offset'!B27)</f>
        <v>124</v>
      </c>
      <c r="S27" s="250">
        <f t="shared" si="2"/>
        <v>1</v>
      </c>
      <c r="T27" s="266">
        <v>18.0</v>
      </c>
      <c r="U27" s="267" t="s">
        <v>98</v>
      </c>
      <c r="V27" s="266"/>
      <c r="W27" s="268" t="s">
        <v>231</v>
      </c>
      <c r="X27" s="268"/>
      <c r="Y27" s="268"/>
      <c r="Z27" s="269"/>
      <c r="AA27" s="259">
        <v>4.0</v>
      </c>
      <c r="AB27" s="260">
        <v>4.0</v>
      </c>
      <c r="AC27" s="260">
        <v>4.0</v>
      </c>
      <c r="AD27" s="260">
        <v>0.0</v>
      </c>
      <c r="AE27" s="260"/>
      <c r="AF27" s="260"/>
      <c r="AG27" s="260"/>
      <c r="AH27" s="260"/>
      <c r="AI27" s="270"/>
      <c r="AJ27" s="271">
        <f t="shared" si="3"/>
        <v>12</v>
      </c>
      <c r="AK27" s="249">
        <f>IF(AJ27="","",AJ27+AK26+'OS Offset'!I27)</f>
        <v>48</v>
      </c>
      <c r="AL27" s="250">
        <f t="shared" si="4"/>
        <v>4</v>
      </c>
    </row>
    <row r="28" ht="33.75" customHeight="1">
      <c r="A28" s="230">
        <v>19.0</v>
      </c>
      <c r="B28" s="252" t="s">
        <v>64</v>
      </c>
      <c r="C28" s="230"/>
      <c r="D28" s="246"/>
      <c r="E28" s="246"/>
      <c r="F28" s="246"/>
      <c r="G28" s="253"/>
      <c r="H28" s="254">
        <v>0.0</v>
      </c>
      <c r="I28" s="255"/>
      <c r="J28" s="255"/>
      <c r="K28" s="255"/>
      <c r="L28" s="255"/>
      <c r="M28" s="255"/>
      <c r="N28" s="255"/>
      <c r="O28" s="255"/>
      <c r="P28" s="256"/>
      <c r="Q28" s="257">
        <f t="shared" si="1"/>
        <v>0</v>
      </c>
      <c r="R28" s="249">
        <f>IF(Q28="","",Q28+R27+'OS Offset'!B28)</f>
        <v>124</v>
      </c>
      <c r="S28" s="250">
        <f t="shared" si="2"/>
        <v>1</v>
      </c>
      <c r="T28" s="230">
        <v>19.0</v>
      </c>
      <c r="U28" s="258" t="s">
        <v>126</v>
      </c>
      <c r="V28" s="259"/>
      <c r="W28" s="260" t="s">
        <v>231</v>
      </c>
      <c r="X28" s="260" t="s">
        <v>231</v>
      </c>
      <c r="Y28" s="260"/>
      <c r="Z28" s="261"/>
      <c r="AA28" s="262">
        <v>0.0</v>
      </c>
      <c r="AB28" s="263"/>
      <c r="AC28" s="263"/>
      <c r="AD28" s="263"/>
      <c r="AE28" s="263"/>
      <c r="AF28" s="263"/>
      <c r="AG28" s="263"/>
      <c r="AH28" s="263"/>
      <c r="AI28" s="264"/>
      <c r="AJ28" s="265">
        <f t="shared" si="3"/>
        <v>0</v>
      </c>
      <c r="AK28" s="249">
        <f>IF(AJ28="","",AJ28+AK27+'OS Offset'!I28)</f>
        <v>48</v>
      </c>
      <c r="AL28" s="250">
        <f t="shared" si="4"/>
        <v>1</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234</v>
      </c>
      <c r="C42" s="278">
        <f t="shared" ref="C42:G42" si="5">IF($A$42="","",COUNTIF(C$4:C$41, "X"))</f>
        <v>2</v>
      </c>
      <c r="D42" s="279">
        <f t="shared" si="5"/>
        <v>13</v>
      </c>
      <c r="E42" s="279">
        <f t="shared" si="5"/>
        <v>13</v>
      </c>
      <c r="F42" s="279">
        <f t="shared" si="5"/>
        <v>0</v>
      </c>
      <c r="G42" s="279">
        <f t="shared" si="5"/>
        <v>0</v>
      </c>
      <c r="H42" s="280">
        <f t="shared" ref="H42:Q42" si="6">IF(COUNT(H4:H41),SUM(H4:H41),"")</f>
        <v>66</v>
      </c>
      <c r="I42" s="281">
        <f t="shared" si="6"/>
        <v>33</v>
      </c>
      <c r="J42" s="281">
        <f t="shared" si="6"/>
        <v>16</v>
      </c>
      <c r="K42" s="281">
        <f t="shared" si="6"/>
        <v>4</v>
      </c>
      <c r="L42" s="281">
        <f t="shared" si="6"/>
        <v>4</v>
      </c>
      <c r="M42" s="281">
        <f t="shared" si="6"/>
        <v>1</v>
      </c>
      <c r="N42" s="281" t="str">
        <f t="shared" si="6"/>
        <v/>
      </c>
      <c r="O42" s="281" t="str">
        <f t="shared" si="6"/>
        <v/>
      </c>
      <c r="P42" s="282" t="str">
        <f t="shared" si="6"/>
        <v/>
      </c>
      <c r="Q42" s="283">
        <f t="shared" si="6"/>
        <v>124</v>
      </c>
      <c r="R42" s="284">
        <f>IF(A42="","",MAX(R4:R41))</f>
        <v>124</v>
      </c>
      <c r="S42" s="285"/>
      <c r="T42" s="286">
        <f>IF(COUNT(T4:T41),COUNT(T4:T41),"")</f>
        <v>19</v>
      </c>
      <c r="U42" s="277" t="s">
        <v>234</v>
      </c>
      <c r="V42" s="287">
        <f t="shared" ref="V42:Z42" si="7">IF($T$42="","",COUNTIF(V$4:V$41, "X"))</f>
        <v>2</v>
      </c>
      <c r="W42" s="279">
        <f t="shared" si="7"/>
        <v>5</v>
      </c>
      <c r="X42" s="279">
        <f t="shared" si="7"/>
        <v>3</v>
      </c>
      <c r="Y42" s="279">
        <f t="shared" si="7"/>
        <v>0</v>
      </c>
      <c r="Z42" s="279">
        <f t="shared" si="7"/>
        <v>12</v>
      </c>
      <c r="AA42" s="280">
        <f t="shared" ref="AA42:AJ42" si="8">IF(COUNT(AA4:AA41),SUM(AA4:AA41),"")</f>
        <v>30</v>
      </c>
      <c r="AB42" s="281">
        <f t="shared" si="8"/>
        <v>12</v>
      </c>
      <c r="AC42" s="281">
        <f t="shared" si="8"/>
        <v>6</v>
      </c>
      <c r="AD42" s="281">
        <f t="shared" si="8"/>
        <v>0</v>
      </c>
      <c r="AE42" s="281" t="str">
        <f t="shared" si="8"/>
        <v/>
      </c>
      <c r="AF42" s="281" t="str">
        <f t="shared" si="8"/>
        <v/>
      </c>
      <c r="AG42" s="281" t="str">
        <f t="shared" si="8"/>
        <v/>
      </c>
      <c r="AH42" s="281" t="str">
        <f t="shared" si="8"/>
        <v/>
      </c>
      <c r="AI42" s="288" t="str">
        <f t="shared" si="8"/>
        <v/>
      </c>
      <c r="AJ42" s="289">
        <f t="shared" si="8"/>
        <v>48</v>
      </c>
      <c r="AK42" s="284">
        <f>IF(T42="","",MAX(AK4:AK41))</f>
        <v>48</v>
      </c>
      <c r="AL42" s="290"/>
    </row>
    <row r="43" ht="30.0" customHeight="1">
      <c r="A43" s="206" t="str">
        <f>A1</f>
        <v>Arizona Roller Derby / All Stars</v>
      </c>
      <c r="B43" s="207"/>
      <c r="C43" s="207"/>
      <c r="D43" s="207"/>
      <c r="E43" s="207"/>
      <c r="F43" s="207"/>
      <c r="G43" s="207"/>
      <c r="H43" s="208"/>
      <c r="I43" s="209" t="str">
        <f>IF(ISBLANK(I1), "", I1)</f>
        <v>White</v>
      </c>
      <c r="J43" s="153"/>
      <c r="K43" s="210">
        <f>IF(ISBLANK(IGRF!$B$7), "", IGRF!$B$7)</f>
        <v>45128</v>
      </c>
      <c r="L43" s="211" t="s">
        <v>183</v>
      </c>
      <c r="M43" s="153"/>
      <c r="N43" s="153"/>
      <c r="O43" s="212" t="s">
        <v>197</v>
      </c>
      <c r="P43" s="170"/>
      <c r="Q43" s="213"/>
      <c r="R43" s="214">
        <v>2.0</v>
      </c>
      <c r="S43" s="215"/>
      <c r="T43" s="206" t="str">
        <f>T1</f>
        <v>Elevated Roller Derby / Elevated Roller Derby All Stars</v>
      </c>
      <c r="U43" s="207"/>
      <c r="V43" s="207"/>
      <c r="W43" s="207"/>
      <c r="X43" s="207"/>
      <c r="Y43" s="207"/>
      <c r="Z43" s="207"/>
      <c r="AA43" s="208"/>
      <c r="AB43" s="209" t="str">
        <f>IF(ISBLANK(AB1), "", AB1)</f>
        <v>Black</v>
      </c>
      <c r="AC43" s="153"/>
      <c r="AD43" s="210">
        <f>IF(ISBLANK(IGRF!$B$7), "", IGRF!$B$7)</f>
        <v>45128</v>
      </c>
      <c r="AE43" s="211" t="s">
        <v>181</v>
      </c>
      <c r="AF43" s="153"/>
      <c r="AG43" s="153"/>
      <c r="AH43" s="212" t="s">
        <v>199</v>
      </c>
      <c r="AI43" s="170"/>
      <c r="AJ43" s="213"/>
      <c r="AK43" s="214">
        <v>2.0</v>
      </c>
      <c r="AL43" s="43"/>
    </row>
    <row r="44" ht="15.0" customHeight="1">
      <c r="A44" s="216"/>
      <c r="B44" s="20"/>
      <c r="C44" s="20"/>
      <c r="D44" s="20"/>
      <c r="E44" s="20"/>
      <c r="F44" s="20"/>
      <c r="G44" s="20"/>
      <c r="H44" s="158"/>
      <c r="I44" s="291" t="s">
        <v>209</v>
      </c>
      <c r="J44" s="20"/>
      <c r="K44" s="218" t="s">
        <v>210</v>
      </c>
      <c r="L44" s="217" t="s">
        <v>180</v>
      </c>
      <c r="M44" s="71"/>
      <c r="N44" s="71"/>
      <c r="O44" s="219" t="s">
        <v>211</v>
      </c>
      <c r="P44" s="71"/>
      <c r="Q44" s="72"/>
      <c r="R44" s="220" t="str">
        <f>R2</f>
        <v>GAME 03</v>
      </c>
      <c r="S44" s="215"/>
      <c r="T44" s="216"/>
      <c r="U44" s="20"/>
      <c r="V44" s="20"/>
      <c r="W44" s="20"/>
      <c r="X44" s="20"/>
      <c r="Y44" s="20"/>
      <c r="Z44" s="20"/>
      <c r="AA44" s="158"/>
      <c r="AB44" s="291" t="s">
        <v>209</v>
      </c>
      <c r="AC44" s="20"/>
      <c r="AD44" s="218" t="s">
        <v>210</v>
      </c>
      <c r="AE44" s="217" t="s">
        <v>180</v>
      </c>
      <c r="AF44" s="71"/>
      <c r="AG44" s="71"/>
      <c r="AH44" s="219" t="s">
        <v>211</v>
      </c>
      <c r="AI44" s="71"/>
      <c r="AJ44" s="72"/>
      <c r="AK44" s="220" t="str">
        <f>AK2</f>
        <v>GAME 03</v>
      </c>
      <c r="AL44" s="43"/>
    </row>
    <row r="45" ht="34.5" customHeight="1">
      <c r="A45" s="221" t="s">
        <v>212</v>
      </c>
      <c r="B45" s="222" t="s">
        <v>213</v>
      </c>
      <c r="C45" s="223" t="s">
        <v>214</v>
      </c>
      <c r="D45" s="224" t="s">
        <v>215</v>
      </c>
      <c r="E45" s="224" t="s">
        <v>216</v>
      </c>
      <c r="F45" s="224" t="s">
        <v>217</v>
      </c>
      <c r="G45" s="225" t="s">
        <v>218</v>
      </c>
      <c r="H45" s="221" t="s">
        <v>219</v>
      </c>
      <c r="I45" s="226" t="s">
        <v>220</v>
      </c>
      <c r="J45" s="226" t="s">
        <v>221</v>
      </c>
      <c r="K45" s="226" t="s">
        <v>222</v>
      </c>
      <c r="L45" s="226" t="s">
        <v>223</v>
      </c>
      <c r="M45" s="226" t="s">
        <v>224</v>
      </c>
      <c r="N45" s="226" t="s">
        <v>225</v>
      </c>
      <c r="O45" s="226" t="s">
        <v>226</v>
      </c>
      <c r="P45" s="226" t="s">
        <v>227</v>
      </c>
      <c r="Q45" s="227" t="s">
        <v>228</v>
      </c>
      <c r="R45" s="292">
        <f>R42</f>
        <v>124</v>
      </c>
      <c r="S45" s="229" t="s">
        <v>230</v>
      </c>
      <c r="T45" s="221" t="s">
        <v>212</v>
      </c>
      <c r="U45" s="222" t="s">
        <v>213</v>
      </c>
      <c r="V45" s="223" t="s">
        <v>214</v>
      </c>
      <c r="W45" s="224" t="s">
        <v>215</v>
      </c>
      <c r="X45" s="224" t="s">
        <v>216</v>
      </c>
      <c r="Y45" s="224" t="s">
        <v>217</v>
      </c>
      <c r="Z45" s="225" t="s">
        <v>218</v>
      </c>
      <c r="AA45" s="221" t="s">
        <v>219</v>
      </c>
      <c r="AB45" s="226" t="s">
        <v>220</v>
      </c>
      <c r="AC45" s="226" t="s">
        <v>221</v>
      </c>
      <c r="AD45" s="226" t="s">
        <v>222</v>
      </c>
      <c r="AE45" s="226" t="s">
        <v>223</v>
      </c>
      <c r="AF45" s="226" t="s">
        <v>224</v>
      </c>
      <c r="AG45" s="226" t="s">
        <v>225</v>
      </c>
      <c r="AH45" s="226" t="s">
        <v>226</v>
      </c>
      <c r="AI45" s="226" t="s">
        <v>227</v>
      </c>
      <c r="AJ45" s="227" t="s">
        <v>228</v>
      </c>
      <c r="AK45" s="293">
        <f>AK42</f>
        <v>48</v>
      </c>
      <c r="AL45" s="294" t="s">
        <v>230</v>
      </c>
    </row>
    <row r="46" ht="33.75" customHeight="1">
      <c r="A46" s="230">
        <v>1.0</v>
      </c>
      <c r="B46" s="295" t="s">
        <v>108</v>
      </c>
      <c r="C46" s="296"/>
      <c r="D46" s="297" t="s">
        <v>231</v>
      </c>
      <c r="E46" s="297" t="s">
        <v>231</v>
      </c>
      <c r="F46" s="297"/>
      <c r="G46" s="298"/>
      <c r="H46" s="299">
        <v>4.0</v>
      </c>
      <c r="I46" s="300">
        <v>4.0</v>
      </c>
      <c r="J46" s="300">
        <v>4.0</v>
      </c>
      <c r="K46" s="300"/>
      <c r="L46" s="300"/>
      <c r="M46" s="300"/>
      <c r="N46" s="300"/>
      <c r="O46" s="300"/>
      <c r="P46" s="301"/>
      <c r="Q46" s="302">
        <f t="shared" ref="Q46:Q83" si="9">IF(ISBLANK(A46),"",IF(ISBLANK(G46),SUM(H46:P46),0))</f>
        <v>12</v>
      </c>
      <c r="R46" s="249">
        <f>IF(Q46="","",Q46+R45+'OS Offset'!B46)</f>
        <v>136</v>
      </c>
      <c r="S46" s="250">
        <f t="shared" ref="S46:S83" si="10">IF(G46="X",0,COUNT(H46:P46))</f>
        <v>3</v>
      </c>
      <c r="T46" s="303">
        <v>1.0</v>
      </c>
      <c r="U46" s="295" t="s">
        <v>74</v>
      </c>
      <c r="V46" s="296"/>
      <c r="W46" s="297"/>
      <c r="X46" s="297"/>
      <c r="Y46" s="297"/>
      <c r="Z46" s="298" t="s">
        <v>231</v>
      </c>
      <c r="AA46" s="299"/>
      <c r="AB46" s="300"/>
      <c r="AC46" s="300"/>
      <c r="AD46" s="300"/>
      <c r="AE46" s="300"/>
      <c r="AF46" s="300"/>
      <c r="AG46" s="300"/>
      <c r="AH46" s="300"/>
      <c r="AI46" s="301"/>
      <c r="AJ46" s="302">
        <f t="shared" ref="AJ46:AJ83" si="11">IF(ISBLANK(T46),"",IF(ISBLANK(Z46),SUM(AA46:AI46),0))</f>
        <v>0</v>
      </c>
      <c r="AK46" s="304">
        <f>IF(AJ46="","",AJ46+AK45+'OS Offset'!I46)</f>
        <v>48</v>
      </c>
      <c r="AL46" s="250">
        <f t="shared" ref="AL46:AL83" si="12">IF(Z46="X",0,COUNT(AA46:AI46))</f>
        <v>0</v>
      </c>
    </row>
    <row r="47" ht="33.75" customHeight="1">
      <c r="A47" s="242">
        <v>2.0</v>
      </c>
      <c r="B47" s="251" t="s">
        <v>96</v>
      </c>
      <c r="C47" s="242"/>
      <c r="D47" s="244" t="s">
        <v>231</v>
      </c>
      <c r="E47" s="244" t="s">
        <v>231</v>
      </c>
      <c r="F47" s="244"/>
      <c r="G47" s="245"/>
      <c r="H47" s="230">
        <v>4.0</v>
      </c>
      <c r="I47" s="246">
        <v>4.0</v>
      </c>
      <c r="J47" s="246">
        <v>4.0</v>
      </c>
      <c r="K47" s="246">
        <v>3.0</v>
      </c>
      <c r="L47" s="246"/>
      <c r="M47" s="246"/>
      <c r="N47" s="246"/>
      <c r="O47" s="246"/>
      <c r="P47" s="247"/>
      <c r="Q47" s="248">
        <f t="shared" si="9"/>
        <v>15</v>
      </c>
      <c r="R47" s="249">
        <f>IF(Q47="","",Q47+R46+'OS Offset'!B47)</f>
        <v>151</v>
      </c>
      <c r="S47" s="250">
        <f t="shared" si="10"/>
        <v>4</v>
      </c>
      <c r="T47" s="305">
        <v>2.0</v>
      </c>
      <c r="U47" s="251" t="s">
        <v>98</v>
      </c>
      <c r="V47" s="242"/>
      <c r="W47" s="244"/>
      <c r="X47" s="244"/>
      <c r="Y47" s="244"/>
      <c r="Z47" s="245" t="s">
        <v>231</v>
      </c>
      <c r="AA47" s="230"/>
      <c r="AB47" s="246"/>
      <c r="AC47" s="246"/>
      <c r="AD47" s="246"/>
      <c r="AE47" s="246"/>
      <c r="AF47" s="246"/>
      <c r="AG47" s="246"/>
      <c r="AH47" s="246"/>
      <c r="AI47" s="247"/>
      <c r="AJ47" s="248">
        <f t="shared" si="11"/>
        <v>0</v>
      </c>
      <c r="AK47" s="249">
        <f>IF(AJ47="","",AJ47+AK46+'OS Offset'!I47)</f>
        <v>48</v>
      </c>
      <c r="AL47" s="250">
        <f t="shared" si="12"/>
        <v>0</v>
      </c>
    </row>
    <row r="48" ht="33.75" customHeight="1">
      <c r="A48" s="306">
        <v>3.0</v>
      </c>
      <c r="B48" s="307" t="s">
        <v>100</v>
      </c>
      <c r="C48" s="230"/>
      <c r="D48" s="246" t="s">
        <v>231</v>
      </c>
      <c r="E48" s="246" t="s">
        <v>231</v>
      </c>
      <c r="F48" s="246"/>
      <c r="G48" s="253"/>
      <c r="H48" s="254">
        <v>4.0</v>
      </c>
      <c r="I48" s="255">
        <v>4.0</v>
      </c>
      <c r="J48" s="255">
        <v>4.0</v>
      </c>
      <c r="K48" s="255"/>
      <c r="L48" s="255"/>
      <c r="M48" s="255"/>
      <c r="N48" s="255"/>
      <c r="O48" s="255"/>
      <c r="P48" s="256"/>
      <c r="Q48" s="265">
        <f t="shared" si="9"/>
        <v>12</v>
      </c>
      <c r="R48" s="249">
        <f>IF(Q48="","",Q48+R47+'OS Offset'!B48)</f>
        <v>163</v>
      </c>
      <c r="S48" s="250">
        <f t="shared" si="10"/>
        <v>3</v>
      </c>
      <c r="T48" s="303">
        <v>3.0</v>
      </c>
      <c r="U48" s="307" t="s">
        <v>98</v>
      </c>
      <c r="V48" s="230"/>
      <c r="W48" s="246"/>
      <c r="X48" s="246"/>
      <c r="Y48" s="246"/>
      <c r="Z48" s="253" t="s">
        <v>231</v>
      </c>
      <c r="AA48" s="254"/>
      <c r="AB48" s="255"/>
      <c r="AC48" s="255"/>
      <c r="AD48" s="255"/>
      <c r="AE48" s="255"/>
      <c r="AF48" s="255"/>
      <c r="AG48" s="255"/>
      <c r="AH48" s="255"/>
      <c r="AI48" s="256"/>
      <c r="AJ48" s="308">
        <f t="shared" si="11"/>
        <v>0</v>
      </c>
      <c r="AK48" s="249">
        <f>IF(AJ48="","",AJ48+AK47+'OS Offset'!I48)</f>
        <v>48</v>
      </c>
      <c r="AL48" s="250">
        <f t="shared" si="12"/>
        <v>0</v>
      </c>
    </row>
    <row r="49" ht="33.75" customHeight="1">
      <c r="A49" s="242" t="s">
        <v>232</v>
      </c>
      <c r="B49" s="251"/>
      <c r="C49" s="242"/>
      <c r="D49" s="244"/>
      <c r="E49" s="244"/>
      <c r="F49" s="244"/>
      <c r="G49" s="245"/>
      <c r="H49" s="230"/>
      <c r="I49" s="246"/>
      <c r="J49" s="246"/>
      <c r="K49" s="246"/>
      <c r="L49" s="246"/>
      <c r="M49" s="246"/>
      <c r="N49" s="246"/>
      <c r="O49" s="246"/>
      <c r="P49" s="247"/>
      <c r="Q49" s="271">
        <f t="shared" si="9"/>
        <v>0</v>
      </c>
      <c r="R49" s="249">
        <f>IF(Q49="","",Q49+R48+'OS Offset'!B49)</f>
        <v>163</v>
      </c>
      <c r="S49" s="250">
        <f t="shared" si="10"/>
        <v>0</v>
      </c>
      <c r="T49" s="305" t="s">
        <v>233</v>
      </c>
      <c r="U49" s="251" t="s">
        <v>114</v>
      </c>
      <c r="V49" s="242"/>
      <c r="W49" s="244"/>
      <c r="X49" s="244"/>
      <c r="Y49" s="244"/>
      <c r="Z49" s="245"/>
      <c r="AA49" s="230">
        <v>0.0</v>
      </c>
      <c r="AB49" s="246"/>
      <c r="AC49" s="246"/>
      <c r="AD49" s="246"/>
      <c r="AE49" s="246"/>
      <c r="AF49" s="246"/>
      <c r="AG49" s="246"/>
      <c r="AH49" s="246"/>
      <c r="AI49" s="247"/>
      <c r="AJ49" s="248">
        <f t="shared" si="11"/>
        <v>0</v>
      </c>
      <c r="AK49" s="249">
        <f>IF(AJ49="","",AJ49+AK48+'OS Offset'!I49)</f>
        <v>48</v>
      </c>
      <c r="AL49" s="250">
        <f t="shared" si="12"/>
        <v>1</v>
      </c>
    </row>
    <row r="50" ht="33.75" customHeight="1">
      <c r="A50" s="306">
        <v>4.0</v>
      </c>
      <c r="B50" s="307" t="s">
        <v>64</v>
      </c>
      <c r="C50" s="230"/>
      <c r="D50" s="246" t="s">
        <v>231</v>
      </c>
      <c r="E50" s="246" t="s">
        <v>231</v>
      </c>
      <c r="F50" s="246"/>
      <c r="G50" s="253"/>
      <c r="H50" s="254">
        <v>4.0</v>
      </c>
      <c r="I50" s="255">
        <v>4.0</v>
      </c>
      <c r="J50" s="255">
        <v>4.0</v>
      </c>
      <c r="K50" s="255">
        <v>4.0</v>
      </c>
      <c r="L50" s="255">
        <v>0.0</v>
      </c>
      <c r="M50" s="255"/>
      <c r="N50" s="255"/>
      <c r="O50" s="255"/>
      <c r="P50" s="256"/>
      <c r="Q50" s="265">
        <f t="shared" si="9"/>
        <v>16</v>
      </c>
      <c r="R50" s="249">
        <f>IF(Q50="","",Q50+R49+'OS Offset'!B50)</f>
        <v>179</v>
      </c>
      <c r="S50" s="250">
        <f t="shared" si="10"/>
        <v>5</v>
      </c>
      <c r="T50" s="303">
        <v>4.0</v>
      </c>
      <c r="U50" s="307" t="s">
        <v>126</v>
      </c>
      <c r="V50" s="230"/>
      <c r="W50" s="246"/>
      <c r="X50" s="246"/>
      <c r="Y50" s="246"/>
      <c r="Z50" s="253"/>
      <c r="AA50" s="254">
        <v>4.0</v>
      </c>
      <c r="AB50" s="255"/>
      <c r="AC50" s="255"/>
      <c r="AD50" s="255"/>
      <c r="AE50" s="255"/>
      <c r="AF50" s="255"/>
      <c r="AG50" s="255"/>
      <c r="AH50" s="255"/>
      <c r="AI50" s="256"/>
      <c r="AJ50" s="308">
        <f t="shared" si="11"/>
        <v>4</v>
      </c>
      <c r="AK50" s="249">
        <f>IF(AJ50="","",AJ50+AK49+'OS Offset'!I50)</f>
        <v>52</v>
      </c>
      <c r="AL50" s="250">
        <f t="shared" si="12"/>
        <v>1</v>
      </c>
    </row>
    <row r="51" ht="33.75" customHeight="1">
      <c r="A51" s="242">
        <v>5.0</v>
      </c>
      <c r="B51" s="251" t="s">
        <v>108</v>
      </c>
      <c r="C51" s="242"/>
      <c r="D51" s="244" t="s">
        <v>231</v>
      </c>
      <c r="E51" s="244" t="s">
        <v>231</v>
      </c>
      <c r="F51" s="244"/>
      <c r="G51" s="245"/>
      <c r="H51" s="230">
        <v>4.0</v>
      </c>
      <c r="I51" s="246">
        <v>4.0</v>
      </c>
      <c r="J51" s="246">
        <v>4.0</v>
      </c>
      <c r="K51" s="246">
        <v>0.0</v>
      </c>
      <c r="L51" s="246"/>
      <c r="M51" s="246"/>
      <c r="N51" s="246"/>
      <c r="O51" s="246"/>
      <c r="P51" s="247"/>
      <c r="Q51" s="271">
        <f t="shared" si="9"/>
        <v>12</v>
      </c>
      <c r="R51" s="249">
        <f>IF(Q51="","",Q51+R50+'OS Offset'!B51)</f>
        <v>191</v>
      </c>
      <c r="S51" s="250">
        <f t="shared" si="10"/>
        <v>4</v>
      </c>
      <c r="T51" s="305">
        <v>5.0</v>
      </c>
      <c r="U51" s="251" t="s">
        <v>74</v>
      </c>
      <c r="V51" s="242"/>
      <c r="W51" s="244"/>
      <c r="X51" s="244"/>
      <c r="Y51" s="244"/>
      <c r="Z51" s="245"/>
      <c r="AA51" s="230">
        <v>0.0</v>
      </c>
      <c r="AB51" s="246"/>
      <c r="AC51" s="246"/>
      <c r="AD51" s="246"/>
      <c r="AE51" s="246"/>
      <c r="AF51" s="246"/>
      <c r="AG51" s="246"/>
      <c r="AH51" s="246"/>
      <c r="AI51" s="247"/>
      <c r="AJ51" s="248">
        <f t="shared" si="11"/>
        <v>0</v>
      </c>
      <c r="AK51" s="249">
        <f>IF(AJ51="","",AJ51+AK50+'OS Offset'!I51)</f>
        <v>52</v>
      </c>
      <c r="AL51" s="250">
        <f t="shared" si="12"/>
        <v>1</v>
      </c>
    </row>
    <row r="52" ht="33.75" customHeight="1">
      <c r="A52" s="306">
        <v>6.0</v>
      </c>
      <c r="B52" s="307" t="s">
        <v>96</v>
      </c>
      <c r="C52" s="230"/>
      <c r="D52" s="246" t="s">
        <v>231</v>
      </c>
      <c r="E52" s="246" t="s">
        <v>231</v>
      </c>
      <c r="F52" s="246"/>
      <c r="G52" s="253"/>
      <c r="H52" s="254">
        <v>4.0</v>
      </c>
      <c r="I52" s="255">
        <v>4.0</v>
      </c>
      <c r="J52" s="255">
        <v>4.0</v>
      </c>
      <c r="K52" s="255"/>
      <c r="L52" s="255"/>
      <c r="M52" s="255"/>
      <c r="N52" s="255"/>
      <c r="O52" s="255"/>
      <c r="P52" s="256"/>
      <c r="Q52" s="265">
        <f t="shared" si="9"/>
        <v>12</v>
      </c>
      <c r="R52" s="249">
        <f>IF(Q52="","",Q52+R51+'OS Offset'!B52)</f>
        <v>203</v>
      </c>
      <c r="S52" s="250">
        <f t="shared" si="10"/>
        <v>3</v>
      </c>
      <c r="T52" s="303">
        <v>6.0</v>
      </c>
      <c r="U52" s="307" t="s">
        <v>98</v>
      </c>
      <c r="V52" s="230"/>
      <c r="W52" s="246"/>
      <c r="X52" s="246"/>
      <c r="Y52" s="246"/>
      <c r="Z52" s="253" t="s">
        <v>231</v>
      </c>
      <c r="AA52" s="254"/>
      <c r="AB52" s="255"/>
      <c r="AC52" s="255"/>
      <c r="AD52" s="255"/>
      <c r="AE52" s="255"/>
      <c r="AF52" s="255"/>
      <c r="AG52" s="255"/>
      <c r="AH52" s="255"/>
      <c r="AI52" s="256"/>
      <c r="AJ52" s="308">
        <f t="shared" si="11"/>
        <v>0</v>
      </c>
      <c r="AK52" s="249">
        <f>IF(AJ52="","",AJ52+AK51+'OS Offset'!I52)</f>
        <v>52</v>
      </c>
      <c r="AL52" s="250">
        <f t="shared" si="12"/>
        <v>0</v>
      </c>
    </row>
    <row r="53" ht="33.75" customHeight="1">
      <c r="A53" s="242" t="s">
        <v>232</v>
      </c>
      <c r="B53" s="251"/>
      <c r="C53" s="242"/>
      <c r="D53" s="244"/>
      <c r="E53" s="244"/>
      <c r="F53" s="244"/>
      <c r="G53" s="245"/>
      <c r="H53" s="230"/>
      <c r="I53" s="246"/>
      <c r="J53" s="246"/>
      <c r="K53" s="246"/>
      <c r="L53" s="246"/>
      <c r="M53" s="246"/>
      <c r="N53" s="246"/>
      <c r="O53" s="246"/>
      <c r="P53" s="247"/>
      <c r="Q53" s="271">
        <f t="shared" si="9"/>
        <v>0</v>
      </c>
      <c r="R53" s="249">
        <f>IF(Q53="","",Q53+R52+'OS Offset'!B53)</f>
        <v>203</v>
      </c>
      <c r="S53" s="250">
        <f t="shared" si="10"/>
        <v>0</v>
      </c>
      <c r="T53" s="305" t="s">
        <v>233</v>
      </c>
      <c r="U53" s="251" t="s">
        <v>90</v>
      </c>
      <c r="V53" s="242"/>
      <c r="W53" s="244"/>
      <c r="X53" s="244"/>
      <c r="Y53" s="244"/>
      <c r="Z53" s="245"/>
      <c r="AA53" s="230">
        <v>0.0</v>
      </c>
      <c r="AB53" s="246"/>
      <c r="AC53" s="246"/>
      <c r="AD53" s="246"/>
      <c r="AE53" s="246"/>
      <c r="AF53" s="246"/>
      <c r="AG53" s="246"/>
      <c r="AH53" s="246"/>
      <c r="AI53" s="247"/>
      <c r="AJ53" s="248">
        <f t="shared" si="11"/>
        <v>0</v>
      </c>
      <c r="AK53" s="249">
        <f>IF(AJ53="","",AJ53+AK52+'OS Offset'!I53)</f>
        <v>52</v>
      </c>
      <c r="AL53" s="250">
        <f t="shared" si="12"/>
        <v>1</v>
      </c>
    </row>
    <row r="54" ht="33.75" customHeight="1">
      <c r="A54" s="306">
        <v>7.0</v>
      </c>
      <c r="B54" s="307" t="s">
        <v>100</v>
      </c>
      <c r="C54" s="230"/>
      <c r="D54" s="246" t="s">
        <v>231</v>
      </c>
      <c r="E54" s="246" t="s">
        <v>231</v>
      </c>
      <c r="F54" s="246"/>
      <c r="G54" s="253"/>
      <c r="H54" s="254">
        <v>4.0</v>
      </c>
      <c r="I54" s="255">
        <v>0.0</v>
      </c>
      <c r="J54" s="255"/>
      <c r="K54" s="255"/>
      <c r="L54" s="255"/>
      <c r="M54" s="255"/>
      <c r="N54" s="255"/>
      <c r="O54" s="255"/>
      <c r="P54" s="256"/>
      <c r="Q54" s="265">
        <f t="shared" si="9"/>
        <v>4</v>
      </c>
      <c r="R54" s="249">
        <f>IF(Q54="","",Q54+R53+'OS Offset'!B54)</f>
        <v>207</v>
      </c>
      <c r="S54" s="250">
        <f t="shared" si="10"/>
        <v>2</v>
      </c>
      <c r="T54" s="303">
        <v>7.0</v>
      </c>
      <c r="U54" s="307" t="s">
        <v>126</v>
      </c>
      <c r="V54" s="230"/>
      <c r="W54" s="246"/>
      <c r="X54" s="246"/>
      <c r="Y54" s="246"/>
      <c r="Z54" s="253"/>
      <c r="AA54" s="254">
        <v>4.0</v>
      </c>
      <c r="AB54" s="255"/>
      <c r="AC54" s="255"/>
      <c r="AD54" s="255"/>
      <c r="AE54" s="255"/>
      <c r="AF54" s="255"/>
      <c r="AG54" s="255"/>
      <c r="AH54" s="255"/>
      <c r="AI54" s="256"/>
      <c r="AJ54" s="308">
        <f t="shared" si="11"/>
        <v>4</v>
      </c>
      <c r="AK54" s="249">
        <f>IF(AJ54="","",AJ54+AK53+'OS Offset'!I54)</f>
        <v>56</v>
      </c>
      <c r="AL54" s="250">
        <f t="shared" si="12"/>
        <v>1</v>
      </c>
    </row>
    <row r="55" ht="33.75" customHeight="1">
      <c r="A55" s="242">
        <v>8.0</v>
      </c>
      <c r="B55" s="251" t="s">
        <v>64</v>
      </c>
      <c r="C55" s="242"/>
      <c r="D55" s="244" t="s">
        <v>231</v>
      </c>
      <c r="E55" s="244" t="s">
        <v>231</v>
      </c>
      <c r="F55" s="244"/>
      <c r="G55" s="245"/>
      <c r="H55" s="230">
        <v>4.0</v>
      </c>
      <c r="I55" s="246"/>
      <c r="J55" s="246"/>
      <c r="K55" s="246"/>
      <c r="L55" s="246"/>
      <c r="M55" s="246"/>
      <c r="N55" s="246"/>
      <c r="O55" s="246"/>
      <c r="P55" s="247"/>
      <c r="Q55" s="271">
        <f t="shared" si="9"/>
        <v>4</v>
      </c>
      <c r="R55" s="249">
        <f>IF(Q55="","",Q55+R54+'OS Offset'!B55)</f>
        <v>211</v>
      </c>
      <c r="S55" s="250">
        <f t="shared" si="10"/>
        <v>1</v>
      </c>
      <c r="T55" s="305">
        <v>8.0</v>
      </c>
      <c r="U55" s="251" t="s">
        <v>74</v>
      </c>
      <c r="V55" s="242"/>
      <c r="W55" s="244"/>
      <c r="X55" s="244"/>
      <c r="Y55" s="244"/>
      <c r="Z55" s="245"/>
      <c r="AA55" s="230">
        <v>4.0</v>
      </c>
      <c r="AB55" s="246">
        <v>0.0</v>
      </c>
      <c r="AC55" s="246"/>
      <c r="AD55" s="246"/>
      <c r="AE55" s="246"/>
      <c r="AF55" s="246"/>
      <c r="AG55" s="246"/>
      <c r="AH55" s="246"/>
      <c r="AI55" s="247"/>
      <c r="AJ55" s="248">
        <f t="shared" si="11"/>
        <v>4</v>
      </c>
      <c r="AK55" s="249">
        <f>IF(AJ55="","",AJ55+AK54+'OS Offset'!I55)</f>
        <v>60</v>
      </c>
      <c r="AL55" s="250">
        <f t="shared" si="12"/>
        <v>2</v>
      </c>
    </row>
    <row r="56" ht="33.75" customHeight="1">
      <c r="A56" s="306">
        <v>9.0</v>
      </c>
      <c r="B56" s="307" t="s">
        <v>108</v>
      </c>
      <c r="C56" s="230"/>
      <c r="D56" s="246" t="s">
        <v>231</v>
      </c>
      <c r="E56" s="246" t="s">
        <v>231</v>
      </c>
      <c r="F56" s="246"/>
      <c r="G56" s="253"/>
      <c r="H56" s="254">
        <v>4.0</v>
      </c>
      <c r="I56" s="255">
        <v>2.0</v>
      </c>
      <c r="J56" s="255"/>
      <c r="K56" s="255"/>
      <c r="L56" s="255"/>
      <c r="M56" s="255"/>
      <c r="N56" s="255"/>
      <c r="O56" s="255"/>
      <c r="P56" s="256"/>
      <c r="Q56" s="265">
        <f t="shared" si="9"/>
        <v>6</v>
      </c>
      <c r="R56" s="249">
        <f>IF(Q56="","",Q56+R55+'OS Offset'!B56)</f>
        <v>217</v>
      </c>
      <c r="S56" s="250">
        <f t="shared" si="10"/>
        <v>2</v>
      </c>
      <c r="T56" s="303">
        <v>9.0</v>
      </c>
      <c r="U56" s="307" t="s">
        <v>98</v>
      </c>
      <c r="V56" s="230"/>
      <c r="W56" s="246"/>
      <c r="X56" s="246"/>
      <c r="Y56" s="246"/>
      <c r="Z56" s="253" t="s">
        <v>231</v>
      </c>
      <c r="AA56" s="254"/>
      <c r="AB56" s="255"/>
      <c r="AC56" s="255"/>
      <c r="AD56" s="255"/>
      <c r="AE56" s="255"/>
      <c r="AF56" s="255"/>
      <c r="AG56" s="255"/>
      <c r="AH56" s="255"/>
      <c r="AI56" s="256"/>
      <c r="AJ56" s="308">
        <f t="shared" si="11"/>
        <v>0</v>
      </c>
      <c r="AK56" s="249">
        <f>IF(AJ56="","",AJ56+AK55+'OS Offset'!I56)</f>
        <v>60</v>
      </c>
      <c r="AL56" s="250">
        <f t="shared" si="12"/>
        <v>0</v>
      </c>
    </row>
    <row r="57" ht="33.75" customHeight="1">
      <c r="A57" s="242" t="s">
        <v>232</v>
      </c>
      <c r="B57" s="251"/>
      <c r="C57" s="242"/>
      <c r="D57" s="244"/>
      <c r="E57" s="244"/>
      <c r="F57" s="244"/>
      <c r="G57" s="245"/>
      <c r="H57" s="230"/>
      <c r="I57" s="246"/>
      <c r="J57" s="246"/>
      <c r="K57" s="246"/>
      <c r="L57" s="246"/>
      <c r="M57" s="246"/>
      <c r="N57" s="246"/>
      <c r="O57" s="246"/>
      <c r="P57" s="247"/>
      <c r="Q57" s="271">
        <f t="shared" si="9"/>
        <v>0</v>
      </c>
      <c r="R57" s="249">
        <f>IF(Q57="","",Q57+R56+'OS Offset'!B57)</f>
        <v>217</v>
      </c>
      <c r="S57" s="250">
        <f t="shared" si="10"/>
        <v>0</v>
      </c>
      <c r="T57" s="305" t="s">
        <v>233</v>
      </c>
      <c r="U57" s="251" t="s">
        <v>114</v>
      </c>
      <c r="V57" s="242"/>
      <c r="W57" s="244"/>
      <c r="X57" s="244"/>
      <c r="Y57" s="244"/>
      <c r="Z57" s="245"/>
      <c r="AA57" s="230">
        <v>0.0</v>
      </c>
      <c r="AB57" s="246"/>
      <c r="AC57" s="246"/>
      <c r="AD57" s="246"/>
      <c r="AE57" s="246"/>
      <c r="AF57" s="246"/>
      <c r="AG57" s="246"/>
      <c r="AH57" s="246"/>
      <c r="AI57" s="247"/>
      <c r="AJ57" s="248">
        <f t="shared" si="11"/>
        <v>0</v>
      </c>
      <c r="AK57" s="249">
        <f>IF(AJ57="","",AJ57+AK56+'OS Offset'!I57)</f>
        <v>60</v>
      </c>
      <c r="AL57" s="250">
        <f t="shared" si="12"/>
        <v>1</v>
      </c>
    </row>
    <row r="58" ht="33.75" customHeight="1">
      <c r="A58" s="306">
        <v>10.0</v>
      </c>
      <c r="B58" s="307" t="s">
        <v>104</v>
      </c>
      <c r="C58" s="230"/>
      <c r="D58" s="246"/>
      <c r="E58" s="246"/>
      <c r="F58" s="246"/>
      <c r="G58" s="253"/>
      <c r="H58" s="254">
        <v>0.0</v>
      </c>
      <c r="I58" s="255"/>
      <c r="J58" s="255"/>
      <c r="K58" s="255"/>
      <c r="L58" s="255"/>
      <c r="M58" s="255"/>
      <c r="N58" s="255"/>
      <c r="O58" s="255"/>
      <c r="P58" s="256"/>
      <c r="Q58" s="265">
        <f t="shared" si="9"/>
        <v>0</v>
      </c>
      <c r="R58" s="249">
        <f>IF(Q58="","",Q58+R57+'OS Offset'!B58)</f>
        <v>217</v>
      </c>
      <c r="S58" s="250">
        <f t="shared" si="10"/>
        <v>1</v>
      </c>
      <c r="T58" s="303">
        <v>10.0</v>
      </c>
      <c r="U58" s="307" t="s">
        <v>126</v>
      </c>
      <c r="V58" s="230"/>
      <c r="W58" s="246" t="s">
        <v>231</v>
      </c>
      <c r="X58" s="246" t="s">
        <v>231</v>
      </c>
      <c r="Y58" s="246"/>
      <c r="Z58" s="253"/>
      <c r="AA58" s="254">
        <v>3.0</v>
      </c>
      <c r="AB58" s="255"/>
      <c r="AC58" s="255"/>
      <c r="AD58" s="255"/>
      <c r="AE58" s="255"/>
      <c r="AF58" s="255"/>
      <c r="AG58" s="255"/>
      <c r="AH58" s="255"/>
      <c r="AI58" s="256"/>
      <c r="AJ58" s="308">
        <f t="shared" si="11"/>
        <v>3</v>
      </c>
      <c r="AK58" s="249">
        <f>IF(AJ58="","",AJ58+AK57+'OS Offset'!I58)</f>
        <v>63</v>
      </c>
      <c r="AL58" s="250">
        <f t="shared" si="12"/>
        <v>1</v>
      </c>
    </row>
    <row r="59" ht="33.75" customHeight="1">
      <c r="A59" s="242">
        <v>11.0</v>
      </c>
      <c r="B59" s="251" t="s">
        <v>96</v>
      </c>
      <c r="C59" s="242"/>
      <c r="D59" s="244" t="s">
        <v>231</v>
      </c>
      <c r="E59" s="244" t="s">
        <v>231</v>
      </c>
      <c r="F59" s="244"/>
      <c r="G59" s="245"/>
      <c r="H59" s="230">
        <v>4.0</v>
      </c>
      <c r="I59" s="246">
        <v>3.0</v>
      </c>
      <c r="J59" s="246"/>
      <c r="K59" s="246"/>
      <c r="L59" s="246"/>
      <c r="M59" s="246"/>
      <c r="N59" s="246"/>
      <c r="O59" s="246"/>
      <c r="P59" s="247"/>
      <c r="Q59" s="271">
        <f t="shared" si="9"/>
        <v>7</v>
      </c>
      <c r="R59" s="249">
        <f>IF(Q59="","",Q59+R58+'OS Offset'!B59)</f>
        <v>224</v>
      </c>
      <c r="S59" s="250">
        <f t="shared" si="10"/>
        <v>2</v>
      </c>
      <c r="T59" s="305">
        <v>11.0</v>
      </c>
      <c r="U59" s="251" t="s">
        <v>86</v>
      </c>
      <c r="V59" s="242"/>
      <c r="W59" s="244"/>
      <c r="X59" s="244"/>
      <c r="Y59" s="244"/>
      <c r="Z59" s="245" t="s">
        <v>231</v>
      </c>
      <c r="AA59" s="230"/>
      <c r="AB59" s="246"/>
      <c r="AC59" s="246"/>
      <c r="AD59" s="246"/>
      <c r="AE59" s="246"/>
      <c r="AF59" s="246"/>
      <c r="AG59" s="246"/>
      <c r="AH59" s="246"/>
      <c r="AI59" s="247"/>
      <c r="AJ59" s="248">
        <f t="shared" si="11"/>
        <v>0</v>
      </c>
      <c r="AK59" s="249">
        <f>IF(AJ59="","",AJ59+AK58+'OS Offset'!I59)</f>
        <v>63</v>
      </c>
      <c r="AL59" s="250">
        <f t="shared" si="12"/>
        <v>0</v>
      </c>
    </row>
    <row r="60" ht="33.75" customHeight="1">
      <c r="A60" s="306" t="s">
        <v>232</v>
      </c>
      <c r="B60" s="307"/>
      <c r="C60" s="230"/>
      <c r="D60" s="246"/>
      <c r="E60" s="246"/>
      <c r="F60" s="246"/>
      <c r="G60" s="253"/>
      <c r="H60" s="254"/>
      <c r="I60" s="255"/>
      <c r="J60" s="255"/>
      <c r="K60" s="255"/>
      <c r="L60" s="255"/>
      <c r="M60" s="255"/>
      <c r="N60" s="255"/>
      <c r="O60" s="255"/>
      <c r="P60" s="256"/>
      <c r="Q60" s="265">
        <f t="shared" si="9"/>
        <v>0</v>
      </c>
      <c r="R60" s="249">
        <f>IF(Q60="","",Q60+R59+'OS Offset'!B60)</f>
        <v>224</v>
      </c>
      <c r="S60" s="250">
        <f t="shared" si="10"/>
        <v>0</v>
      </c>
      <c r="T60" s="303" t="s">
        <v>233</v>
      </c>
      <c r="U60" s="307" t="s">
        <v>114</v>
      </c>
      <c r="V60" s="230"/>
      <c r="W60" s="246"/>
      <c r="X60" s="246"/>
      <c r="Y60" s="246"/>
      <c r="Z60" s="253"/>
      <c r="AA60" s="254">
        <v>0.0</v>
      </c>
      <c r="AB60" s="255"/>
      <c r="AC60" s="255"/>
      <c r="AD60" s="255"/>
      <c r="AE60" s="255"/>
      <c r="AF60" s="255"/>
      <c r="AG60" s="255"/>
      <c r="AH60" s="255"/>
      <c r="AI60" s="256"/>
      <c r="AJ60" s="308">
        <f t="shared" si="11"/>
        <v>0</v>
      </c>
      <c r="AK60" s="249">
        <f>IF(AJ60="","",AJ60+AK59+'OS Offset'!I60)</f>
        <v>63</v>
      </c>
      <c r="AL60" s="250">
        <f t="shared" si="12"/>
        <v>1</v>
      </c>
    </row>
    <row r="61" ht="33.75" customHeight="1">
      <c r="A61" s="242">
        <v>12.0</v>
      </c>
      <c r="B61" s="251" t="s">
        <v>88</v>
      </c>
      <c r="C61" s="242" t="s">
        <v>231</v>
      </c>
      <c r="D61" s="244"/>
      <c r="E61" s="244"/>
      <c r="F61" s="244"/>
      <c r="G61" s="245" t="s">
        <v>231</v>
      </c>
      <c r="H61" s="230"/>
      <c r="I61" s="246"/>
      <c r="J61" s="246"/>
      <c r="K61" s="246"/>
      <c r="L61" s="246"/>
      <c r="M61" s="246"/>
      <c r="N61" s="246"/>
      <c r="O61" s="246"/>
      <c r="P61" s="247"/>
      <c r="Q61" s="271">
        <f t="shared" si="9"/>
        <v>0</v>
      </c>
      <c r="R61" s="249">
        <f>IF(Q61="","",Q61+R60+'OS Offset'!B61)</f>
        <v>224</v>
      </c>
      <c r="S61" s="250">
        <f t="shared" si="10"/>
        <v>0</v>
      </c>
      <c r="T61" s="305">
        <v>12.0</v>
      </c>
      <c r="U61" s="251" t="s">
        <v>74</v>
      </c>
      <c r="V61" s="242" t="s">
        <v>231</v>
      </c>
      <c r="W61" s="244" t="s">
        <v>231</v>
      </c>
      <c r="X61" s="244"/>
      <c r="Y61" s="244"/>
      <c r="Z61" s="245"/>
      <c r="AA61" s="230">
        <v>2.0</v>
      </c>
      <c r="AB61" s="246"/>
      <c r="AC61" s="246"/>
      <c r="AD61" s="246"/>
      <c r="AE61" s="246"/>
      <c r="AF61" s="246"/>
      <c r="AG61" s="246"/>
      <c r="AH61" s="246"/>
      <c r="AI61" s="247"/>
      <c r="AJ61" s="248">
        <f t="shared" si="11"/>
        <v>2</v>
      </c>
      <c r="AK61" s="249">
        <f>IF(AJ61="","",AJ61+AK60+'OS Offset'!I61)</f>
        <v>65</v>
      </c>
      <c r="AL61" s="250">
        <f t="shared" si="12"/>
        <v>1</v>
      </c>
    </row>
    <row r="62" ht="33.75" customHeight="1">
      <c r="A62" s="306" t="s">
        <v>233</v>
      </c>
      <c r="B62" s="307" t="s">
        <v>122</v>
      </c>
      <c r="C62" s="230"/>
      <c r="D62" s="246"/>
      <c r="E62" s="246"/>
      <c r="F62" s="246"/>
      <c r="G62" s="253"/>
      <c r="H62" s="254">
        <v>1.0</v>
      </c>
      <c r="I62" s="255"/>
      <c r="J62" s="255"/>
      <c r="K62" s="255"/>
      <c r="L62" s="255"/>
      <c r="M62" s="255"/>
      <c r="N62" s="255"/>
      <c r="O62" s="255"/>
      <c r="P62" s="256"/>
      <c r="Q62" s="265">
        <f t="shared" si="9"/>
        <v>1</v>
      </c>
      <c r="R62" s="249">
        <f>IF(Q62="","",Q62+R61+'OS Offset'!B62)</f>
        <v>225</v>
      </c>
      <c r="S62" s="250">
        <f t="shared" si="10"/>
        <v>1</v>
      </c>
      <c r="T62" s="303" t="s">
        <v>232</v>
      </c>
      <c r="U62" s="307"/>
      <c r="V62" s="230"/>
      <c r="W62" s="246"/>
      <c r="X62" s="246"/>
      <c r="Y62" s="246"/>
      <c r="Z62" s="253"/>
      <c r="AA62" s="254"/>
      <c r="AB62" s="255"/>
      <c r="AC62" s="255"/>
      <c r="AD62" s="255"/>
      <c r="AE62" s="255"/>
      <c r="AF62" s="255"/>
      <c r="AG62" s="255"/>
      <c r="AH62" s="255"/>
      <c r="AI62" s="256"/>
      <c r="AJ62" s="308">
        <f t="shared" si="11"/>
        <v>0</v>
      </c>
      <c r="AK62" s="249">
        <f>IF(AJ62="","",AJ62+AK61+'OS Offset'!I62)</f>
        <v>65</v>
      </c>
      <c r="AL62" s="250">
        <f t="shared" si="12"/>
        <v>0</v>
      </c>
    </row>
    <row r="63" ht="33.75" customHeight="1">
      <c r="A63" s="242">
        <v>13.0</v>
      </c>
      <c r="B63" s="251" t="s">
        <v>104</v>
      </c>
      <c r="C63" s="242"/>
      <c r="D63" s="244"/>
      <c r="E63" s="244"/>
      <c r="F63" s="244"/>
      <c r="G63" s="245"/>
      <c r="H63" s="230">
        <v>4.0</v>
      </c>
      <c r="I63" s="246">
        <v>4.0</v>
      </c>
      <c r="J63" s="246">
        <v>4.0</v>
      </c>
      <c r="K63" s="246">
        <v>4.0</v>
      </c>
      <c r="L63" s="246">
        <v>0.0</v>
      </c>
      <c r="M63" s="246"/>
      <c r="N63" s="246"/>
      <c r="O63" s="246"/>
      <c r="P63" s="247"/>
      <c r="Q63" s="271">
        <f t="shared" si="9"/>
        <v>16</v>
      </c>
      <c r="R63" s="249">
        <f>IF(Q63="","",Q63+R62+'OS Offset'!B63)</f>
        <v>241</v>
      </c>
      <c r="S63" s="250">
        <f t="shared" si="10"/>
        <v>5</v>
      </c>
      <c r="T63" s="305">
        <v>13.0</v>
      </c>
      <c r="U63" s="251" t="s">
        <v>98</v>
      </c>
      <c r="V63" s="242" t="s">
        <v>231</v>
      </c>
      <c r="W63" s="244" t="s">
        <v>231</v>
      </c>
      <c r="X63" s="244"/>
      <c r="Y63" s="244"/>
      <c r="Z63" s="245"/>
      <c r="AA63" s="230">
        <v>4.0</v>
      </c>
      <c r="AB63" s="246"/>
      <c r="AC63" s="246"/>
      <c r="AD63" s="246"/>
      <c r="AE63" s="246"/>
      <c r="AF63" s="246"/>
      <c r="AG63" s="246"/>
      <c r="AH63" s="246"/>
      <c r="AI63" s="247"/>
      <c r="AJ63" s="248">
        <f t="shared" si="11"/>
        <v>4</v>
      </c>
      <c r="AK63" s="249">
        <f>IF(AJ63="","",AJ63+AK62+'OS Offset'!I63)</f>
        <v>69</v>
      </c>
      <c r="AL63" s="250">
        <f t="shared" si="12"/>
        <v>1</v>
      </c>
    </row>
    <row r="64" ht="33.75" customHeight="1">
      <c r="A64" s="306">
        <v>14.0</v>
      </c>
      <c r="B64" s="307" t="s">
        <v>64</v>
      </c>
      <c r="C64" s="230" t="s">
        <v>231</v>
      </c>
      <c r="D64" s="246"/>
      <c r="E64" s="246"/>
      <c r="F64" s="246"/>
      <c r="G64" s="253"/>
      <c r="H64" s="254">
        <v>4.0</v>
      </c>
      <c r="I64" s="255">
        <v>4.0</v>
      </c>
      <c r="J64" s="255">
        <v>2.0</v>
      </c>
      <c r="K64" s="255"/>
      <c r="L64" s="255"/>
      <c r="M64" s="255"/>
      <c r="N64" s="255"/>
      <c r="O64" s="255"/>
      <c r="P64" s="256"/>
      <c r="Q64" s="265">
        <f t="shared" si="9"/>
        <v>10</v>
      </c>
      <c r="R64" s="249">
        <f>IF(Q64="","",Q64+R63+'OS Offset'!B64)</f>
        <v>251</v>
      </c>
      <c r="S64" s="250">
        <f t="shared" si="10"/>
        <v>3</v>
      </c>
      <c r="T64" s="303">
        <v>14.0</v>
      </c>
      <c r="U64" s="307" t="s">
        <v>126</v>
      </c>
      <c r="V64" s="230" t="s">
        <v>231</v>
      </c>
      <c r="W64" s="246"/>
      <c r="X64" s="246"/>
      <c r="Y64" s="246"/>
      <c r="Z64" s="253" t="s">
        <v>231</v>
      </c>
      <c r="AA64" s="254"/>
      <c r="AB64" s="255"/>
      <c r="AC64" s="255"/>
      <c r="AD64" s="255"/>
      <c r="AE64" s="255"/>
      <c r="AF64" s="255"/>
      <c r="AG64" s="255"/>
      <c r="AH64" s="255"/>
      <c r="AI64" s="256"/>
      <c r="AJ64" s="308">
        <f t="shared" si="11"/>
        <v>0</v>
      </c>
      <c r="AK64" s="249">
        <f>IF(AJ64="","",AJ64+AK63+'OS Offset'!I64)</f>
        <v>69</v>
      </c>
      <c r="AL64" s="250">
        <f t="shared" si="12"/>
        <v>0</v>
      </c>
    </row>
    <row r="65" ht="33.75" customHeight="1">
      <c r="A65" s="242" t="s">
        <v>232</v>
      </c>
      <c r="B65" s="251"/>
      <c r="C65" s="242"/>
      <c r="D65" s="244"/>
      <c r="E65" s="244"/>
      <c r="F65" s="244"/>
      <c r="G65" s="245"/>
      <c r="H65" s="230"/>
      <c r="I65" s="246"/>
      <c r="J65" s="246"/>
      <c r="K65" s="246"/>
      <c r="L65" s="246"/>
      <c r="M65" s="246"/>
      <c r="N65" s="246"/>
      <c r="O65" s="246"/>
      <c r="P65" s="247"/>
      <c r="Q65" s="271">
        <f t="shared" si="9"/>
        <v>0</v>
      </c>
      <c r="R65" s="249">
        <f>IF(Q65="","",Q65+R64+'OS Offset'!B65)</f>
        <v>251</v>
      </c>
      <c r="S65" s="250">
        <f t="shared" si="10"/>
        <v>0</v>
      </c>
      <c r="T65" s="305" t="s">
        <v>233</v>
      </c>
      <c r="U65" s="251" t="s">
        <v>90</v>
      </c>
      <c r="V65" s="242"/>
      <c r="W65" s="244"/>
      <c r="X65" s="244"/>
      <c r="Y65" s="244"/>
      <c r="Z65" s="245"/>
      <c r="AA65" s="230">
        <v>2.0</v>
      </c>
      <c r="AB65" s="246"/>
      <c r="AC65" s="246"/>
      <c r="AD65" s="246"/>
      <c r="AE65" s="246"/>
      <c r="AF65" s="246"/>
      <c r="AG65" s="246"/>
      <c r="AH65" s="246"/>
      <c r="AI65" s="247"/>
      <c r="AJ65" s="248">
        <f t="shared" si="11"/>
        <v>2</v>
      </c>
      <c r="AK65" s="249">
        <f>IF(AJ65="","",AJ65+AK64+'OS Offset'!I65)</f>
        <v>71</v>
      </c>
      <c r="AL65" s="250">
        <f t="shared" si="12"/>
        <v>1</v>
      </c>
    </row>
    <row r="66" ht="33.75" customHeight="1">
      <c r="A66" s="306">
        <v>15.0</v>
      </c>
      <c r="B66" s="307" t="s">
        <v>108</v>
      </c>
      <c r="C66" s="230"/>
      <c r="D66" s="246" t="s">
        <v>231</v>
      </c>
      <c r="E66" s="246" t="s">
        <v>231</v>
      </c>
      <c r="F66" s="246"/>
      <c r="G66" s="253"/>
      <c r="H66" s="254">
        <v>4.0</v>
      </c>
      <c r="I66" s="255">
        <v>1.0</v>
      </c>
      <c r="J66" s="255"/>
      <c r="K66" s="255"/>
      <c r="L66" s="255"/>
      <c r="M66" s="255"/>
      <c r="N66" s="255"/>
      <c r="O66" s="255"/>
      <c r="P66" s="256"/>
      <c r="Q66" s="265">
        <f t="shared" si="9"/>
        <v>5</v>
      </c>
      <c r="R66" s="249">
        <f>IF(Q66="","",Q66+R65+'OS Offset'!B66)</f>
        <v>256</v>
      </c>
      <c r="S66" s="250">
        <f t="shared" si="10"/>
        <v>2</v>
      </c>
      <c r="T66" s="303">
        <v>15.0</v>
      </c>
      <c r="U66" s="307" t="s">
        <v>74</v>
      </c>
      <c r="V66" s="230"/>
      <c r="W66" s="246"/>
      <c r="X66" s="246"/>
      <c r="Y66" s="246"/>
      <c r="Z66" s="253"/>
      <c r="AA66" s="254">
        <v>2.0</v>
      </c>
      <c r="AB66" s="255"/>
      <c r="AC66" s="255"/>
      <c r="AD66" s="255"/>
      <c r="AE66" s="255"/>
      <c r="AF66" s="255"/>
      <c r="AG66" s="255"/>
      <c r="AH66" s="255"/>
      <c r="AI66" s="256"/>
      <c r="AJ66" s="308">
        <f t="shared" si="11"/>
        <v>2</v>
      </c>
      <c r="AK66" s="249">
        <f>IF(AJ66="","",AJ66+AK65+'OS Offset'!I66)</f>
        <v>73</v>
      </c>
      <c r="AL66" s="250">
        <f t="shared" si="12"/>
        <v>1</v>
      </c>
    </row>
    <row r="67" ht="33.75" customHeight="1">
      <c r="A67" s="242">
        <v>16.0</v>
      </c>
      <c r="B67" s="251" t="s">
        <v>60</v>
      </c>
      <c r="C67" s="242"/>
      <c r="D67" s="244" t="s">
        <v>231</v>
      </c>
      <c r="E67" s="244" t="s">
        <v>231</v>
      </c>
      <c r="F67" s="244"/>
      <c r="G67" s="245"/>
      <c r="H67" s="230">
        <v>4.0</v>
      </c>
      <c r="I67" s="246"/>
      <c r="J67" s="246"/>
      <c r="K67" s="246"/>
      <c r="L67" s="246"/>
      <c r="M67" s="246"/>
      <c r="N67" s="246"/>
      <c r="O67" s="246"/>
      <c r="P67" s="247"/>
      <c r="Q67" s="271">
        <f t="shared" si="9"/>
        <v>4</v>
      </c>
      <c r="R67" s="249">
        <f>IF(Q67="","",Q67+R66+'OS Offset'!B67)</f>
        <v>260</v>
      </c>
      <c r="S67" s="250">
        <f t="shared" si="10"/>
        <v>1</v>
      </c>
      <c r="T67" s="305">
        <v>16.0</v>
      </c>
      <c r="U67" s="251" t="s">
        <v>98</v>
      </c>
      <c r="V67" s="242"/>
      <c r="W67" s="244"/>
      <c r="X67" s="244"/>
      <c r="Y67" s="244"/>
      <c r="Z67" s="245"/>
      <c r="AA67" s="230">
        <v>0.0</v>
      </c>
      <c r="AB67" s="246"/>
      <c r="AC67" s="246"/>
      <c r="AD67" s="246"/>
      <c r="AE67" s="246"/>
      <c r="AF67" s="246"/>
      <c r="AG67" s="246"/>
      <c r="AH67" s="246"/>
      <c r="AI67" s="247"/>
      <c r="AJ67" s="248">
        <f t="shared" si="11"/>
        <v>0</v>
      </c>
      <c r="AK67" s="249">
        <f>IF(AJ67="","",AJ67+AK66+'OS Offset'!I67)</f>
        <v>73</v>
      </c>
      <c r="AL67" s="250">
        <f t="shared" si="12"/>
        <v>1</v>
      </c>
    </row>
    <row r="68" ht="33.75" customHeight="1">
      <c r="A68" s="306">
        <v>17.0</v>
      </c>
      <c r="B68" s="307" t="s">
        <v>96</v>
      </c>
      <c r="C68" s="230"/>
      <c r="D68" s="246" t="s">
        <v>231</v>
      </c>
      <c r="E68" s="246" t="s">
        <v>231</v>
      </c>
      <c r="F68" s="246"/>
      <c r="G68" s="253"/>
      <c r="H68" s="254">
        <v>3.0</v>
      </c>
      <c r="I68" s="255">
        <v>4.0</v>
      </c>
      <c r="J68" s="255">
        <v>4.0</v>
      </c>
      <c r="K68" s="255">
        <v>4.0</v>
      </c>
      <c r="L68" s="255">
        <v>4.0</v>
      </c>
      <c r="M68" s="255">
        <v>4.0</v>
      </c>
      <c r="N68" s="255">
        <v>0.0</v>
      </c>
      <c r="O68" s="255"/>
      <c r="P68" s="256"/>
      <c r="Q68" s="265">
        <f t="shared" si="9"/>
        <v>23</v>
      </c>
      <c r="R68" s="249">
        <f>IF(Q68="","",Q68+R67+'OS Offset'!B68)</f>
        <v>283</v>
      </c>
      <c r="S68" s="250">
        <f t="shared" si="10"/>
        <v>7</v>
      </c>
      <c r="T68" s="303">
        <v>17.0</v>
      </c>
      <c r="U68" s="307" t="s">
        <v>126</v>
      </c>
      <c r="V68" s="230"/>
      <c r="W68" s="246"/>
      <c r="X68" s="246"/>
      <c r="Y68" s="246"/>
      <c r="Z68" s="253" t="s">
        <v>231</v>
      </c>
      <c r="AA68" s="254"/>
      <c r="AB68" s="255"/>
      <c r="AC68" s="255"/>
      <c r="AD68" s="255"/>
      <c r="AE68" s="255"/>
      <c r="AF68" s="255"/>
      <c r="AG68" s="255"/>
      <c r="AH68" s="255"/>
      <c r="AI68" s="256"/>
      <c r="AJ68" s="308">
        <f t="shared" si="11"/>
        <v>0</v>
      </c>
      <c r="AK68" s="249">
        <f>IF(AJ68="","",AJ68+AK67+'OS Offset'!I68)</f>
        <v>73</v>
      </c>
      <c r="AL68" s="250">
        <f t="shared" si="12"/>
        <v>0</v>
      </c>
    </row>
    <row r="69" ht="33.75" customHeight="1">
      <c r="A69" s="242" t="s">
        <v>232</v>
      </c>
      <c r="B69" s="251"/>
      <c r="C69" s="242"/>
      <c r="D69" s="244"/>
      <c r="E69" s="244"/>
      <c r="F69" s="244"/>
      <c r="G69" s="245"/>
      <c r="H69" s="230"/>
      <c r="I69" s="246"/>
      <c r="J69" s="246"/>
      <c r="K69" s="246"/>
      <c r="L69" s="246"/>
      <c r="M69" s="246"/>
      <c r="N69" s="246"/>
      <c r="O69" s="246"/>
      <c r="P69" s="247"/>
      <c r="Q69" s="271">
        <f t="shared" si="9"/>
        <v>0</v>
      </c>
      <c r="R69" s="249">
        <f>IF(Q69="","",Q69+R68+'OS Offset'!B69)</f>
        <v>283</v>
      </c>
      <c r="S69" s="250">
        <f t="shared" si="10"/>
        <v>0</v>
      </c>
      <c r="T69" s="305" t="s">
        <v>233</v>
      </c>
      <c r="U69" s="251" t="s">
        <v>114</v>
      </c>
      <c r="V69" s="242"/>
      <c r="W69" s="244"/>
      <c r="X69" s="244"/>
      <c r="Y69" s="244"/>
      <c r="Z69" s="245" t="s">
        <v>231</v>
      </c>
      <c r="AA69" s="230"/>
      <c r="AB69" s="246"/>
      <c r="AC69" s="246"/>
      <c r="AD69" s="246"/>
      <c r="AE69" s="246"/>
      <c r="AF69" s="246"/>
      <c r="AG69" s="246"/>
      <c r="AH69" s="246"/>
      <c r="AI69" s="247"/>
      <c r="AJ69" s="248">
        <f t="shared" si="11"/>
        <v>0</v>
      </c>
      <c r="AK69" s="249">
        <f>IF(AJ69="","",AJ69+AK68+'OS Offset'!I69)</f>
        <v>73</v>
      </c>
      <c r="AL69" s="250">
        <f t="shared" si="12"/>
        <v>0</v>
      </c>
    </row>
    <row r="70" ht="33.75" customHeight="1">
      <c r="A70" s="306">
        <v>18.0</v>
      </c>
      <c r="B70" s="307" t="s">
        <v>100</v>
      </c>
      <c r="C70" s="230"/>
      <c r="D70" s="246" t="s">
        <v>231</v>
      </c>
      <c r="E70" s="246" t="s">
        <v>231</v>
      </c>
      <c r="F70" s="246"/>
      <c r="G70" s="253"/>
      <c r="H70" s="254">
        <v>2.0</v>
      </c>
      <c r="I70" s="255"/>
      <c r="J70" s="255"/>
      <c r="K70" s="255"/>
      <c r="L70" s="255"/>
      <c r="M70" s="255"/>
      <c r="N70" s="255"/>
      <c r="O70" s="255"/>
      <c r="P70" s="256"/>
      <c r="Q70" s="265">
        <f t="shared" si="9"/>
        <v>2</v>
      </c>
      <c r="R70" s="249">
        <f>IF(Q70="","",Q70+R69+'OS Offset'!B70)</f>
        <v>285</v>
      </c>
      <c r="S70" s="250">
        <f t="shared" si="10"/>
        <v>1</v>
      </c>
      <c r="T70" s="303">
        <v>18.0</v>
      </c>
      <c r="U70" s="307" t="s">
        <v>74</v>
      </c>
      <c r="V70" s="230"/>
      <c r="W70" s="246"/>
      <c r="X70" s="246"/>
      <c r="Y70" s="246"/>
      <c r="Z70" s="253"/>
      <c r="AA70" s="254">
        <v>0.0</v>
      </c>
      <c r="AB70" s="255"/>
      <c r="AC70" s="255"/>
      <c r="AD70" s="255"/>
      <c r="AE70" s="255"/>
      <c r="AF70" s="255"/>
      <c r="AG70" s="255"/>
      <c r="AH70" s="255"/>
      <c r="AI70" s="256"/>
      <c r="AJ70" s="308">
        <f t="shared" si="11"/>
        <v>0</v>
      </c>
      <c r="AK70" s="249">
        <f>IF(AJ70="","",AJ70+AK69+'OS Offset'!I70)</f>
        <v>73</v>
      </c>
      <c r="AL70" s="250">
        <f t="shared" si="12"/>
        <v>1</v>
      </c>
    </row>
    <row r="71" ht="33.75" customHeight="1">
      <c r="A71" s="242">
        <v>19.0</v>
      </c>
      <c r="B71" s="251" t="s">
        <v>64</v>
      </c>
      <c r="C71" s="242"/>
      <c r="D71" s="244" t="s">
        <v>231</v>
      </c>
      <c r="E71" s="244" t="s">
        <v>231</v>
      </c>
      <c r="F71" s="244"/>
      <c r="G71" s="245"/>
      <c r="H71" s="230">
        <v>0.0</v>
      </c>
      <c r="I71" s="246"/>
      <c r="J71" s="246"/>
      <c r="K71" s="246"/>
      <c r="L71" s="246"/>
      <c r="M71" s="246"/>
      <c r="N71" s="246"/>
      <c r="O71" s="246"/>
      <c r="P71" s="247"/>
      <c r="Q71" s="271">
        <f t="shared" si="9"/>
        <v>0</v>
      </c>
      <c r="R71" s="249">
        <f>IF(Q71="","",Q71+R70+'OS Offset'!B71)</f>
        <v>285</v>
      </c>
      <c r="S71" s="250">
        <f t="shared" si="10"/>
        <v>1</v>
      </c>
      <c r="T71" s="305">
        <v>19.0</v>
      </c>
      <c r="U71" s="251" t="s">
        <v>98</v>
      </c>
      <c r="V71" s="242"/>
      <c r="W71" s="244"/>
      <c r="X71" s="244"/>
      <c r="Y71" s="244"/>
      <c r="Z71" s="245" t="s">
        <v>231</v>
      </c>
      <c r="AA71" s="230"/>
      <c r="AB71" s="246"/>
      <c r="AC71" s="246"/>
      <c r="AD71" s="246"/>
      <c r="AE71" s="246"/>
      <c r="AF71" s="246"/>
      <c r="AG71" s="246"/>
      <c r="AH71" s="246"/>
      <c r="AI71" s="247"/>
      <c r="AJ71" s="248">
        <f t="shared" si="11"/>
        <v>0</v>
      </c>
      <c r="AK71" s="249">
        <f>IF(AJ71="","",AJ71+AK70+'OS Offset'!I71)</f>
        <v>73</v>
      </c>
      <c r="AL71" s="250">
        <f t="shared" si="12"/>
        <v>0</v>
      </c>
    </row>
    <row r="72" ht="33.75" customHeight="1">
      <c r="A72" s="306">
        <v>20.0</v>
      </c>
      <c r="B72" s="307" t="s">
        <v>108</v>
      </c>
      <c r="C72" s="230"/>
      <c r="D72" s="246" t="s">
        <v>231</v>
      </c>
      <c r="E72" s="246" t="s">
        <v>231</v>
      </c>
      <c r="F72" s="246"/>
      <c r="G72" s="253"/>
      <c r="H72" s="254">
        <v>0.0</v>
      </c>
      <c r="I72" s="255"/>
      <c r="J72" s="255"/>
      <c r="K72" s="255"/>
      <c r="L72" s="255"/>
      <c r="M72" s="255"/>
      <c r="N72" s="255"/>
      <c r="O72" s="255"/>
      <c r="P72" s="256"/>
      <c r="Q72" s="265">
        <f t="shared" si="9"/>
        <v>0</v>
      </c>
      <c r="R72" s="249">
        <f>IF(Q72="","",Q72+R71+'OS Offset'!B72)</f>
        <v>285</v>
      </c>
      <c r="S72" s="250">
        <f t="shared" si="10"/>
        <v>1</v>
      </c>
      <c r="T72" s="303">
        <v>20.0</v>
      </c>
      <c r="U72" s="307" t="s">
        <v>126</v>
      </c>
      <c r="V72" s="230"/>
      <c r="W72" s="246"/>
      <c r="X72" s="246"/>
      <c r="Y72" s="246"/>
      <c r="Z72" s="253"/>
      <c r="AA72" s="254">
        <v>0.0</v>
      </c>
      <c r="AB72" s="255"/>
      <c r="AC72" s="255"/>
      <c r="AD72" s="255"/>
      <c r="AE72" s="255"/>
      <c r="AF72" s="255"/>
      <c r="AG72" s="255"/>
      <c r="AH72" s="255"/>
      <c r="AI72" s="256"/>
      <c r="AJ72" s="308">
        <f t="shared" si="11"/>
        <v>0</v>
      </c>
      <c r="AK72" s="249">
        <f>IF(AJ72="","",AJ72+AK71+'OS Offset'!I72)</f>
        <v>73</v>
      </c>
      <c r="AL72" s="250">
        <f t="shared" si="12"/>
        <v>1</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234</v>
      </c>
      <c r="C84" s="287">
        <f t="shared" ref="C84:G84" si="13">IF($A$84="","",COUNTIF(C$46:C$83, "X"))</f>
        <v>2</v>
      </c>
      <c r="D84" s="279">
        <f t="shared" si="13"/>
        <v>16</v>
      </c>
      <c r="E84" s="279">
        <f t="shared" si="13"/>
        <v>16</v>
      </c>
      <c r="F84" s="279">
        <f t="shared" si="13"/>
        <v>0</v>
      </c>
      <c r="G84" s="310">
        <f t="shared" si="13"/>
        <v>1</v>
      </c>
      <c r="H84" s="280">
        <f t="shared" ref="H84:Q84" si="14">IF(COUNT(H46:H83),SUM(H46:H83),"")</f>
        <v>62</v>
      </c>
      <c r="I84" s="281">
        <f t="shared" si="14"/>
        <v>42</v>
      </c>
      <c r="J84" s="281">
        <f t="shared" si="14"/>
        <v>34</v>
      </c>
      <c r="K84" s="281">
        <f t="shared" si="14"/>
        <v>15</v>
      </c>
      <c r="L84" s="281">
        <f t="shared" si="14"/>
        <v>4</v>
      </c>
      <c r="M84" s="281">
        <f t="shared" si="14"/>
        <v>4</v>
      </c>
      <c r="N84" s="281">
        <f t="shared" si="14"/>
        <v>0</v>
      </c>
      <c r="O84" s="281" t="str">
        <f t="shared" si="14"/>
        <v/>
      </c>
      <c r="P84" s="311" t="str">
        <f t="shared" si="14"/>
        <v/>
      </c>
      <c r="Q84" s="283">
        <f t="shared" si="14"/>
        <v>161</v>
      </c>
      <c r="R84" s="284">
        <f>IF(A84="","",MAX(R46:R83))</f>
        <v>285</v>
      </c>
      <c r="S84" s="312"/>
      <c r="T84" s="276">
        <f>IF(COUNT(T46:T83),COUNT(T46:T83),"")</f>
        <v>20</v>
      </c>
      <c r="U84" s="277" t="s">
        <v>234</v>
      </c>
      <c r="V84" s="278">
        <f t="shared" ref="V84:Z84" si="15">IF($T$84="","",COUNTIF(V$46:V$83, "X"))</f>
        <v>3</v>
      </c>
      <c r="W84" s="279">
        <f t="shared" si="15"/>
        <v>3</v>
      </c>
      <c r="X84" s="279">
        <f t="shared" si="15"/>
        <v>1</v>
      </c>
      <c r="Y84" s="279">
        <f t="shared" si="15"/>
        <v>0</v>
      </c>
      <c r="Z84" s="279">
        <f t="shared" si="15"/>
        <v>10</v>
      </c>
      <c r="AA84" s="280">
        <f t="shared" ref="AA84:AJ84" si="16">IF(COUNT(AA46:AA83),SUM(AA46:AA83),"")</f>
        <v>25</v>
      </c>
      <c r="AB84" s="281">
        <f t="shared" si="16"/>
        <v>0</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25</v>
      </c>
      <c r="AK84" s="284">
        <f>IF(T84="","",MAX(AK46:AK83))</f>
        <v>73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Arizona Roller Derby / All Stars</v>
      </c>
      <c r="B1" s="207"/>
      <c r="C1" s="207"/>
      <c r="D1" s="207"/>
      <c r="E1" s="207"/>
      <c r="F1" s="207"/>
      <c r="G1" s="207"/>
      <c r="H1" s="208"/>
      <c r="I1" s="209" t="str">
        <f>IF(ISBLANK(IGRF!$B$12), "", IGRF!$B$12)</f>
        <v>White</v>
      </c>
      <c r="J1" s="153"/>
      <c r="K1" s="153"/>
      <c r="L1" s="316">
        <f>IF(ISBLANK(IGRF!$B$7), "", IGRF!$B$7)</f>
        <v>45128</v>
      </c>
      <c r="M1" s="213"/>
      <c r="N1" s="211" t="s">
        <v>235</v>
      </c>
      <c r="O1" s="153"/>
      <c r="P1" s="153"/>
      <c r="Q1" s="315" t="str">
        <f>Score!$T$1</f>
        <v>Elevated Roller Derby / Elevated Roller Derby All Stars</v>
      </c>
      <c r="R1" s="207"/>
      <c r="S1" s="207"/>
      <c r="T1" s="207"/>
      <c r="U1" s="207"/>
      <c r="V1" s="207"/>
      <c r="W1" s="207"/>
      <c r="X1" s="207"/>
      <c r="Y1" s="208"/>
      <c r="Z1" s="209" t="str">
        <f>IF(ISBLANK(IGRF!$I$12), "", IGRF!$I$12)</f>
        <v>Black</v>
      </c>
      <c r="AA1" s="153"/>
      <c r="AB1" s="317">
        <v>1.0</v>
      </c>
      <c r="AC1" s="315" t="str">
        <f>A1</f>
        <v>Arizona Roller Derby / All Stars</v>
      </c>
      <c r="AD1" s="207"/>
      <c r="AE1" s="207"/>
      <c r="AF1" s="207"/>
      <c r="AG1" s="207"/>
      <c r="AH1" s="207"/>
      <c r="AI1" s="207"/>
      <c r="AJ1" s="208"/>
      <c r="AK1" s="209" t="str">
        <f>I1</f>
        <v>White</v>
      </c>
      <c r="AL1" s="153"/>
      <c r="AM1" s="153"/>
      <c r="AN1" s="316">
        <f>L1</f>
        <v>45128</v>
      </c>
      <c r="AO1" s="213"/>
      <c r="AP1" s="211" t="s">
        <v>235</v>
      </c>
      <c r="AQ1" s="153"/>
      <c r="AR1" s="153"/>
      <c r="AS1" s="315" t="str">
        <f>Q1</f>
        <v>Elevated Roller Derby / Elevated Roller Derby All Stars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209</v>
      </c>
      <c r="L2" s="322" t="s">
        <v>210</v>
      </c>
      <c r="M2" s="323"/>
      <c r="N2" s="324" t="s">
        <v>236</v>
      </c>
      <c r="Q2" s="318"/>
      <c r="R2" s="319"/>
      <c r="S2" s="319"/>
      <c r="T2" s="319"/>
      <c r="U2" s="319"/>
      <c r="V2" s="319"/>
      <c r="W2" s="319"/>
      <c r="X2" s="319"/>
      <c r="Y2" s="320"/>
      <c r="Z2" s="325" t="s">
        <v>209</v>
      </c>
      <c r="AA2" s="149"/>
      <c r="AB2" s="326" t="str">
        <f>IF(ISBLANK(IGRF!$L$3), "", "GAME " &amp; IGRF!$L$3)</f>
        <v>GAME 03</v>
      </c>
      <c r="AC2" s="318"/>
      <c r="AD2" s="319"/>
      <c r="AE2" s="319"/>
      <c r="AF2" s="319"/>
      <c r="AG2" s="319"/>
      <c r="AH2" s="319"/>
      <c r="AI2" s="319"/>
      <c r="AJ2" s="320"/>
      <c r="AK2" s="321" t="s">
        <v>209</v>
      </c>
      <c r="AN2" s="322" t="s">
        <v>210</v>
      </c>
      <c r="AO2" s="323"/>
      <c r="AP2" s="324" t="s">
        <v>236</v>
      </c>
      <c r="AS2" s="318"/>
      <c r="AT2" s="319"/>
      <c r="AU2" s="319"/>
      <c r="AV2" s="319"/>
      <c r="AW2" s="319"/>
      <c r="AX2" s="319"/>
      <c r="AY2" s="319"/>
      <c r="AZ2" s="319"/>
      <c r="BA2" s="320"/>
      <c r="BB2" s="325" t="s">
        <v>209</v>
      </c>
      <c r="BC2" s="149"/>
      <c r="BD2" s="326" t="str">
        <f>AB2</f>
        <v>GAME 03</v>
      </c>
    </row>
    <row r="3" ht="15.0" customHeight="1">
      <c r="A3" s="327" t="s">
        <v>237</v>
      </c>
      <c r="B3" s="328" t="s">
        <v>238</v>
      </c>
      <c r="C3" s="45"/>
      <c r="D3" s="45"/>
      <c r="E3" s="45"/>
      <c r="F3" s="45"/>
      <c r="G3" s="45"/>
      <c r="H3" s="45"/>
      <c r="I3" s="45"/>
      <c r="J3" s="140"/>
      <c r="K3" s="329" t="s">
        <v>239</v>
      </c>
      <c r="L3" s="330" t="s">
        <v>240</v>
      </c>
      <c r="M3" s="328" t="s">
        <v>241</v>
      </c>
      <c r="N3" s="45"/>
      <c r="O3" s="140"/>
      <c r="P3" s="330" t="s">
        <v>237</v>
      </c>
      <c r="Q3" s="328" t="s">
        <v>238</v>
      </c>
      <c r="R3" s="45"/>
      <c r="S3" s="45"/>
      <c r="T3" s="45"/>
      <c r="U3" s="45"/>
      <c r="V3" s="45"/>
      <c r="W3" s="45"/>
      <c r="X3" s="45"/>
      <c r="Y3" s="140"/>
      <c r="Z3" s="329" t="s">
        <v>239</v>
      </c>
      <c r="AA3" s="331" t="s">
        <v>240</v>
      </c>
      <c r="AB3" s="332" t="s">
        <v>242</v>
      </c>
      <c r="AC3" s="333" t="s">
        <v>237</v>
      </c>
      <c r="AD3" s="334" t="s">
        <v>238</v>
      </c>
      <c r="AE3" s="8"/>
      <c r="AF3" s="8"/>
      <c r="AG3" s="8"/>
      <c r="AH3" s="8"/>
      <c r="AI3" s="8"/>
      <c r="AJ3" s="8"/>
      <c r="AK3" s="8"/>
      <c r="AL3" s="9"/>
      <c r="AM3" s="335" t="s">
        <v>239</v>
      </c>
      <c r="AN3" s="336" t="s">
        <v>240</v>
      </c>
      <c r="AO3" s="334" t="s">
        <v>241</v>
      </c>
      <c r="AP3" s="8"/>
      <c r="AQ3" s="9"/>
      <c r="AR3" s="336" t="s">
        <v>237</v>
      </c>
      <c r="AS3" s="334" t="s">
        <v>238</v>
      </c>
      <c r="AT3" s="8"/>
      <c r="AU3" s="8"/>
      <c r="AV3" s="8"/>
      <c r="AW3" s="8"/>
      <c r="AX3" s="8"/>
      <c r="AY3" s="8"/>
      <c r="AZ3" s="8"/>
      <c r="BA3" s="9"/>
      <c r="BB3" s="335" t="s">
        <v>239</v>
      </c>
      <c r="BC3" s="336" t="s">
        <v>240</v>
      </c>
      <c r="BD3" s="332" t="s">
        <v>242</v>
      </c>
    </row>
    <row r="4" ht="18.75" customHeight="1">
      <c r="A4" s="337" t="str">
        <f>IF(IGRF!B14="","",IGRF!B14)</f>
        <v>01</v>
      </c>
      <c r="B4" s="338" t="s">
        <v>243</v>
      </c>
      <c r="C4" s="339"/>
      <c r="D4" s="339"/>
      <c r="E4" s="339"/>
      <c r="F4" s="339"/>
      <c r="G4" s="340"/>
      <c r="H4" s="341"/>
      <c r="I4" s="342"/>
      <c r="J4" s="343"/>
      <c r="K4" s="344"/>
      <c r="L4" s="345">
        <f>IF(COUNTA(B4:J4)=0,"",COUNTA(B4:J4))</f>
        <v>1</v>
      </c>
      <c r="M4" s="346">
        <v>1.0</v>
      </c>
      <c r="N4" s="347"/>
      <c r="O4" s="348"/>
      <c r="P4" s="337" t="str">
        <f>IF(IGRF!I14="","",IGRF!I14)</f>
        <v>10*</v>
      </c>
      <c r="Q4" s="338"/>
      <c r="R4" s="339"/>
      <c r="S4" s="339"/>
      <c r="T4" s="339"/>
      <c r="U4" s="339"/>
      <c r="V4" s="340"/>
      <c r="W4" s="341"/>
      <c r="X4" s="342"/>
      <c r="Y4" s="343"/>
      <c r="Z4" s="344"/>
      <c r="AA4" s="349" t="str">
        <f>IF(COUNTA(Q4:Y4)=0,"",COUNTA(Q4:Y4))</f>
        <v/>
      </c>
      <c r="AB4" s="350" t="s">
        <v>244</v>
      </c>
      <c r="AC4" s="337" t="str">
        <f>IF(IGRF!B14="","",IGRF!B14)</f>
        <v>01</v>
      </c>
      <c r="AD4" s="342"/>
      <c r="AE4" s="339" t="s">
        <v>245</v>
      </c>
      <c r="AF4" s="339"/>
      <c r="AG4" s="339"/>
      <c r="AH4" s="339"/>
      <c r="AI4" s="340"/>
      <c r="AJ4" s="341"/>
      <c r="AK4" s="342"/>
      <c r="AL4" s="343"/>
      <c r="AM4" s="344"/>
      <c r="AN4" s="345">
        <f>IF(COUNTA(AD4:AL4)=0,"",COUNTA(AD4:AL4))</f>
        <v>1</v>
      </c>
      <c r="AO4" s="346">
        <v>1.0</v>
      </c>
      <c r="AP4" s="347"/>
      <c r="AQ4" s="348"/>
      <c r="AR4" s="351" t="str">
        <f>IF(IGRF!I14="","",IGRF!I14)</f>
        <v>10*</v>
      </c>
      <c r="AS4" s="338"/>
      <c r="AT4" s="339"/>
      <c r="AU4" s="339"/>
      <c r="AV4" s="339"/>
      <c r="AW4" s="339"/>
      <c r="AX4" s="340"/>
      <c r="AY4" s="341"/>
      <c r="AZ4" s="342"/>
      <c r="BA4" s="343"/>
      <c r="BB4" s="344"/>
      <c r="BC4" s="345" t="str">
        <f>IF(COUNTA(AS4:BA4)=0,"",COUNTA(AS4:BA4))</f>
        <v/>
      </c>
      <c r="BD4" s="350" t="s">
        <v>244</v>
      </c>
    </row>
    <row r="5" ht="18.75" customHeight="1">
      <c r="A5" s="352"/>
      <c r="B5" s="353">
        <v>4.0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246</v>
      </c>
      <c r="AC5" s="352"/>
      <c r="AD5" s="357"/>
      <c r="AE5" s="354">
        <v>1.0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246</v>
      </c>
    </row>
    <row r="6" ht="18.75" customHeight="1">
      <c r="A6" s="362" t="str">
        <f>IF(IGRF!B15="","",IGRF!B15)</f>
        <v>024</v>
      </c>
      <c r="B6" s="363" t="s">
        <v>247</v>
      </c>
      <c r="C6" s="364" t="s">
        <v>243</v>
      </c>
      <c r="D6" s="364"/>
      <c r="E6" s="364"/>
      <c r="F6" s="364"/>
      <c r="G6" s="365"/>
      <c r="H6" s="366"/>
      <c r="I6" s="367"/>
      <c r="J6" s="368"/>
      <c r="K6" s="344"/>
      <c r="L6" s="369">
        <f>IF(COUNTA(B6:J6)=0,"",COUNTA(B6:J6))</f>
        <v>2</v>
      </c>
      <c r="M6" s="370">
        <v>3.0</v>
      </c>
      <c r="O6" s="2"/>
      <c r="P6" s="362" t="str">
        <f>IF(IGRF!I15="","",IGRF!I15)</f>
        <v>11</v>
      </c>
      <c r="Q6" s="363" t="s">
        <v>243</v>
      </c>
      <c r="R6" s="364" t="s">
        <v>248</v>
      </c>
      <c r="S6" s="364" t="s">
        <v>248</v>
      </c>
      <c r="T6" s="364"/>
      <c r="U6" s="364"/>
      <c r="V6" s="365"/>
      <c r="W6" s="366"/>
      <c r="X6" s="367"/>
      <c r="Y6" s="368"/>
      <c r="Z6" s="344"/>
      <c r="AA6" s="369">
        <f>IF(COUNTA(Q6:Y6)=0,"",COUNTA(Q6:Y6))</f>
        <v>3</v>
      </c>
      <c r="AB6" s="361" t="s">
        <v>249</v>
      </c>
      <c r="AC6" s="362" t="str">
        <f>IF(IGRF!B15="","",IGRF!B15)</f>
        <v>024</v>
      </c>
      <c r="AD6" s="371"/>
      <c r="AE6" s="364"/>
      <c r="AF6" s="364"/>
      <c r="AG6" s="364"/>
      <c r="AH6" s="364"/>
      <c r="AI6" s="365"/>
      <c r="AJ6" s="366"/>
      <c r="AK6" s="367"/>
      <c r="AL6" s="368"/>
      <c r="AM6" s="344"/>
      <c r="AN6" s="369" t="str">
        <f>IF(COUNTA(AD6:AL6)=0,"",COUNTA(AD6:AL6))</f>
        <v/>
      </c>
      <c r="AO6" s="370">
        <v>3.0</v>
      </c>
      <c r="AQ6" s="2"/>
      <c r="AR6" s="372" t="str">
        <f>IF(IGRF!I15="","",IGRF!I15)</f>
        <v>11</v>
      </c>
      <c r="AS6" s="363"/>
      <c r="AT6" s="364"/>
      <c r="AU6" s="364"/>
      <c r="AV6" s="364" t="s">
        <v>247</v>
      </c>
      <c r="AW6" s="364" t="s">
        <v>243</v>
      </c>
      <c r="AX6" s="365"/>
      <c r="AY6" s="366"/>
      <c r="AZ6" s="367"/>
      <c r="BA6" s="368"/>
      <c r="BB6" s="344"/>
      <c r="BC6" s="369">
        <f>IF(COUNTA(AS6:BA6)=0,"",COUNTA(AS6:BA6))</f>
        <v>2</v>
      </c>
      <c r="BD6" s="361" t="s">
        <v>249</v>
      </c>
    </row>
    <row r="7" ht="18.75" customHeight="1">
      <c r="A7" s="352"/>
      <c r="B7" s="373">
        <v>6.0</v>
      </c>
      <c r="C7" s="374">
        <v>18.0</v>
      </c>
      <c r="D7" s="374"/>
      <c r="E7" s="374"/>
      <c r="F7" s="374"/>
      <c r="G7" s="375"/>
      <c r="H7" s="376"/>
      <c r="I7" s="377"/>
      <c r="J7" s="378"/>
      <c r="K7" s="359"/>
      <c r="L7" s="352"/>
      <c r="M7" s="360">
        <v>4.0</v>
      </c>
      <c r="N7" s="8"/>
      <c r="O7" s="162"/>
      <c r="P7" s="352"/>
      <c r="Q7" s="373">
        <v>2.0</v>
      </c>
      <c r="R7" s="374">
        <v>12.0</v>
      </c>
      <c r="S7" s="374">
        <v>16.0</v>
      </c>
      <c r="T7" s="374"/>
      <c r="U7" s="374"/>
      <c r="V7" s="375"/>
      <c r="W7" s="376"/>
      <c r="X7" s="377"/>
      <c r="Y7" s="378"/>
      <c r="Z7" s="359"/>
      <c r="AA7" s="352"/>
      <c r="AB7" s="379" t="s">
        <v>250</v>
      </c>
      <c r="AC7" s="352"/>
      <c r="AD7" s="380"/>
      <c r="AE7" s="374"/>
      <c r="AF7" s="374"/>
      <c r="AG7" s="374"/>
      <c r="AH7" s="374"/>
      <c r="AI7" s="375"/>
      <c r="AJ7" s="376"/>
      <c r="AK7" s="377"/>
      <c r="AL7" s="378"/>
      <c r="AM7" s="359"/>
      <c r="AN7" s="352"/>
      <c r="AO7" s="360">
        <v>4.0</v>
      </c>
      <c r="AP7" s="8"/>
      <c r="AQ7" s="162"/>
      <c r="AR7" s="381"/>
      <c r="AS7" s="373"/>
      <c r="AT7" s="374"/>
      <c r="AU7" s="374"/>
      <c r="AV7" s="374">
        <v>14.0</v>
      </c>
      <c r="AW7" s="374">
        <v>20.0</v>
      </c>
      <c r="AX7" s="375"/>
      <c r="AY7" s="376"/>
      <c r="AZ7" s="377"/>
      <c r="BA7" s="378"/>
      <c r="BB7" s="359"/>
      <c r="BC7" s="352"/>
      <c r="BD7" s="379" t="s">
        <v>250</v>
      </c>
    </row>
    <row r="8" ht="18.75" customHeight="1">
      <c r="A8" s="337" t="str">
        <f>IF(IGRF!B16="","",IGRF!B16)</f>
        <v>10</v>
      </c>
      <c r="B8" s="338"/>
      <c r="C8" s="339"/>
      <c r="D8" s="339"/>
      <c r="E8" s="339"/>
      <c r="F8" s="339"/>
      <c r="G8" s="340"/>
      <c r="H8" s="341"/>
      <c r="I8" s="342"/>
      <c r="J8" s="343"/>
      <c r="K8" s="344"/>
      <c r="L8" s="345" t="str">
        <f>IF(COUNTA(B8:J8)=0,"",COUNTA(B8:J8))</f>
        <v/>
      </c>
      <c r="M8" s="370">
        <v>5.0</v>
      </c>
      <c r="O8" s="2"/>
      <c r="P8" s="337" t="str">
        <f>IF(IGRF!I16="","",IGRF!I16)</f>
        <v>120</v>
      </c>
      <c r="Q8" s="338"/>
      <c r="R8" s="339"/>
      <c r="S8" s="339"/>
      <c r="T8" s="339"/>
      <c r="U8" s="339"/>
      <c r="V8" s="340"/>
      <c r="W8" s="341"/>
      <c r="X8" s="342"/>
      <c r="Y8" s="343"/>
      <c r="Z8" s="344"/>
      <c r="AA8" s="345" t="str">
        <f>IF(COUNTA(Q8:Y8)=0,"",COUNTA(Q8:Y8))</f>
        <v/>
      </c>
      <c r="AB8" s="382" t="s">
        <v>251</v>
      </c>
      <c r="AC8" s="337" t="str">
        <f>IF(IGRF!B16="","",IGRF!B16)</f>
        <v>10</v>
      </c>
      <c r="AD8" s="342" t="s">
        <v>231</v>
      </c>
      <c r="AE8" s="339"/>
      <c r="AF8" s="339"/>
      <c r="AG8" s="339"/>
      <c r="AH8" s="339"/>
      <c r="AI8" s="340"/>
      <c r="AJ8" s="341"/>
      <c r="AK8" s="342"/>
      <c r="AL8" s="343"/>
      <c r="AM8" s="344"/>
      <c r="AN8" s="345">
        <f>IF(COUNTA(AD8:AL8)=0,"",COUNTA(AD8:AL8))</f>
        <v>1</v>
      </c>
      <c r="AO8" s="370">
        <v>5.0</v>
      </c>
      <c r="AQ8" s="2"/>
      <c r="AR8" s="351" t="str">
        <f>IF(IGRF!I16="","",IGRF!I16)</f>
        <v>120</v>
      </c>
      <c r="AS8" s="338"/>
      <c r="AT8" s="339"/>
      <c r="AU8" s="339"/>
      <c r="AV8" s="339"/>
      <c r="AW8" s="339"/>
      <c r="AX8" s="340"/>
      <c r="AY8" s="341"/>
      <c r="AZ8" s="342"/>
      <c r="BA8" s="343"/>
      <c r="BB8" s="344"/>
      <c r="BC8" s="345" t="str">
        <f>IF(COUNTA(AS8:BA8)=0,"",COUNTA(AS8:BA8))</f>
        <v/>
      </c>
      <c r="BD8" s="382" t="s">
        <v>251</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252</v>
      </c>
      <c r="AC9" s="352"/>
      <c r="AD9" s="357">
        <v>14.0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252</v>
      </c>
    </row>
    <row r="10" ht="18.75" customHeight="1">
      <c r="A10" s="362" t="str">
        <f>IF(IGRF!B17="","",IGRF!B17)</f>
        <v>16*</v>
      </c>
      <c r="B10" s="363"/>
      <c r="C10" s="364"/>
      <c r="D10" s="364"/>
      <c r="E10" s="364"/>
      <c r="F10" s="364"/>
      <c r="G10" s="365"/>
      <c r="H10" s="366"/>
      <c r="I10" s="367"/>
      <c r="J10" s="368"/>
      <c r="K10" s="344"/>
      <c r="L10" s="369" t="str">
        <f>IF(COUNTA(B10:J10)=0,"",COUNTA(B10:J10))</f>
        <v/>
      </c>
      <c r="M10" s="370">
        <v>7.0</v>
      </c>
      <c r="O10" s="2"/>
      <c r="P10" s="362" t="str">
        <f>IF(IGRF!I17="","",IGRF!I17)</f>
        <v>13</v>
      </c>
      <c r="Q10" s="363"/>
      <c r="R10" s="364"/>
      <c r="S10" s="364"/>
      <c r="T10" s="364"/>
      <c r="U10" s="364"/>
      <c r="V10" s="365"/>
      <c r="W10" s="366"/>
      <c r="X10" s="367"/>
      <c r="Y10" s="368"/>
      <c r="Z10" s="344"/>
      <c r="AA10" s="369" t="str">
        <f>IF(COUNTA(Q10:Y10)=0,"",COUNTA(Q10:Y10))</f>
        <v/>
      </c>
      <c r="AB10" s="384" t="s">
        <v>245</v>
      </c>
      <c r="AC10" s="362" t="str">
        <f>IF(IGRF!B17="","",IGRF!B17)</f>
        <v>16*</v>
      </c>
      <c r="AD10" s="371"/>
      <c r="AE10" s="364"/>
      <c r="AF10" s="364"/>
      <c r="AG10" s="364"/>
      <c r="AH10" s="364"/>
      <c r="AI10" s="365"/>
      <c r="AJ10" s="366"/>
      <c r="AK10" s="367"/>
      <c r="AL10" s="368"/>
      <c r="AM10" s="344"/>
      <c r="AN10" s="369" t="str">
        <f>IF(COUNTA(AD10:AL10)=0,"",COUNTA(AD10:AL10))</f>
        <v/>
      </c>
      <c r="AO10" s="370">
        <v>7.0</v>
      </c>
      <c r="AQ10" s="2"/>
      <c r="AR10" s="372" t="str">
        <f>IF(IGRF!I17="","",IGRF!I17)</f>
        <v>13</v>
      </c>
      <c r="AS10" s="363"/>
      <c r="AT10" s="364"/>
      <c r="AU10" s="364"/>
      <c r="AV10" s="364"/>
      <c r="AW10" s="364"/>
      <c r="AX10" s="365"/>
      <c r="AY10" s="366"/>
      <c r="AZ10" s="367"/>
      <c r="BA10" s="368"/>
      <c r="BB10" s="344"/>
      <c r="BC10" s="369" t="str">
        <f>IF(COUNTA(AS10:BA10)=0,"",COUNTA(AS10:BA10))</f>
        <v/>
      </c>
      <c r="BD10" s="384" t="s">
        <v>245</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253</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253</v>
      </c>
    </row>
    <row r="12" ht="18.75" customHeight="1">
      <c r="A12" s="337" t="str">
        <f>IF(IGRF!B18="","",IGRF!B18)</f>
        <v>22*</v>
      </c>
      <c r="B12" s="338"/>
      <c r="C12" s="339"/>
      <c r="D12" s="339"/>
      <c r="E12" s="339"/>
      <c r="F12" s="339"/>
      <c r="G12" s="340"/>
      <c r="H12" s="341"/>
      <c r="I12" s="342"/>
      <c r="J12" s="343"/>
      <c r="K12" s="344"/>
      <c r="L12" s="345" t="str">
        <f>IF(COUNTA(B12:J12)=0,"",COUNTA(B12:J12))</f>
        <v/>
      </c>
      <c r="M12" s="370">
        <v>9.0</v>
      </c>
      <c r="O12" s="2"/>
      <c r="P12" s="337" t="str">
        <f>IF(IGRF!I18="","",IGRF!I18)</f>
        <v>15</v>
      </c>
      <c r="Q12" s="338" t="s">
        <v>231</v>
      </c>
      <c r="R12" s="339"/>
      <c r="S12" s="339"/>
      <c r="T12" s="339"/>
      <c r="U12" s="339"/>
      <c r="V12" s="340"/>
      <c r="W12" s="341"/>
      <c r="X12" s="342"/>
      <c r="Y12" s="343"/>
      <c r="Z12" s="344"/>
      <c r="AA12" s="345">
        <f>IF(COUNTA(Q12:Y12)=0,"",COUNTA(Q12:Y12))</f>
        <v>1</v>
      </c>
      <c r="AB12" s="384" t="s">
        <v>254</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15</v>
      </c>
      <c r="AS12" s="338"/>
      <c r="AT12" s="339" t="s">
        <v>231</v>
      </c>
      <c r="AU12" s="339"/>
      <c r="AV12" s="339"/>
      <c r="AW12" s="339"/>
      <c r="AX12" s="340"/>
      <c r="AY12" s="341"/>
      <c r="AZ12" s="342"/>
      <c r="BA12" s="343"/>
      <c r="BB12" s="344"/>
      <c r="BC12" s="345">
        <f>IF(COUNTA(AS12:BA12)=0,"",COUNTA(AS12:BA12))</f>
        <v>1</v>
      </c>
      <c r="BD12" s="384" t="s">
        <v>254</v>
      </c>
    </row>
    <row r="13" ht="18.75" customHeight="1">
      <c r="A13" s="352"/>
      <c r="B13" s="353"/>
      <c r="C13" s="354"/>
      <c r="D13" s="354"/>
      <c r="E13" s="354"/>
      <c r="F13" s="354"/>
      <c r="G13" s="355"/>
      <c r="H13" s="356"/>
      <c r="I13" s="357"/>
      <c r="J13" s="358"/>
      <c r="K13" s="359"/>
      <c r="L13" s="352"/>
      <c r="M13" s="360">
        <v>10.0</v>
      </c>
      <c r="N13" s="8"/>
      <c r="O13" s="162"/>
      <c r="P13" s="352"/>
      <c r="Q13" s="353">
        <v>5.0</v>
      </c>
      <c r="R13" s="354"/>
      <c r="S13" s="354"/>
      <c r="T13" s="354"/>
      <c r="U13" s="354"/>
      <c r="V13" s="355"/>
      <c r="W13" s="356"/>
      <c r="X13" s="357"/>
      <c r="Y13" s="358"/>
      <c r="Z13" s="359"/>
      <c r="AA13" s="352"/>
      <c r="AB13" s="383" t="s">
        <v>255</v>
      </c>
      <c r="AC13" s="352"/>
      <c r="AD13" s="357"/>
      <c r="AE13" s="354"/>
      <c r="AF13" s="354"/>
      <c r="AG13" s="354"/>
      <c r="AH13" s="354"/>
      <c r="AI13" s="355"/>
      <c r="AJ13" s="356"/>
      <c r="AK13" s="357"/>
      <c r="AL13" s="358"/>
      <c r="AM13" s="359"/>
      <c r="AN13" s="352"/>
      <c r="AO13" s="360">
        <v>10.0</v>
      </c>
      <c r="AP13" s="8"/>
      <c r="AQ13" s="162"/>
      <c r="AR13" s="69"/>
      <c r="AS13" s="353"/>
      <c r="AT13" s="354">
        <v>12.0</v>
      </c>
      <c r="AU13" s="354"/>
      <c r="AV13" s="354"/>
      <c r="AW13" s="354"/>
      <c r="AX13" s="355"/>
      <c r="AY13" s="356"/>
      <c r="AZ13" s="357"/>
      <c r="BA13" s="358"/>
      <c r="BB13" s="359"/>
      <c r="BC13" s="352"/>
      <c r="BD13" s="383" t="s">
        <v>255</v>
      </c>
    </row>
    <row r="14" ht="18.75" customHeight="1">
      <c r="A14" s="362" t="str">
        <f>IF(IGRF!B19="","",IGRF!B19)</f>
        <v>24</v>
      </c>
      <c r="B14" s="363" t="s">
        <v>248</v>
      </c>
      <c r="C14" s="364"/>
      <c r="D14" s="364"/>
      <c r="E14" s="364"/>
      <c r="F14" s="364"/>
      <c r="G14" s="365"/>
      <c r="H14" s="366"/>
      <c r="I14" s="367"/>
      <c r="J14" s="368"/>
      <c r="K14" s="344"/>
      <c r="L14" s="369">
        <f>IF(COUNTA(B14:J14)=0,"",COUNTA(B14:J14))</f>
        <v>1</v>
      </c>
      <c r="M14" s="370">
        <v>11.0</v>
      </c>
      <c r="O14" s="2"/>
      <c r="P14" s="362" t="str">
        <f>IF(IGRF!I19="","",IGRF!I19)</f>
        <v>21*</v>
      </c>
      <c r="Q14" s="363"/>
      <c r="R14" s="364"/>
      <c r="S14" s="364"/>
      <c r="T14" s="364"/>
      <c r="U14" s="364"/>
      <c r="V14" s="365"/>
      <c r="W14" s="366"/>
      <c r="X14" s="367"/>
      <c r="Y14" s="368"/>
      <c r="Z14" s="344"/>
      <c r="AA14" s="369" t="str">
        <f>IF(COUNTA(Q14:Y14)=0,"",COUNTA(Q14:Y14))</f>
        <v/>
      </c>
      <c r="AB14" s="350" t="s">
        <v>256</v>
      </c>
      <c r="AC14" s="362" t="str">
        <f>IF(IGRF!B19="","",IGRF!B19)</f>
        <v>24</v>
      </c>
      <c r="AD14" s="371"/>
      <c r="AE14" s="364" t="s">
        <v>248</v>
      </c>
      <c r="AF14" s="364"/>
      <c r="AG14" s="364"/>
      <c r="AH14" s="364"/>
      <c r="AI14" s="365"/>
      <c r="AJ14" s="366"/>
      <c r="AK14" s="367"/>
      <c r="AL14" s="368"/>
      <c r="AM14" s="344"/>
      <c r="AN14" s="369">
        <f>IF(COUNTA(AD14:AL14)=0,"",COUNTA(AD14:AL14))</f>
        <v>1</v>
      </c>
      <c r="AO14" s="370">
        <v>11.0</v>
      </c>
      <c r="AQ14" s="2"/>
      <c r="AR14" s="372" t="str">
        <f>IF(IGRF!I19="","",IGRF!I19)</f>
        <v>21*</v>
      </c>
      <c r="AS14" s="363"/>
      <c r="AT14" s="364"/>
      <c r="AU14" s="364"/>
      <c r="AV14" s="364"/>
      <c r="AW14" s="364"/>
      <c r="AX14" s="365"/>
      <c r="AY14" s="366"/>
      <c r="AZ14" s="367"/>
      <c r="BA14" s="368"/>
      <c r="BB14" s="344"/>
      <c r="BC14" s="369" t="str">
        <f>IF(COUNTA(AS14:BA14)=0,"",COUNTA(AS14:BA14))</f>
        <v/>
      </c>
      <c r="BD14" s="350" t="s">
        <v>256</v>
      </c>
    </row>
    <row r="15" ht="18.75" customHeight="1">
      <c r="A15" s="352"/>
      <c r="B15" s="373">
        <v>11.0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257</v>
      </c>
      <c r="AC15" s="352"/>
      <c r="AD15" s="380"/>
      <c r="AE15" s="374">
        <v>14.0</v>
      </c>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257</v>
      </c>
    </row>
    <row r="16" ht="18.75" customHeight="1">
      <c r="A16" s="337" t="str">
        <f>IF(IGRF!B20="","",IGRF!B20)</f>
        <v>264</v>
      </c>
      <c r="B16" s="338" t="s">
        <v>243</v>
      </c>
      <c r="C16" s="339"/>
      <c r="D16" s="339"/>
      <c r="E16" s="339"/>
      <c r="F16" s="339"/>
      <c r="G16" s="340"/>
      <c r="H16" s="341"/>
      <c r="I16" s="342"/>
      <c r="J16" s="343"/>
      <c r="K16" s="344"/>
      <c r="L16" s="345">
        <f>IF(COUNTA(B16:J16)=0,"",COUNTA(B16:J16))</f>
        <v>1</v>
      </c>
      <c r="M16" s="370">
        <v>13.0</v>
      </c>
      <c r="O16" s="2"/>
      <c r="P16" s="337" t="str">
        <f>IF(IGRF!I20="","",IGRF!I20)</f>
        <v>213</v>
      </c>
      <c r="Q16" s="338"/>
      <c r="R16" s="339"/>
      <c r="S16" s="339"/>
      <c r="T16" s="339"/>
      <c r="U16" s="339"/>
      <c r="V16" s="340"/>
      <c r="W16" s="341"/>
      <c r="X16" s="342"/>
      <c r="Y16" s="343"/>
      <c r="Z16" s="344"/>
      <c r="AA16" s="345" t="str">
        <f>IF(COUNTA(Q16:Y16)=0,"",COUNTA(Q16:Y16))</f>
        <v/>
      </c>
      <c r="AB16" s="350" t="s">
        <v>243</v>
      </c>
      <c r="AC16" s="337" t="str">
        <f>IF(IGRF!B20="","",IGRF!B20)</f>
        <v>264</v>
      </c>
      <c r="AD16" s="342"/>
      <c r="AE16" s="339" t="s">
        <v>248</v>
      </c>
      <c r="AF16" s="339"/>
      <c r="AG16" s="339"/>
      <c r="AH16" s="339"/>
      <c r="AI16" s="340"/>
      <c r="AJ16" s="341"/>
      <c r="AK16" s="342"/>
      <c r="AL16" s="343"/>
      <c r="AM16" s="344"/>
      <c r="AN16" s="345">
        <f>IF(COUNTA(AD16:AL16)=0,"",COUNTA(AD16:AL16))</f>
        <v>1</v>
      </c>
      <c r="AO16" s="370">
        <v>13.0</v>
      </c>
      <c r="AQ16" s="2"/>
      <c r="AR16" s="351" t="str">
        <f>IF(IGRF!I20="","",IGRF!I20)</f>
        <v>213</v>
      </c>
      <c r="AS16" s="338" t="s">
        <v>247</v>
      </c>
      <c r="AT16" s="339" t="s">
        <v>258</v>
      </c>
      <c r="AU16" s="339"/>
      <c r="AV16" s="339"/>
      <c r="AW16" s="339"/>
      <c r="AX16" s="340"/>
      <c r="AY16" s="341"/>
      <c r="AZ16" s="342"/>
      <c r="BA16" s="343"/>
      <c r="BB16" s="344"/>
      <c r="BC16" s="345">
        <f>IF(COUNTA(AS16:BA16)=0,"",COUNTA(AS16:BA16))</f>
        <v>2</v>
      </c>
      <c r="BD16" s="350" t="s">
        <v>243</v>
      </c>
    </row>
    <row r="17" ht="18.75" customHeight="1">
      <c r="A17" s="352"/>
      <c r="B17" s="353">
        <v>7.0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259</v>
      </c>
      <c r="AC17" s="352"/>
      <c r="AD17" s="357"/>
      <c r="AE17" s="354">
        <v>4.0</v>
      </c>
      <c r="AF17" s="354"/>
      <c r="AG17" s="354"/>
      <c r="AH17" s="354"/>
      <c r="AI17" s="355"/>
      <c r="AJ17" s="356"/>
      <c r="AK17" s="357"/>
      <c r="AL17" s="358"/>
      <c r="AM17" s="359"/>
      <c r="AN17" s="352"/>
      <c r="AO17" s="360">
        <v>14.0</v>
      </c>
      <c r="AP17" s="8"/>
      <c r="AQ17" s="162"/>
      <c r="AR17" s="69"/>
      <c r="AS17" s="353">
        <v>5.0</v>
      </c>
      <c r="AT17" s="354">
        <v>13.0</v>
      </c>
      <c r="AU17" s="354"/>
      <c r="AV17" s="354"/>
      <c r="AW17" s="354"/>
      <c r="AX17" s="355"/>
      <c r="AY17" s="356"/>
      <c r="AZ17" s="357"/>
      <c r="BA17" s="358"/>
      <c r="BB17" s="359"/>
      <c r="BC17" s="352"/>
      <c r="BD17" s="385" t="s">
        <v>259</v>
      </c>
    </row>
    <row r="18" ht="18.75" customHeight="1">
      <c r="A18" s="362" t="str">
        <f>IF(IGRF!B21="","",IGRF!B21)</f>
        <v>27*</v>
      </c>
      <c r="B18" s="363"/>
      <c r="C18" s="364"/>
      <c r="D18" s="364"/>
      <c r="E18" s="364"/>
      <c r="F18" s="364"/>
      <c r="G18" s="365"/>
      <c r="H18" s="366"/>
      <c r="I18" s="367"/>
      <c r="J18" s="368"/>
      <c r="K18" s="344"/>
      <c r="L18" s="369" t="str">
        <f>IF(COUNTA(B18:J18)=0,"",COUNTA(B18:J18))</f>
        <v/>
      </c>
      <c r="M18" s="370">
        <v>15.0</v>
      </c>
      <c r="O18" s="2"/>
      <c r="P18" s="362" t="str">
        <f>IF(IGRF!I21="","",IGRF!I21)</f>
        <v>221</v>
      </c>
      <c r="Q18" s="363" t="s">
        <v>231</v>
      </c>
      <c r="R18" s="364"/>
      <c r="S18" s="364"/>
      <c r="T18" s="364"/>
      <c r="U18" s="364"/>
      <c r="V18" s="365"/>
      <c r="W18" s="366"/>
      <c r="X18" s="367"/>
      <c r="Y18" s="368"/>
      <c r="Z18" s="344"/>
      <c r="AA18" s="386">
        <f>IF(COUNTA(Q18:Y18)=0,"",COUNTA(Q18:Y18))</f>
        <v>1</v>
      </c>
      <c r="AB18" s="350" t="s">
        <v>260</v>
      </c>
      <c r="AC18" s="362" t="str">
        <f>IF(IGRF!B21="","",IGRF!B21)</f>
        <v>27*</v>
      </c>
      <c r="AD18" s="371"/>
      <c r="AE18" s="364"/>
      <c r="AF18" s="364"/>
      <c r="AG18" s="364"/>
      <c r="AH18" s="364"/>
      <c r="AI18" s="365"/>
      <c r="AJ18" s="366"/>
      <c r="AK18" s="367"/>
      <c r="AL18" s="368"/>
      <c r="AM18" s="344"/>
      <c r="AN18" s="369" t="str">
        <f>IF(COUNTA(AD18:AL18)=0,"",COUNTA(AD18:AL18))</f>
        <v/>
      </c>
      <c r="AO18" s="370">
        <v>15.0</v>
      </c>
      <c r="AQ18" s="2"/>
      <c r="AR18" s="372" t="str">
        <f>IF(IGRF!I21="","",IGRF!I21)</f>
        <v>221</v>
      </c>
      <c r="AS18" s="363"/>
      <c r="AT18" s="364"/>
      <c r="AU18" s="364"/>
      <c r="AV18" s="364"/>
      <c r="AW18" s="364"/>
      <c r="AX18" s="365"/>
      <c r="AY18" s="366"/>
      <c r="AZ18" s="367"/>
      <c r="BA18" s="368"/>
      <c r="BB18" s="344"/>
      <c r="BC18" s="369" t="str">
        <f>IF(COUNTA(AS18:BA18)=0,"",COUNTA(AS18:BA18))</f>
        <v/>
      </c>
      <c r="BD18" s="350" t="s">
        <v>260</v>
      </c>
    </row>
    <row r="19" ht="18.75" customHeight="1">
      <c r="A19" s="352"/>
      <c r="B19" s="373"/>
      <c r="C19" s="374"/>
      <c r="D19" s="374"/>
      <c r="E19" s="374"/>
      <c r="F19" s="374"/>
      <c r="G19" s="375"/>
      <c r="H19" s="376"/>
      <c r="I19" s="377"/>
      <c r="J19" s="378"/>
      <c r="K19" s="359"/>
      <c r="L19" s="352"/>
      <c r="M19" s="360">
        <v>16.0</v>
      </c>
      <c r="N19" s="8"/>
      <c r="O19" s="162"/>
      <c r="P19" s="352"/>
      <c r="Q19" s="373">
        <v>15.0</v>
      </c>
      <c r="R19" s="374"/>
      <c r="S19" s="374"/>
      <c r="T19" s="374"/>
      <c r="U19" s="374"/>
      <c r="V19" s="375"/>
      <c r="W19" s="376"/>
      <c r="X19" s="377"/>
      <c r="Y19" s="378"/>
      <c r="Z19" s="359"/>
      <c r="AA19" s="381"/>
      <c r="AB19" s="361" t="s">
        <v>261</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261</v>
      </c>
    </row>
    <row r="20" ht="18.75" customHeight="1">
      <c r="A20" s="337" t="str">
        <f>IF(IGRF!B22="","",IGRF!B22)</f>
        <v>3</v>
      </c>
      <c r="B20" s="338" t="s">
        <v>251</v>
      </c>
      <c r="C20" s="339" t="s">
        <v>247</v>
      </c>
      <c r="D20" s="339"/>
      <c r="E20" s="339"/>
      <c r="F20" s="339"/>
      <c r="G20" s="340"/>
      <c r="H20" s="341"/>
      <c r="I20" s="342"/>
      <c r="J20" s="343"/>
      <c r="K20" s="344"/>
      <c r="L20" s="345">
        <f>IF(COUNTA(B20:J20)=0,"",COUNTA(B20:J20))</f>
        <v>2</v>
      </c>
      <c r="M20" s="370">
        <v>17.0</v>
      </c>
      <c r="O20" s="2"/>
      <c r="P20" s="337" t="str">
        <f>IF(IGRF!I22="","",IGRF!I22)</f>
        <v>28</v>
      </c>
      <c r="Q20" s="338"/>
      <c r="R20" s="339"/>
      <c r="S20" s="339"/>
      <c r="T20" s="339"/>
      <c r="U20" s="339"/>
      <c r="V20" s="340"/>
      <c r="W20" s="341"/>
      <c r="X20" s="342"/>
      <c r="Y20" s="343"/>
      <c r="Z20" s="344"/>
      <c r="AA20" s="349" t="str">
        <f>IF(COUNTA(Q20:Y20)=0,"",COUNTA(Q20:Y20))</f>
        <v/>
      </c>
      <c r="AB20" s="350" t="s">
        <v>262</v>
      </c>
      <c r="AC20" s="337" t="str">
        <f>IF(IGRF!B22="","",IGRF!B22)</f>
        <v>3</v>
      </c>
      <c r="AD20" s="342"/>
      <c r="AE20" s="339"/>
      <c r="AF20" s="339" t="s">
        <v>231</v>
      </c>
      <c r="AG20" s="339"/>
      <c r="AH20" s="339"/>
      <c r="AI20" s="340"/>
      <c r="AJ20" s="341"/>
      <c r="AK20" s="342"/>
      <c r="AL20" s="343"/>
      <c r="AM20" s="344"/>
      <c r="AN20" s="345">
        <f>IF(COUNTA(AD20:AL20)=0,"",COUNTA(AD20:AL20))</f>
        <v>1</v>
      </c>
      <c r="AO20" s="370">
        <v>17.0</v>
      </c>
      <c r="AQ20" s="2"/>
      <c r="AR20" s="351" t="str">
        <f>IF(IGRF!I22="","",IGRF!I22)</f>
        <v>28</v>
      </c>
      <c r="AS20" s="338"/>
      <c r="AT20" s="339"/>
      <c r="AU20" s="339"/>
      <c r="AV20" s="339"/>
      <c r="AW20" s="339"/>
      <c r="AX20" s="340"/>
      <c r="AY20" s="341"/>
      <c r="AZ20" s="342"/>
      <c r="BA20" s="343"/>
      <c r="BB20" s="344"/>
      <c r="BC20" s="345" t="str">
        <f>IF(COUNTA(AS20:BA20)=0,"",COUNTA(AS20:BA20))</f>
        <v/>
      </c>
      <c r="BD20" s="350" t="s">
        <v>262</v>
      </c>
    </row>
    <row r="21" ht="18.75" customHeight="1">
      <c r="A21" s="352"/>
      <c r="B21" s="353">
        <v>18.0</v>
      </c>
      <c r="C21" s="354">
        <v>18.0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263</v>
      </c>
      <c r="AC21" s="352"/>
      <c r="AD21" s="357"/>
      <c r="AE21" s="354"/>
      <c r="AF21" s="354">
        <v>12.0</v>
      </c>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263</v>
      </c>
    </row>
    <row r="22" ht="18.75" customHeight="1">
      <c r="A22" s="362" t="str">
        <f>IF(IGRF!B23="","",IGRF!B23)</f>
        <v>31</v>
      </c>
      <c r="B22" s="363"/>
      <c r="C22" s="364"/>
      <c r="D22" s="364"/>
      <c r="E22" s="364"/>
      <c r="F22" s="364"/>
      <c r="G22" s="365"/>
      <c r="H22" s="366"/>
      <c r="I22" s="367"/>
      <c r="J22" s="368"/>
      <c r="K22" s="344"/>
      <c r="L22" s="369" t="str">
        <f>IF(COUNTA(B22:J22)=0,"",COUNTA(B22:J22))</f>
        <v/>
      </c>
      <c r="M22" s="370">
        <v>19.0</v>
      </c>
      <c r="O22" s="2"/>
      <c r="P22" s="362" t="str">
        <f>IF(IGRF!I23="","",IGRF!I23)</f>
        <v>321</v>
      </c>
      <c r="Q22" s="363"/>
      <c r="R22" s="364"/>
      <c r="S22" s="364"/>
      <c r="T22" s="364"/>
      <c r="U22" s="364"/>
      <c r="V22" s="365"/>
      <c r="W22" s="366"/>
      <c r="X22" s="367"/>
      <c r="Y22" s="368"/>
      <c r="Z22" s="344"/>
      <c r="AA22" s="386" t="str">
        <f>IF(COUNTA(Q22:Y22)=0,"",COUNTA(Q22:Y22))</f>
        <v/>
      </c>
      <c r="AB22" s="384" t="s">
        <v>258</v>
      </c>
      <c r="AC22" s="362" t="str">
        <f>IF(IGRF!B23="","",IGRF!B23)</f>
        <v>31</v>
      </c>
      <c r="AD22" s="371" t="s">
        <v>247</v>
      </c>
      <c r="AE22" s="364"/>
      <c r="AF22" s="364"/>
      <c r="AG22" s="364"/>
      <c r="AH22" s="364"/>
      <c r="AI22" s="365"/>
      <c r="AJ22" s="366"/>
      <c r="AK22" s="367"/>
      <c r="AL22" s="368"/>
      <c r="AM22" s="344"/>
      <c r="AN22" s="369">
        <f>IF(COUNTA(AD22:AL22)=0,"",COUNTA(AD22:AL22))</f>
        <v>1</v>
      </c>
      <c r="AO22" s="370">
        <v>19.0</v>
      </c>
      <c r="AQ22" s="2"/>
      <c r="AR22" s="372" t="str">
        <f>IF(IGRF!I23="","",IGRF!I23)</f>
        <v>321</v>
      </c>
      <c r="AS22" s="363"/>
      <c r="AT22" s="364"/>
      <c r="AU22" s="364"/>
      <c r="AV22" s="364"/>
      <c r="AW22" s="364"/>
      <c r="AX22" s="365"/>
      <c r="AY22" s="366"/>
      <c r="AZ22" s="367"/>
      <c r="BA22" s="368"/>
      <c r="BB22" s="344"/>
      <c r="BC22" s="369" t="str">
        <f>IF(COUNTA(AS22:BA22)=0,"",COUNTA(AS22:BA22))</f>
        <v/>
      </c>
      <c r="BD22" s="384" t="s">
        <v>258</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264</v>
      </c>
      <c r="AC23" s="352"/>
      <c r="AD23" s="380">
        <v>13.0</v>
      </c>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264</v>
      </c>
    </row>
    <row r="24" ht="18.75" customHeight="1">
      <c r="A24" s="337" t="str">
        <f>IF(IGRF!B24="","",IGRF!B24)</f>
        <v>313</v>
      </c>
      <c r="B24" s="338" t="s">
        <v>231</v>
      </c>
      <c r="C24" s="339"/>
      <c r="D24" s="339"/>
      <c r="E24" s="339"/>
      <c r="F24" s="339"/>
      <c r="G24" s="340"/>
      <c r="H24" s="341"/>
      <c r="I24" s="342"/>
      <c r="J24" s="343"/>
      <c r="K24" s="344"/>
      <c r="L24" s="345">
        <f>IF(COUNTA(B24:J24)=0,"",COUNTA(B24:J24))</f>
        <v>1</v>
      </c>
      <c r="M24" s="370">
        <v>21.0</v>
      </c>
      <c r="O24" s="2"/>
      <c r="P24" s="337" t="str">
        <f>IF(IGRF!I24="","",IGRF!I24)</f>
        <v>329</v>
      </c>
      <c r="Q24" s="338"/>
      <c r="R24" s="339"/>
      <c r="S24" s="339"/>
      <c r="T24" s="339"/>
      <c r="U24" s="339"/>
      <c r="V24" s="340"/>
      <c r="W24" s="341"/>
      <c r="X24" s="342"/>
      <c r="Y24" s="343"/>
      <c r="Z24" s="344"/>
      <c r="AA24" s="345" t="str">
        <f>IF(COUNTA(Q24:Y24)=0,"",COUNTA(Q24:Y24))</f>
        <v/>
      </c>
      <c r="AB24" s="388" t="s">
        <v>265</v>
      </c>
      <c r="AC24" s="337" t="str">
        <f>IF(IGRF!B24="","",IGRF!B24)</f>
        <v>313</v>
      </c>
      <c r="AD24" s="342"/>
      <c r="AE24" s="339"/>
      <c r="AF24" s="339"/>
      <c r="AG24" s="339"/>
      <c r="AH24" s="339"/>
      <c r="AI24" s="340"/>
      <c r="AJ24" s="341"/>
      <c r="AK24" s="342"/>
      <c r="AL24" s="343"/>
      <c r="AM24" s="344"/>
      <c r="AN24" s="345" t="str">
        <f>IF(COUNTA(AD24:AL24)=0,"",COUNTA(AD24:AL24))</f>
        <v/>
      </c>
      <c r="AO24" s="370">
        <v>21.0</v>
      </c>
      <c r="AQ24" s="2"/>
      <c r="AR24" s="351" t="str">
        <f>IF(IGRF!I24="","",IGRF!I24)</f>
        <v>329</v>
      </c>
      <c r="AS24" s="338" t="s">
        <v>231</v>
      </c>
      <c r="AT24" s="339" t="s">
        <v>231</v>
      </c>
      <c r="AU24" s="339"/>
      <c r="AV24" s="339"/>
      <c r="AW24" s="339"/>
      <c r="AX24" s="340"/>
      <c r="AY24" s="341"/>
      <c r="AZ24" s="342"/>
      <c r="BA24" s="343"/>
      <c r="BB24" s="344"/>
      <c r="BC24" s="345">
        <f>IF(COUNTA(AS24:BA24)=0,"",COUNTA(AS24:BA24))</f>
        <v>2</v>
      </c>
      <c r="BD24" s="388" t="s">
        <v>265</v>
      </c>
    </row>
    <row r="25" ht="18.75" customHeight="1">
      <c r="A25" s="352"/>
      <c r="B25" s="353">
        <v>5.0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266</v>
      </c>
      <c r="AC25" s="352"/>
      <c r="AD25" s="357"/>
      <c r="AE25" s="354"/>
      <c r="AF25" s="354"/>
      <c r="AG25" s="354"/>
      <c r="AH25" s="354"/>
      <c r="AI25" s="355"/>
      <c r="AJ25" s="356"/>
      <c r="AK25" s="357"/>
      <c r="AL25" s="358"/>
      <c r="AM25" s="359"/>
      <c r="AN25" s="352"/>
      <c r="AO25" s="360">
        <v>22.0</v>
      </c>
      <c r="AP25" s="8"/>
      <c r="AQ25" s="162"/>
      <c r="AR25" s="69"/>
      <c r="AS25" s="353">
        <v>2.0</v>
      </c>
      <c r="AT25" s="354">
        <v>13.0</v>
      </c>
      <c r="AU25" s="354"/>
      <c r="AV25" s="354"/>
      <c r="AW25" s="354"/>
      <c r="AX25" s="355"/>
      <c r="AY25" s="356"/>
      <c r="AZ25" s="357"/>
      <c r="BA25" s="358"/>
      <c r="BB25" s="359"/>
      <c r="BC25" s="352"/>
      <c r="BD25" s="389" t="s">
        <v>266</v>
      </c>
    </row>
    <row r="26" ht="18.75" customHeight="1">
      <c r="A26" s="362" t="str">
        <f>IF(IGRF!B25="","",IGRF!B25)</f>
        <v>3381</v>
      </c>
      <c r="B26" s="363" t="s">
        <v>231</v>
      </c>
      <c r="C26" s="364"/>
      <c r="D26" s="364"/>
      <c r="E26" s="364"/>
      <c r="F26" s="364"/>
      <c r="G26" s="365"/>
      <c r="H26" s="366"/>
      <c r="I26" s="367"/>
      <c r="J26" s="368"/>
      <c r="K26" s="344"/>
      <c r="L26" s="369">
        <f>IF(COUNTA(B26:J26)=0,"",COUNTA(B26:J26))</f>
        <v>1</v>
      </c>
      <c r="M26" s="370">
        <v>23.0</v>
      </c>
      <c r="O26" s="2"/>
      <c r="P26" s="362" t="str">
        <f>IF(IGRF!I25="","",IGRF!I25)</f>
        <v>410</v>
      </c>
      <c r="Q26" s="363" t="s">
        <v>267</v>
      </c>
      <c r="R26" s="364" t="s">
        <v>267</v>
      </c>
      <c r="S26" s="364"/>
      <c r="T26" s="364"/>
      <c r="U26" s="364"/>
      <c r="V26" s="365"/>
      <c r="W26" s="366"/>
      <c r="X26" s="367"/>
      <c r="Y26" s="368"/>
      <c r="Z26" s="344"/>
      <c r="AA26" s="386">
        <f>IF(COUNTA(Q26:Y26)=0,"",COUNTA(Q26:Y26))</f>
        <v>2</v>
      </c>
      <c r="AB26" s="384" t="s">
        <v>248</v>
      </c>
      <c r="AC26" s="362" t="str">
        <f>IF(IGRF!B25="","",IGRF!B25)</f>
        <v>3381</v>
      </c>
      <c r="AD26" s="371"/>
      <c r="AE26" s="364"/>
      <c r="AF26" s="364"/>
      <c r="AG26" s="364"/>
      <c r="AH26" s="364"/>
      <c r="AI26" s="365"/>
      <c r="AJ26" s="366"/>
      <c r="AK26" s="367"/>
      <c r="AL26" s="368"/>
      <c r="AM26" s="344"/>
      <c r="AN26" s="369" t="str">
        <f>IF(COUNTA(AD26:AL26)=0,"",COUNTA(AD26:AL26))</f>
        <v/>
      </c>
      <c r="AO26" s="370">
        <v>23.0</v>
      </c>
      <c r="AQ26" s="2"/>
      <c r="AR26" s="372" t="str">
        <f>IF(IGRF!I25="","",IGRF!I25)</f>
        <v>410</v>
      </c>
      <c r="AS26" s="363"/>
      <c r="AT26" s="364"/>
      <c r="AU26" s="364" t="s">
        <v>231</v>
      </c>
      <c r="AV26" s="364" t="s">
        <v>267</v>
      </c>
      <c r="AW26" s="364"/>
      <c r="AX26" s="365"/>
      <c r="AY26" s="366"/>
      <c r="AZ26" s="367"/>
      <c r="BA26" s="368"/>
      <c r="BB26" s="344"/>
      <c r="BC26" s="369">
        <f>IF(COUNTA(AS26:BA26)=0,"",COUNTA(AS26:BA26))</f>
        <v>2</v>
      </c>
      <c r="BD26" s="384" t="s">
        <v>248</v>
      </c>
    </row>
    <row r="27" ht="18.75" customHeight="1">
      <c r="A27" s="352"/>
      <c r="B27" s="373">
        <v>18.0</v>
      </c>
      <c r="C27" s="374"/>
      <c r="D27" s="374"/>
      <c r="E27" s="374"/>
      <c r="F27" s="374"/>
      <c r="G27" s="375"/>
      <c r="H27" s="376"/>
      <c r="I27" s="377"/>
      <c r="J27" s="378"/>
      <c r="K27" s="359"/>
      <c r="L27" s="352"/>
      <c r="M27" s="360">
        <v>24.0</v>
      </c>
      <c r="N27" s="8"/>
      <c r="O27" s="162"/>
      <c r="P27" s="352"/>
      <c r="Q27" s="373">
        <v>5.0</v>
      </c>
      <c r="R27" s="374">
        <v>6.0</v>
      </c>
      <c r="S27" s="374"/>
      <c r="T27" s="374"/>
      <c r="U27" s="374"/>
      <c r="V27" s="375"/>
      <c r="W27" s="376"/>
      <c r="X27" s="377"/>
      <c r="Y27" s="378"/>
      <c r="Z27" s="359"/>
      <c r="AA27" s="381"/>
      <c r="AB27" s="387" t="s">
        <v>268</v>
      </c>
      <c r="AC27" s="352"/>
      <c r="AD27" s="380"/>
      <c r="AE27" s="374"/>
      <c r="AF27" s="374"/>
      <c r="AG27" s="374"/>
      <c r="AH27" s="374"/>
      <c r="AI27" s="375"/>
      <c r="AJ27" s="376"/>
      <c r="AK27" s="377"/>
      <c r="AL27" s="378"/>
      <c r="AM27" s="359"/>
      <c r="AN27" s="352"/>
      <c r="AO27" s="360">
        <v>24.0</v>
      </c>
      <c r="AP27" s="8"/>
      <c r="AQ27" s="162"/>
      <c r="AR27" s="381"/>
      <c r="AS27" s="373"/>
      <c r="AT27" s="374"/>
      <c r="AU27" s="374">
        <v>17.0</v>
      </c>
      <c r="AV27" s="374">
        <v>17.0</v>
      </c>
      <c r="AW27" s="374"/>
      <c r="AX27" s="375"/>
      <c r="AY27" s="376"/>
      <c r="AZ27" s="377"/>
      <c r="BA27" s="378"/>
      <c r="BB27" s="359"/>
      <c r="BC27" s="352"/>
      <c r="BD27" s="387" t="s">
        <v>268</v>
      </c>
    </row>
    <row r="28" ht="18.75" customHeight="1">
      <c r="A28" s="337" t="str">
        <f>IF(IGRF!B26="","",IGRF!B26)</f>
        <v>38</v>
      </c>
      <c r="B28" s="338"/>
      <c r="C28" s="339"/>
      <c r="D28" s="339"/>
      <c r="E28" s="339"/>
      <c r="F28" s="339"/>
      <c r="G28" s="340"/>
      <c r="H28" s="341"/>
      <c r="I28" s="342"/>
      <c r="J28" s="343"/>
      <c r="K28" s="344"/>
      <c r="L28" s="345" t="str">
        <f>IF(COUNTA(B28:J28)=0,"",COUNTA(B28:J28))</f>
        <v/>
      </c>
      <c r="M28" s="370">
        <v>25.0</v>
      </c>
      <c r="O28" s="2"/>
      <c r="P28" s="337" t="str">
        <f>IF(IGRF!I26="","",IGRF!I26)</f>
        <v>47</v>
      </c>
      <c r="Q28" s="338"/>
      <c r="R28" s="339"/>
      <c r="S28" s="339"/>
      <c r="T28" s="339"/>
      <c r="U28" s="339"/>
      <c r="V28" s="340"/>
      <c r="W28" s="341"/>
      <c r="X28" s="342"/>
      <c r="Y28" s="343"/>
      <c r="Z28" s="344"/>
      <c r="AA28" s="349" t="str">
        <f>IF(COUNTA(Q28:Y28)=0,"",COUNTA(Q28:Y28))</f>
        <v/>
      </c>
      <c r="AB28" s="388" t="s">
        <v>269</v>
      </c>
      <c r="AC28" s="337" t="str">
        <f>IF(IGRF!B26="","",IGRF!B26)</f>
        <v>38</v>
      </c>
      <c r="AD28" s="342"/>
      <c r="AE28" s="339"/>
      <c r="AF28" s="339"/>
      <c r="AG28" s="339"/>
      <c r="AH28" s="339"/>
      <c r="AI28" s="340"/>
      <c r="AJ28" s="341"/>
      <c r="AK28" s="342"/>
      <c r="AL28" s="343"/>
      <c r="AM28" s="344"/>
      <c r="AN28" s="345" t="str">
        <f>IF(COUNTA(AD28:AL28)=0,"",COUNTA(AD28:AL28))</f>
        <v/>
      </c>
      <c r="AO28" s="370">
        <v>25.0</v>
      </c>
      <c r="AQ28" s="2"/>
      <c r="AR28" s="351" t="str">
        <f>IF(IGRF!I26="","",IGRF!I26)</f>
        <v>47</v>
      </c>
      <c r="AS28" s="338"/>
      <c r="AT28" s="339"/>
      <c r="AU28" s="339"/>
      <c r="AV28" s="339"/>
      <c r="AW28" s="339"/>
      <c r="AX28" s="340"/>
      <c r="AY28" s="341"/>
      <c r="AZ28" s="342"/>
      <c r="BA28" s="343"/>
      <c r="BB28" s="344"/>
      <c r="BC28" s="345" t="str">
        <f>IF(COUNTA(AS28:BA28)=0,"",COUNTA(AS28:BA28))</f>
        <v/>
      </c>
      <c r="BD28" s="388" t="s">
        <v>269</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247</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247</v>
      </c>
    </row>
    <row r="30" ht="18.75" customHeight="1">
      <c r="A30" s="362" t="str">
        <f>IF(IGRF!B27="","",IGRF!B27)</f>
        <v>394</v>
      </c>
      <c r="B30" s="363" t="s">
        <v>231</v>
      </c>
      <c r="C30" s="364"/>
      <c r="D30" s="364"/>
      <c r="E30" s="364"/>
      <c r="F30" s="364"/>
      <c r="G30" s="365"/>
      <c r="H30" s="366"/>
      <c r="I30" s="367"/>
      <c r="J30" s="368"/>
      <c r="K30" s="344"/>
      <c r="L30" s="369">
        <f>IF(COUNTA(B30:J30)=0,"",COUNTA(B30:J30))</f>
        <v>1</v>
      </c>
      <c r="M30" s="370">
        <v>27.0</v>
      </c>
      <c r="O30" s="2"/>
      <c r="P30" s="362" t="str">
        <f>IF(IGRF!I27="","",IGRF!I27)</f>
        <v>484*</v>
      </c>
      <c r="Q30" s="363"/>
      <c r="R30" s="364"/>
      <c r="S30" s="364"/>
      <c r="T30" s="364"/>
      <c r="U30" s="364"/>
      <c r="V30" s="365"/>
      <c r="W30" s="366"/>
      <c r="X30" s="367"/>
      <c r="Y30" s="368"/>
      <c r="Z30" s="344"/>
      <c r="AA30" s="386" t="str">
        <f>IF(COUNTA(Q30:Y30)=0,"",COUNTA(Q30:Y30))</f>
        <v/>
      </c>
      <c r="AB30" s="361" t="s">
        <v>270</v>
      </c>
      <c r="AC30" s="362" t="str">
        <f>IF(IGRF!B27="","",IGRF!B27)</f>
        <v>394</v>
      </c>
      <c r="AD30" s="371"/>
      <c r="AE30" s="364"/>
      <c r="AF30" s="364"/>
      <c r="AG30" s="364"/>
      <c r="AH30" s="364"/>
      <c r="AI30" s="365"/>
      <c r="AJ30" s="366"/>
      <c r="AK30" s="367"/>
      <c r="AL30" s="368"/>
      <c r="AM30" s="344"/>
      <c r="AN30" s="369" t="str">
        <f>IF(COUNTA(AD30:AL30)=0,"",COUNTA(AD30:AL30))</f>
        <v/>
      </c>
      <c r="AO30" s="370">
        <v>27.0</v>
      </c>
      <c r="AQ30" s="2"/>
      <c r="AR30" s="372" t="str">
        <f>IF(IGRF!I27="","",IGRF!I27)</f>
        <v>484*</v>
      </c>
      <c r="AS30" s="363"/>
      <c r="AT30" s="364"/>
      <c r="AU30" s="364"/>
      <c r="AV30" s="364"/>
      <c r="AW30" s="364"/>
      <c r="AX30" s="365"/>
      <c r="AY30" s="366"/>
      <c r="AZ30" s="367"/>
      <c r="BA30" s="368"/>
      <c r="BB30" s="344"/>
      <c r="BC30" s="369" t="str">
        <f>IF(COUNTA(AS30:BA30)=0,"",COUNTA(AS30:BA30))</f>
        <v/>
      </c>
      <c r="BD30" s="361" t="s">
        <v>270</v>
      </c>
    </row>
    <row r="31" ht="18.75" customHeight="1">
      <c r="A31" s="352"/>
      <c r="B31" s="373">
        <v>12.0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271</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271</v>
      </c>
    </row>
    <row r="32" ht="18.75" customHeight="1">
      <c r="A32" s="337" t="str">
        <f>IF(IGRF!B28="","",IGRF!B28)</f>
        <v>4</v>
      </c>
      <c r="B32" s="338" t="s">
        <v>258</v>
      </c>
      <c r="C32" s="339"/>
      <c r="D32" s="339"/>
      <c r="E32" s="339"/>
      <c r="F32" s="339"/>
      <c r="G32" s="340"/>
      <c r="H32" s="341"/>
      <c r="I32" s="342"/>
      <c r="J32" s="343"/>
      <c r="K32" s="344"/>
      <c r="L32" s="345">
        <f>IF(COUNTA(B32:J32)=0,"",COUNTA(B32:J32))</f>
        <v>1</v>
      </c>
      <c r="M32" s="370">
        <v>29.0</v>
      </c>
      <c r="O32" s="2"/>
      <c r="P32" s="337" t="str">
        <f>IF(IGRF!I28="","",IGRF!I28)</f>
        <v>505</v>
      </c>
      <c r="Q32" s="338" t="s">
        <v>231</v>
      </c>
      <c r="R32" s="339"/>
      <c r="S32" s="339"/>
      <c r="T32" s="339"/>
      <c r="U32" s="339"/>
      <c r="V32" s="340"/>
      <c r="W32" s="341"/>
      <c r="X32" s="342"/>
      <c r="Y32" s="343"/>
      <c r="Z32" s="344"/>
      <c r="AA32" s="349">
        <f>IF(COUNTA(Q32:Y32)=0,"",COUNTA(Q32:Y32))</f>
        <v>1</v>
      </c>
      <c r="AB32" s="390" t="s">
        <v>272</v>
      </c>
      <c r="AC32" s="337" t="str">
        <f>IF(IGRF!B28="","",IGRF!B28)</f>
        <v>4</v>
      </c>
      <c r="AD32" s="342"/>
      <c r="AE32" s="339" t="s">
        <v>245</v>
      </c>
      <c r="AF32" s="339"/>
      <c r="AG32" s="339"/>
      <c r="AH32" s="339"/>
      <c r="AI32" s="340"/>
      <c r="AJ32" s="341"/>
      <c r="AK32" s="342"/>
      <c r="AL32" s="343"/>
      <c r="AM32" s="344"/>
      <c r="AN32" s="345">
        <f>IF(COUNTA(AD32:AL32)=0,"",COUNTA(AD32:AL32))</f>
        <v>1</v>
      </c>
      <c r="AO32" s="370">
        <v>29.0</v>
      </c>
      <c r="AQ32" s="2"/>
      <c r="AR32" s="351" t="str">
        <f>IF(IGRF!I28="","",IGRF!I28)</f>
        <v>505</v>
      </c>
      <c r="AS32" s="338"/>
      <c r="AT32" s="339" t="s">
        <v>262</v>
      </c>
      <c r="AU32" s="339" t="s">
        <v>258</v>
      </c>
      <c r="AV32" s="339" t="s">
        <v>231</v>
      </c>
      <c r="AW32" s="339"/>
      <c r="AX32" s="340"/>
      <c r="AY32" s="341"/>
      <c r="AZ32" s="342"/>
      <c r="BA32" s="343"/>
      <c r="BB32" s="344"/>
      <c r="BC32" s="345">
        <f>IF(COUNTA(AS32:BA32)=0,"",COUNTA(AS32:BA32))</f>
        <v>3</v>
      </c>
      <c r="BD32" s="390" t="s">
        <v>272</v>
      </c>
    </row>
    <row r="33" ht="18.75" customHeight="1">
      <c r="A33" s="352"/>
      <c r="B33" s="353">
        <v>16.0</v>
      </c>
      <c r="C33" s="354"/>
      <c r="D33" s="354"/>
      <c r="E33" s="354"/>
      <c r="F33" s="354"/>
      <c r="G33" s="355"/>
      <c r="H33" s="356"/>
      <c r="I33" s="357"/>
      <c r="J33" s="358"/>
      <c r="K33" s="359"/>
      <c r="L33" s="352"/>
      <c r="M33" s="360">
        <v>30.0</v>
      </c>
      <c r="N33" s="8"/>
      <c r="O33" s="162"/>
      <c r="P33" s="352"/>
      <c r="Q33" s="353">
        <v>4.0</v>
      </c>
      <c r="R33" s="354"/>
      <c r="S33" s="354"/>
      <c r="T33" s="354"/>
      <c r="U33" s="354"/>
      <c r="V33" s="355"/>
      <c r="W33" s="356"/>
      <c r="X33" s="357"/>
      <c r="Y33" s="358"/>
      <c r="Z33" s="359"/>
      <c r="AA33" s="157"/>
      <c r="AB33" s="391" t="s">
        <v>273</v>
      </c>
      <c r="AC33" s="352"/>
      <c r="AD33" s="357"/>
      <c r="AE33" s="354">
        <v>15.0</v>
      </c>
      <c r="AF33" s="354"/>
      <c r="AG33" s="354"/>
      <c r="AH33" s="354"/>
      <c r="AI33" s="355"/>
      <c r="AJ33" s="356"/>
      <c r="AK33" s="357"/>
      <c r="AL33" s="358"/>
      <c r="AM33" s="359"/>
      <c r="AN33" s="352"/>
      <c r="AO33" s="360">
        <v>30.0</v>
      </c>
      <c r="AP33" s="8"/>
      <c r="AQ33" s="162"/>
      <c r="AR33" s="69"/>
      <c r="AS33" s="353"/>
      <c r="AT33" s="354">
        <v>1.0</v>
      </c>
      <c r="AU33" s="354">
        <v>2.0</v>
      </c>
      <c r="AV33" s="354">
        <v>17.0</v>
      </c>
      <c r="AW33" s="354"/>
      <c r="AX33" s="355"/>
      <c r="AY33" s="356"/>
      <c r="AZ33" s="357"/>
      <c r="BA33" s="358"/>
      <c r="BB33" s="359"/>
      <c r="BC33" s="352"/>
      <c r="BD33" s="391" t="s">
        <v>273</v>
      </c>
    </row>
    <row r="34" ht="18.75" customHeight="1">
      <c r="A34" s="362" t="str">
        <f>IF(IGRF!B29="","",IGRF!B29)</f>
        <v>602*</v>
      </c>
      <c r="B34" s="363"/>
      <c r="C34" s="364"/>
      <c r="D34" s="364"/>
      <c r="E34" s="364"/>
      <c r="F34" s="364"/>
      <c r="G34" s="365"/>
      <c r="H34" s="366"/>
      <c r="I34" s="367"/>
      <c r="J34" s="368"/>
      <c r="K34" s="344"/>
      <c r="L34" s="369" t="str">
        <f>IF(COUNTA(B34:J34)=0,"",COUNTA(B34:J34))</f>
        <v/>
      </c>
      <c r="M34" s="370">
        <v>31.0</v>
      </c>
      <c r="O34" s="2"/>
      <c r="P34" s="362" t="str">
        <f>IF(IGRF!I29="","",IGRF!I29)</f>
        <v>75*</v>
      </c>
      <c r="Q34" s="363"/>
      <c r="R34" s="364"/>
      <c r="S34" s="364"/>
      <c r="T34" s="364"/>
      <c r="U34" s="364"/>
      <c r="V34" s="365"/>
      <c r="W34" s="366"/>
      <c r="X34" s="367"/>
      <c r="Y34" s="368"/>
      <c r="Z34" s="344"/>
      <c r="AA34" s="386" t="str">
        <f>IF(COUNTA(Q34:Y34)=0,"",COUNTA(Q34:Y34))</f>
        <v/>
      </c>
      <c r="AB34" s="391" t="s">
        <v>274</v>
      </c>
      <c r="AC34" s="362" t="str">
        <f>IF(IGRF!B29="","",IGRF!B29)</f>
        <v>602*</v>
      </c>
      <c r="AD34" s="371"/>
      <c r="AE34" s="364"/>
      <c r="AF34" s="364"/>
      <c r="AG34" s="364"/>
      <c r="AH34" s="364"/>
      <c r="AI34" s="365"/>
      <c r="AJ34" s="366"/>
      <c r="AK34" s="367"/>
      <c r="AL34" s="368"/>
      <c r="AM34" s="344"/>
      <c r="AN34" s="369" t="str">
        <f>IF(COUNTA(AD34:AL34)=0,"",COUNTA(AD34:AL34))</f>
        <v/>
      </c>
      <c r="AO34" s="370">
        <v>31.0</v>
      </c>
      <c r="AQ34" s="2"/>
      <c r="AR34" s="372" t="str">
        <f>IF(IGRF!I29="","",IGRF!I29)</f>
        <v>75*</v>
      </c>
      <c r="AS34" s="363"/>
      <c r="AT34" s="364"/>
      <c r="AU34" s="364"/>
      <c r="AV34" s="364"/>
      <c r="AW34" s="364"/>
      <c r="AX34" s="365"/>
      <c r="AY34" s="366"/>
      <c r="AZ34" s="367"/>
      <c r="BA34" s="368"/>
      <c r="BB34" s="344"/>
      <c r="BC34" s="369" t="str">
        <f>IF(COUNTA(AS34:BA34)=0,"",COUNTA(AS34:BA34))</f>
        <v/>
      </c>
      <c r="BD34" s="391" t="s">
        <v>274</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275</v>
      </c>
    </row>
    <row r="36" ht="18.75" customHeight="1">
      <c r="A36" s="337" t="str">
        <f>IF(IGRF!B30="","",IGRF!B30)</f>
        <v>7</v>
      </c>
      <c r="B36" s="338"/>
      <c r="C36" s="339"/>
      <c r="D36" s="339"/>
      <c r="E36" s="339"/>
      <c r="F36" s="339"/>
      <c r="G36" s="340"/>
      <c r="H36" s="341"/>
      <c r="I36" s="342"/>
      <c r="J36" s="343"/>
      <c r="K36" s="344"/>
      <c r="L36" s="345" t="str">
        <f>IF(COUNTA(B36:J36)=0,"",COUNTA(B36:J36))</f>
        <v/>
      </c>
      <c r="M36" s="370">
        <v>33.0</v>
      </c>
      <c r="O36" s="2"/>
      <c r="P36" s="337" t="str">
        <f>IF(IGRF!I30="","",IGRF!I30)</f>
        <v>88</v>
      </c>
      <c r="Q36" s="338"/>
      <c r="R36" s="339"/>
      <c r="S36" s="339"/>
      <c r="T36" s="339"/>
      <c r="U36" s="339"/>
      <c r="V36" s="340"/>
      <c r="W36" s="341"/>
      <c r="X36" s="342"/>
      <c r="Y36" s="343"/>
      <c r="Z36" s="344"/>
      <c r="AA36" s="349" t="str">
        <f>IF(COUNTA(Q36:Y36)=0,"",COUNTA(Q36:Y36))</f>
        <v/>
      </c>
      <c r="AB36" s="384" t="s">
        <v>231</v>
      </c>
      <c r="AC36" s="337" t="str">
        <f>IF(IGRF!B30="","",IGRF!B30)</f>
        <v>7</v>
      </c>
      <c r="AD36" s="342"/>
      <c r="AE36" s="339"/>
      <c r="AF36" s="339"/>
      <c r="AG36" s="339"/>
      <c r="AH36" s="339"/>
      <c r="AI36" s="340"/>
      <c r="AJ36" s="341"/>
      <c r="AK36" s="342"/>
      <c r="AL36" s="343"/>
      <c r="AM36" s="344"/>
      <c r="AN36" s="345" t="str">
        <f>IF(COUNTA(AD36:AL36)=0,"",COUNTA(AD36:AL36))</f>
        <v/>
      </c>
      <c r="AO36" s="370">
        <v>33.0</v>
      </c>
      <c r="AQ36" s="2"/>
      <c r="AR36" s="351" t="str">
        <f>IF(IGRF!I30="","",IGRF!I30)</f>
        <v>88</v>
      </c>
      <c r="AS36" s="338"/>
      <c r="AT36" s="339"/>
      <c r="AU36" s="339"/>
      <c r="AV36" s="339"/>
      <c r="AW36" s="339"/>
      <c r="AX36" s="340"/>
      <c r="AY36" s="341"/>
      <c r="AZ36" s="342"/>
      <c r="BA36" s="343"/>
      <c r="BB36" s="344"/>
      <c r="BC36" s="345" t="str">
        <f>IF(COUNTA(AS36:BA36)=0,"",COUNTA(AS36:BA36))</f>
        <v/>
      </c>
      <c r="BD36" s="384" t="s">
        <v>231</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276</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276</v>
      </c>
    </row>
    <row r="38" ht="18.75" customHeight="1">
      <c r="A38" s="362" t="str">
        <f>IF(IGRF!B31="","",IGRF!B31)</f>
        <v>76</v>
      </c>
      <c r="B38" s="363"/>
      <c r="C38" s="364"/>
      <c r="D38" s="364"/>
      <c r="E38" s="364"/>
      <c r="F38" s="364"/>
      <c r="G38" s="365"/>
      <c r="H38" s="366"/>
      <c r="I38" s="367"/>
      <c r="J38" s="368"/>
      <c r="K38" s="344"/>
      <c r="L38" s="369" t="str">
        <f>IF(COUNTA(B38:J38)=0,"",COUNTA(B38:J38))</f>
        <v/>
      </c>
      <c r="M38" s="370">
        <v>35.0</v>
      </c>
      <c r="O38" s="2"/>
      <c r="P38" s="362" t="str">
        <f>IF(IGRF!I31="","",IGRF!I31)</f>
        <v>9</v>
      </c>
      <c r="Q38" s="363"/>
      <c r="R38" s="364"/>
      <c r="S38" s="364"/>
      <c r="T38" s="364"/>
      <c r="U38" s="364"/>
      <c r="V38" s="365"/>
      <c r="W38" s="366"/>
      <c r="X38" s="367"/>
      <c r="Y38" s="368"/>
      <c r="Z38" s="344"/>
      <c r="AA38" s="386" t="str">
        <f>IF(COUNTA(Q38:Y38)=0,"",COUNTA(Q38:Y38))</f>
        <v/>
      </c>
      <c r="AB38" s="389" t="s">
        <v>277</v>
      </c>
      <c r="AC38" s="362" t="str">
        <f>IF(IGRF!B31="","",IGRF!B31)</f>
        <v>76</v>
      </c>
      <c r="AD38" s="371" t="s">
        <v>247</v>
      </c>
      <c r="AE38" s="364"/>
      <c r="AF38" s="364"/>
      <c r="AG38" s="364"/>
      <c r="AH38" s="364"/>
      <c r="AI38" s="365"/>
      <c r="AJ38" s="366"/>
      <c r="AK38" s="367"/>
      <c r="AL38" s="368"/>
      <c r="AM38" s="344"/>
      <c r="AN38" s="369">
        <f>IF(COUNTA(AD38:AL38)=0,"",COUNTA(AD38:AL38))</f>
        <v>1</v>
      </c>
      <c r="AO38" s="370">
        <v>35.0</v>
      </c>
      <c r="AQ38" s="2"/>
      <c r="AR38" s="372" t="str">
        <f>IF(IGRF!I31="","",IGRF!I31)</f>
        <v>9</v>
      </c>
      <c r="AS38" s="363"/>
      <c r="AT38" s="364"/>
      <c r="AU38" s="364"/>
      <c r="AV38" s="364"/>
      <c r="AW38" s="364"/>
      <c r="AX38" s="365"/>
      <c r="AY38" s="366"/>
      <c r="AZ38" s="367"/>
      <c r="BA38" s="368"/>
      <c r="BB38" s="344"/>
      <c r="BC38" s="369" t="str">
        <f>IF(COUNTA(AS38:BA38)=0,"",COUNTA(AS38:BA38))</f>
        <v/>
      </c>
      <c r="BD38" s="389" t="s">
        <v>277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278</v>
      </c>
      <c r="AC39" s="352"/>
      <c r="AD39" s="380">
        <v>6.0</v>
      </c>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278</v>
      </c>
    </row>
    <row r="40" ht="18.75" customHeight="1">
      <c r="A40" s="337" t="str">
        <f>IF(IGRF!B32="","",IGRF!B32)</f>
        <v>88</v>
      </c>
      <c r="B40" s="338"/>
      <c r="C40" s="339"/>
      <c r="D40" s="339"/>
      <c r="E40" s="339"/>
      <c r="F40" s="339"/>
      <c r="G40" s="340"/>
      <c r="H40" s="341"/>
      <c r="I40" s="342"/>
      <c r="J40" s="343"/>
      <c r="K40" s="344"/>
      <c r="L40" s="345" t="str">
        <f>IF(COUNTA(B40:J40)=0,"",COUNTA(B40:J40))</f>
        <v/>
      </c>
      <c r="M40" s="370">
        <v>37.0</v>
      </c>
      <c r="O40" s="2"/>
      <c r="P40" s="337" t="str">
        <f>IF(IGRF!I32="","",IGRF!I32)</f>
        <v>913*</v>
      </c>
      <c r="Q40" s="338"/>
      <c r="R40" s="339"/>
      <c r="S40" s="339"/>
      <c r="T40" s="339"/>
      <c r="U40" s="339"/>
      <c r="V40" s="340"/>
      <c r="W40" s="341"/>
      <c r="X40" s="342"/>
      <c r="Y40" s="343"/>
      <c r="Z40" s="344"/>
      <c r="AA40" s="349" t="str">
        <f>IF(COUNTA(Q40:Y40)=0,"",COUNTA(Q40:Y40))</f>
        <v/>
      </c>
      <c r="AB40" s="361" t="s">
        <v>279</v>
      </c>
      <c r="AC40" s="337" t="str">
        <f>IF(IGRF!B32="","",IGRF!B32)</f>
        <v>88</v>
      </c>
      <c r="AD40" s="342" t="s">
        <v>243</v>
      </c>
      <c r="AE40" s="339"/>
      <c r="AF40" s="339"/>
      <c r="AG40" s="339"/>
      <c r="AH40" s="339"/>
      <c r="AI40" s="340"/>
      <c r="AJ40" s="341"/>
      <c r="AK40" s="342"/>
      <c r="AL40" s="343"/>
      <c r="AM40" s="344"/>
      <c r="AN40" s="345">
        <f>IF(COUNTA(AD40:AL40)=0,"",COUNTA(AD40:AL40))</f>
        <v>1</v>
      </c>
      <c r="AO40" s="370">
        <v>37.0</v>
      </c>
      <c r="AQ40" s="2"/>
      <c r="AR40" s="351" t="str">
        <f>IF(IGRF!I32="","",IGRF!I32)</f>
        <v>913*</v>
      </c>
      <c r="AS40" s="338"/>
      <c r="AT40" s="339"/>
      <c r="AU40" s="339"/>
      <c r="AV40" s="339"/>
      <c r="AW40" s="339"/>
      <c r="AX40" s="340"/>
      <c r="AY40" s="341"/>
      <c r="AZ40" s="342"/>
      <c r="BA40" s="343"/>
      <c r="BB40" s="344"/>
      <c r="BC40" s="345" t="str">
        <f>IF(COUNTA(AS40:BA40)=0,"",COUNTA(AS40:BA40))</f>
        <v/>
      </c>
      <c r="BD40" s="361" t="s">
        <v>279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280</v>
      </c>
      <c r="AC41" s="352"/>
      <c r="AD41" s="357">
        <v>4.0</v>
      </c>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280</v>
      </c>
    </row>
    <row r="42" ht="18.75" customHeight="1">
      <c r="A42" s="362" t="str">
        <f>IF(IGRF!B33="","",IGRF!B33)</f>
        <v>96*</v>
      </c>
      <c r="B42" s="363"/>
      <c r="C42" s="364"/>
      <c r="D42" s="364"/>
      <c r="E42" s="364"/>
      <c r="F42" s="364"/>
      <c r="G42" s="365"/>
      <c r="H42" s="366"/>
      <c r="I42" s="367"/>
      <c r="J42" s="368"/>
      <c r="K42" s="344"/>
      <c r="L42" s="369" t="str">
        <f>IF(COUNTA(B42:J42)=0,"",COUNTA(B42:J42))</f>
        <v/>
      </c>
      <c r="M42" s="370">
        <v>39.0</v>
      </c>
      <c r="O42" s="2"/>
      <c r="P42" s="362" t="str">
        <f>IF(IGRF!I33="","",IGRF!I33)</f>
        <v>999</v>
      </c>
      <c r="Q42" s="363"/>
      <c r="R42" s="364"/>
      <c r="S42" s="364"/>
      <c r="T42" s="364"/>
      <c r="U42" s="364"/>
      <c r="V42" s="365"/>
      <c r="W42" s="366"/>
      <c r="X42" s="367"/>
      <c r="Y42" s="368"/>
      <c r="Z42" s="344"/>
      <c r="AA42" s="386" t="str">
        <f>IF(COUNTA(Q42:Y42)=0,"",COUNTA(Q42:Y42))</f>
        <v/>
      </c>
      <c r="AB42" s="384" t="s">
        <v>267</v>
      </c>
      <c r="AC42" s="362" t="str">
        <f>IF(IGRF!B33="","",IGRF!B33)</f>
        <v>96*</v>
      </c>
      <c r="AD42" s="371"/>
      <c r="AE42" s="364"/>
      <c r="AF42" s="364"/>
      <c r="AG42" s="364"/>
      <c r="AH42" s="364"/>
      <c r="AI42" s="365"/>
      <c r="AJ42" s="366"/>
      <c r="AK42" s="367"/>
      <c r="AL42" s="368"/>
      <c r="AM42" s="344"/>
      <c r="AN42" s="369" t="str">
        <f>IF(COUNTA(AD42:AL42)=0,"",COUNTA(AD42:AL42))</f>
        <v/>
      </c>
      <c r="AO42" s="370"/>
      <c r="AQ42" s="2"/>
      <c r="AR42" s="372" t="str">
        <f>IF(IGRF!I33="","",IGRF!I33)</f>
        <v>999</v>
      </c>
      <c r="AS42" s="363"/>
      <c r="AT42" s="364"/>
      <c r="AU42" s="364"/>
      <c r="AV42" s="364"/>
      <c r="AW42" s="364"/>
      <c r="AX42" s="365"/>
      <c r="AY42" s="366"/>
      <c r="AZ42" s="367"/>
      <c r="BA42" s="368"/>
      <c r="BB42" s="344"/>
      <c r="BC42" s="369" t="str">
        <f>IF(COUNTA(AS42:BA42)=0,"",COUNTA(AS42:BA42))</f>
        <v/>
      </c>
      <c r="BD42" s="384" t="s">
        <v>267</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281</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281</v>
      </c>
    </row>
    <row r="44" ht="16.5" customHeight="1">
      <c r="A44" s="403" t="s">
        <v>282</v>
      </c>
      <c r="B44" s="15"/>
      <c r="C44" s="342"/>
      <c r="D44" s="339"/>
      <c r="E44" s="404">
        <f>COUNTA(C44:D44)</f>
        <v>0</v>
      </c>
      <c r="F44" s="405" t="s">
        <v>283</v>
      </c>
      <c r="G44" s="347"/>
      <c r="H44" s="347"/>
      <c r="I44" s="347"/>
      <c r="J44" s="347"/>
      <c r="K44" s="348"/>
      <c r="L44" s="406">
        <f>IF(SUM(L4:L43)=0,"",SUM(L4:L43,E44))</f>
        <v>11</v>
      </c>
      <c r="M44" s="370">
        <v>41.0</v>
      </c>
      <c r="O44" s="2"/>
      <c r="P44" s="403" t="s">
        <v>282</v>
      </c>
      <c r="Q44" s="15"/>
      <c r="R44" s="342"/>
      <c r="S44" s="339"/>
      <c r="T44" s="404">
        <f>COUNTA(R44:S44)</f>
        <v>0</v>
      </c>
      <c r="U44" s="405" t="s">
        <v>283</v>
      </c>
      <c r="V44" s="347"/>
      <c r="W44" s="347"/>
      <c r="X44" s="347"/>
      <c r="Y44" s="347"/>
      <c r="Z44" s="348"/>
      <c r="AA44" s="407">
        <f>IF(SUM(AA4:AA43)=0,"",SUM(AA4:AA43,T44))</f>
        <v>8</v>
      </c>
      <c r="AB44" s="408" t="s">
        <v>284</v>
      </c>
      <c r="AC44" s="403" t="s">
        <v>282</v>
      </c>
      <c r="AD44" s="15"/>
      <c r="AE44" s="342"/>
      <c r="AF44" s="339"/>
      <c r="AG44" s="404">
        <f>COUNTA(AE44:AF44)</f>
        <v>0</v>
      </c>
      <c r="AH44" s="405" t="s">
        <v>285</v>
      </c>
      <c r="AI44" s="347"/>
      <c r="AJ44" s="347"/>
      <c r="AK44" s="347"/>
      <c r="AL44" s="347"/>
      <c r="AM44" s="348"/>
      <c r="AN44" s="407">
        <f>IF(SUM(AN4:AN43)=0,"",SUM(AN4:AN43,AG44))</f>
        <v>9</v>
      </c>
      <c r="AO44" s="370"/>
      <c r="AQ44" s="2"/>
      <c r="AR44" s="403" t="s">
        <v>282</v>
      </c>
      <c r="AS44" s="15"/>
      <c r="AT44" s="342"/>
      <c r="AU44" s="339"/>
      <c r="AV44" s="404">
        <f>COUNTA(AT44:AU44)</f>
        <v>0</v>
      </c>
      <c r="AW44" s="405" t="s">
        <v>285</v>
      </c>
      <c r="AX44" s="347"/>
      <c r="AY44" s="347"/>
      <c r="AZ44" s="347"/>
      <c r="BA44" s="347"/>
      <c r="BB44" s="348"/>
      <c r="BC44" s="409">
        <f>IF(SUM(BC4:BC43)=0,"",SUM(BC4:BC43,AV44))</f>
        <v>12</v>
      </c>
      <c r="BD44" s="408" t="s">
        <v>284</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286</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Arizona Roller Derby / All Stars</v>
      </c>
      <c r="B1" s="207"/>
      <c r="C1" s="207"/>
      <c r="D1" s="207"/>
      <c r="E1" s="207"/>
      <c r="F1" s="207"/>
      <c r="G1" s="208"/>
      <c r="H1" s="209" t="str">
        <f>IF(ISBLANK(IGRF!$B$12), "", IGRF!$B$12)</f>
        <v>White</v>
      </c>
      <c r="I1" s="153"/>
      <c r="J1" s="153"/>
      <c r="K1" s="153"/>
      <c r="L1" s="420">
        <f>IF(ISBLANK(IGRF!$B$7), "", IGRF!$B$7)</f>
        <v>45128</v>
      </c>
      <c r="M1" s="170"/>
      <c r="N1" s="170"/>
      <c r="O1" s="213"/>
      <c r="P1" s="421" t="s">
        <v>174</v>
      </c>
      <c r="Q1" s="153"/>
      <c r="R1" s="153"/>
      <c r="S1" s="153"/>
      <c r="T1" s="153"/>
      <c r="U1" s="153"/>
      <c r="V1" s="153"/>
      <c r="W1" s="153"/>
      <c r="X1" s="153"/>
      <c r="Y1" s="153"/>
      <c r="Z1" s="422">
        <v>1.0</v>
      </c>
      <c r="AA1" s="419" t="str">
        <f>Score!T1</f>
        <v>Elevated Roller Derby / Elevated Roller Derby All Stars</v>
      </c>
      <c r="AB1" s="207"/>
      <c r="AC1" s="207"/>
      <c r="AD1" s="207"/>
      <c r="AE1" s="207"/>
      <c r="AF1" s="207"/>
      <c r="AG1" s="208"/>
      <c r="AH1" s="209" t="str">
        <f>IF(ISBLANK(IGRF!$I$12), "", IGRF!$I$12)</f>
        <v>Black</v>
      </c>
      <c r="AI1" s="153"/>
      <c r="AJ1" s="153"/>
      <c r="AK1" s="153"/>
      <c r="AL1" s="420">
        <f>L1</f>
        <v>45128</v>
      </c>
      <c r="AM1" s="170"/>
      <c r="AN1" s="170"/>
      <c r="AO1" s="213"/>
      <c r="AP1" s="421" t="s">
        <v>170</v>
      </c>
      <c r="AQ1" s="153"/>
      <c r="AR1" s="153"/>
      <c r="AS1" s="153"/>
      <c r="AT1" s="153"/>
      <c r="AU1" s="153"/>
      <c r="AV1" s="153"/>
      <c r="AW1" s="153"/>
      <c r="AX1" s="153"/>
      <c r="AY1" s="153"/>
      <c r="AZ1" s="422">
        <v>1.0</v>
      </c>
    </row>
    <row r="2" ht="15.0" customHeight="1">
      <c r="A2" s="216"/>
      <c r="B2" s="20"/>
      <c r="C2" s="20"/>
      <c r="D2" s="20"/>
      <c r="E2" s="20"/>
      <c r="F2" s="20"/>
      <c r="G2" s="158"/>
      <c r="H2" s="423" t="s">
        <v>209</v>
      </c>
      <c r="I2" s="71"/>
      <c r="J2" s="71"/>
      <c r="K2" s="71"/>
      <c r="L2" s="424" t="s">
        <v>210</v>
      </c>
      <c r="M2" s="71"/>
      <c r="N2" s="71"/>
      <c r="O2" s="72"/>
      <c r="P2" s="425" t="s">
        <v>287</v>
      </c>
      <c r="Q2" s="20"/>
      <c r="R2" s="20"/>
      <c r="S2" s="20"/>
      <c r="T2" s="20"/>
      <c r="U2" s="20"/>
      <c r="V2" s="20"/>
      <c r="W2" s="20"/>
      <c r="X2" s="20"/>
      <c r="Y2" s="20"/>
      <c r="Z2" s="426" t="str">
        <f>IF(ISBLANK(IGRF!$L$3), "", "GAME " &amp; IGRF!$L$3)</f>
        <v>GAME 03</v>
      </c>
      <c r="AA2" s="216"/>
      <c r="AB2" s="20"/>
      <c r="AC2" s="20"/>
      <c r="AD2" s="20"/>
      <c r="AE2" s="20"/>
      <c r="AF2" s="20"/>
      <c r="AG2" s="158"/>
      <c r="AH2" s="423" t="s">
        <v>209</v>
      </c>
      <c r="AI2" s="71"/>
      <c r="AJ2" s="71"/>
      <c r="AK2" s="71"/>
      <c r="AL2" s="424" t="s">
        <v>210</v>
      </c>
      <c r="AM2" s="71"/>
      <c r="AN2" s="71"/>
      <c r="AO2" s="72"/>
      <c r="AP2" s="425" t="s">
        <v>287</v>
      </c>
      <c r="AQ2" s="20"/>
      <c r="AR2" s="20"/>
      <c r="AS2" s="20"/>
      <c r="AT2" s="20"/>
      <c r="AU2" s="20"/>
      <c r="AV2" s="20"/>
      <c r="AW2" s="20"/>
      <c r="AX2" s="20"/>
      <c r="AY2" s="20"/>
      <c r="AZ2" s="426" t="str">
        <f>Z2</f>
        <v>GAME 03</v>
      </c>
    </row>
    <row r="3" ht="13.5" customHeight="1">
      <c r="A3" s="427" t="s">
        <v>288</v>
      </c>
      <c r="B3" s="428" t="s">
        <v>289</v>
      </c>
      <c r="C3" s="429" t="s">
        <v>290</v>
      </c>
      <c r="D3" s="430" t="s">
        <v>291</v>
      </c>
      <c r="E3" s="45"/>
      <c r="F3" s="431"/>
      <c r="G3" s="429" t="s">
        <v>292</v>
      </c>
      <c r="H3" s="430" t="s">
        <v>291</v>
      </c>
      <c r="I3" s="45"/>
      <c r="J3" s="431"/>
      <c r="K3" s="429" t="s">
        <v>293</v>
      </c>
      <c r="L3" s="430" t="s">
        <v>291</v>
      </c>
      <c r="M3" s="45"/>
      <c r="N3" s="431"/>
      <c r="O3" s="429" t="s">
        <v>293</v>
      </c>
      <c r="P3" s="430" t="s">
        <v>291</v>
      </c>
      <c r="Q3" s="45"/>
      <c r="R3" s="431"/>
      <c r="S3" s="429" t="s">
        <v>293</v>
      </c>
      <c r="T3" s="430" t="s">
        <v>291</v>
      </c>
      <c r="U3" s="45"/>
      <c r="V3" s="431"/>
      <c r="W3" s="432"/>
      <c r="X3" s="430" t="s">
        <v>294</v>
      </c>
      <c r="Y3" s="45"/>
      <c r="Z3" s="46"/>
      <c r="AA3" s="427" t="s">
        <v>288</v>
      </c>
      <c r="AB3" s="428" t="s">
        <v>289</v>
      </c>
      <c r="AC3" s="429" t="s">
        <v>290</v>
      </c>
      <c r="AD3" s="430" t="s">
        <v>291</v>
      </c>
      <c r="AE3" s="45"/>
      <c r="AF3" s="431"/>
      <c r="AG3" s="429" t="s">
        <v>292</v>
      </c>
      <c r="AH3" s="430" t="s">
        <v>291</v>
      </c>
      <c r="AI3" s="45"/>
      <c r="AJ3" s="431"/>
      <c r="AK3" s="429" t="s">
        <v>293</v>
      </c>
      <c r="AL3" s="430" t="s">
        <v>291</v>
      </c>
      <c r="AM3" s="45"/>
      <c r="AN3" s="431"/>
      <c r="AO3" s="429" t="s">
        <v>293</v>
      </c>
      <c r="AP3" s="430" t="s">
        <v>291</v>
      </c>
      <c r="AQ3" s="45"/>
      <c r="AR3" s="431"/>
      <c r="AS3" s="429" t="s">
        <v>293</v>
      </c>
      <c r="AT3" s="430" t="s">
        <v>291</v>
      </c>
      <c r="AU3" s="45"/>
      <c r="AV3" s="431"/>
      <c r="AW3" s="432"/>
      <c r="AX3" s="430" t="s">
        <v>294</v>
      </c>
      <c r="AY3" s="45"/>
      <c r="AZ3" s="46"/>
    </row>
    <row r="4" ht="31.5" customHeight="1">
      <c r="A4" s="433">
        <f>IF(Score!A4="", "",Score!A4 )</f>
        <v>1</v>
      </c>
      <c r="B4" s="434"/>
      <c r="C4" s="435" t="str">
        <f>IF(Score!B4="", "",Score!B4 )</f>
        <v>313</v>
      </c>
      <c r="D4" s="436"/>
      <c r="E4" s="436"/>
      <c r="F4" s="436"/>
      <c r="G4" s="435" t="s">
        <v>122</v>
      </c>
      <c r="H4" s="436"/>
      <c r="I4" s="436"/>
      <c r="J4" s="436"/>
      <c r="K4" s="435" t="s">
        <v>120</v>
      </c>
      <c r="L4" s="436"/>
      <c r="M4" s="436"/>
      <c r="N4" s="436"/>
      <c r="O4" s="435" t="s">
        <v>124</v>
      </c>
      <c r="P4" s="436"/>
      <c r="Q4" s="436"/>
      <c r="R4" s="436"/>
      <c r="S4" s="435" t="s">
        <v>76</v>
      </c>
      <c r="T4" s="436"/>
      <c r="U4" s="436"/>
      <c r="V4" s="437"/>
      <c r="W4" s="438">
        <f>IF(A4="","",SUMIF(SK!B$3:B$78,ROW(),SK!D$3:D$78))</f>
        <v>4</v>
      </c>
      <c r="X4" s="43"/>
      <c r="Y4" s="439" t="str">
        <f>IF(IGRF!B14="","",IGRF!B14)</f>
        <v>01</v>
      </c>
      <c r="Z4" s="440" t="str">
        <f>IF(IGRF!C14="","",IGRF!C14)</f>
        <v>Goldy Knocks</v>
      </c>
      <c r="AA4" s="441">
        <f>IF(Score!T4="", "",Score!T4 )</f>
        <v>1</v>
      </c>
      <c r="AB4" s="434"/>
      <c r="AC4" s="435" t="str">
        <f>IF(Score!U4="", "",Score!U4 )</f>
        <v>15</v>
      </c>
      <c r="AD4" s="436"/>
      <c r="AE4" s="436"/>
      <c r="AF4" s="436"/>
      <c r="AG4" s="435" t="s">
        <v>114</v>
      </c>
      <c r="AH4" s="436"/>
      <c r="AI4" s="436"/>
      <c r="AJ4" s="436"/>
      <c r="AK4" s="435" t="s">
        <v>133</v>
      </c>
      <c r="AL4" s="436"/>
      <c r="AM4" s="436"/>
      <c r="AN4" s="436"/>
      <c r="AO4" s="435" t="s">
        <v>102</v>
      </c>
      <c r="AP4" s="436"/>
      <c r="AQ4" s="436"/>
      <c r="AR4" s="436"/>
      <c r="AS4" s="435" t="s">
        <v>82</v>
      </c>
      <c r="AT4" s="436"/>
      <c r="AU4" s="436"/>
      <c r="AV4" s="437"/>
      <c r="AW4" s="438">
        <f>IF(AA4="","",SUMIF(SK!R$3:R$78,ROW(),SK!T$3:T$78))</f>
        <v>0</v>
      </c>
      <c r="AX4" s="43"/>
      <c r="AY4" s="439" t="str">
        <f>IF(IGRF!I14="","",IGRF!I14)</f>
        <v>10*</v>
      </c>
      <c r="AZ4" s="440" t="str">
        <f>IF(IGRF!J14="","",IGRF!J14)</f>
        <v>BAMPF!</v>
      </c>
    </row>
    <row r="5" ht="31.5" customHeight="1">
      <c r="A5" s="442">
        <f>IF(Score!A5="", "",Score!A5 )</f>
        <v>2</v>
      </c>
      <c r="B5" s="443"/>
      <c r="C5" s="444" t="str">
        <f>IF(Score!B5="", "",Score!B5 )</f>
        <v>3381</v>
      </c>
      <c r="D5" s="445"/>
      <c r="E5" s="445"/>
      <c r="F5" s="445"/>
      <c r="G5" s="444" t="s">
        <v>56</v>
      </c>
      <c r="H5" s="445"/>
      <c r="I5" s="445"/>
      <c r="J5" s="445"/>
      <c r="K5" s="444" t="s">
        <v>104</v>
      </c>
      <c r="L5" s="445"/>
      <c r="M5" s="445"/>
      <c r="N5" s="445"/>
      <c r="O5" s="444" t="s">
        <v>112</v>
      </c>
      <c r="P5" s="445"/>
      <c r="Q5" s="445"/>
      <c r="R5" s="445"/>
      <c r="S5" s="444" t="s">
        <v>92</v>
      </c>
      <c r="T5" s="445"/>
      <c r="U5" s="445"/>
      <c r="V5" s="446"/>
      <c r="W5" s="438">
        <f>IF(A5="","",SUMIF(SK!B$3:B$78,ROW(),SK!D$3:D$78))</f>
        <v>21</v>
      </c>
      <c r="X5" s="43"/>
      <c r="Y5" s="43"/>
      <c r="Z5" s="43"/>
      <c r="AA5" s="443">
        <f>IF(Score!T5="", "",Score!T5 )</f>
        <v>2</v>
      </c>
      <c r="AB5" s="443"/>
      <c r="AC5" s="444" t="str">
        <f>IF(Score!U5="", "",Score!U5 )</f>
        <v>329</v>
      </c>
      <c r="AD5" s="445"/>
      <c r="AE5" s="445"/>
      <c r="AF5" s="445"/>
      <c r="AG5" s="444" t="s">
        <v>90</v>
      </c>
      <c r="AH5" s="445"/>
      <c r="AI5" s="445"/>
      <c r="AJ5" s="445"/>
      <c r="AK5" s="444" t="s">
        <v>66</v>
      </c>
      <c r="AL5" s="445"/>
      <c r="AM5" s="445"/>
      <c r="AN5" s="445"/>
      <c r="AO5" s="444" t="s">
        <v>62</v>
      </c>
      <c r="AP5" s="445" t="s">
        <v>295</v>
      </c>
      <c r="AQ5" s="445"/>
      <c r="AR5" s="445"/>
      <c r="AS5" s="444" t="s">
        <v>94</v>
      </c>
      <c r="AT5" s="445"/>
      <c r="AU5" s="445"/>
      <c r="AV5" s="446"/>
      <c r="AW5" s="438">
        <f>IF(AA5="","",SUMIF(SK!R$3:R$78,ROW(),SK!T$3:T$78))</f>
        <v>10</v>
      </c>
      <c r="AX5" s="43"/>
      <c r="AY5" s="43"/>
      <c r="AZ5" s="43"/>
    </row>
    <row r="6" ht="31.5" customHeight="1">
      <c r="A6" s="447">
        <f>IF(Score!A6="", "",Score!A6 )</f>
        <v>3</v>
      </c>
      <c r="B6" s="441"/>
      <c r="C6" s="448" t="str">
        <f>IF(Score!B6="", "",Score!B6 )</f>
        <v>10</v>
      </c>
      <c r="D6" s="445"/>
      <c r="E6" s="445"/>
      <c r="F6" s="445"/>
      <c r="G6" s="448" t="s">
        <v>122</v>
      </c>
      <c r="H6" s="445"/>
      <c r="I6" s="445"/>
      <c r="J6" s="445"/>
      <c r="K6" s="448" t="s">
        <v>76</v>
      </c>
      <c r="L6" s="445"/>
      <c r="M6" s="445"/>
      <c r="N6" s="445"/>
      <c r="O6" s="448" t="s">
        <v>124</v>
      </c>
      <c r="P6" s="445"/>
      <c r="Q6" s="445"/>
      <c r="R6" s="445"/>
      <c r="S6" s="448" t="s">
        <v>120</v>
      </c>
      <c r="T6" s="445"/>
      <c r="U6" s="445"/>
      <c r="V6" s="446"/>
      <c r="W6" s="438">
        <f>IF(A6="","",SUMIF(SK!B$3:B$78,ROW(),SK!D$3:D$78))</f>
        <v>4</v>
      </c>
      <c r="X6" s="43"/>
      <c r="Y6" s="439" t="str">
        <f>IF(IGRF!B15="","",IGRF!B15)</f>
        <v>024</v>
      </c>
      <c r="Z6" s="440" t="str">
        <f>IF(IGRF!C15="","",IGRF!C15)</f>
        <v>Cutty</v>
      </c>
      <c r="AA6" s="441">
        <f>IF(Score!T6="", "",Score!T6 )</f>
        <v>3</v>
      </c>
      <c r="AB6" s="441"/>
      <c r="AC6" s="448" t="str">
        <f>IF(Score!U6="", "",Score!U6 )</f>
        <v>9</v>
      </c>
      <c r="AD6" s="445"/>
      <c r="AE6" s="445"/>
      <c r="AF6" s="445"/>
      <c r="AG6" s="448" t="s">
        <v>114</v>
      </c>
      <c r="AH6" s="445"/>
      <c r="AI6" s="445"/>
      <c r="AJ6" s="445"/>
      <c r="AK6" s="448" t="s">
        <v>82</v>
      </c>
      <c r="AL6" s="445"/>
      <c r="AM6" s="445"/>
      <c r="AN6" s="445"/>
      <c r="AO6" s="448" t="s">
        <v>102</v>
      </c>
      <c r="AP6" s="445"/>
      <c r="AQ6" s="445"/>
      <c r="AR6" s="445"/>
      <c r="AS6" s="448" t="s">
        <v>133</v>
      </c>
      <c r="AT6" s="445"/>
      <c r="AU6" s="445"/>
      <c r="AV6" s="446"/>
      <c r="AW6" s="438">
        <f>IF(AA6="","",SUMIF(SK!R$3:R$78,ROW(),SK!T$3:T$78))</f>
        <v>0</v>
      </c>
      <c r="AX6" s="43"/>
      <c r="AY6" s="439" t="str">
        <f>IF(IGRF!I15="","",IGRF!I15)</f>
        <v>11</v>
      </c>
      <c r="AZ6" s="440" t="str">
        <f>IF(IGRF!J15="","",IGRF!J15)</f>
        <v>Killer Queen</v>
      </c>
    </row>
    <row r="7" ht="31.5" customHeight="1">
      <c r="A7" s="442" t="str">
        <f>IF(Score!A7="", "",Score!A7 )</f>
        <v>SP*</v>
      </c>
      <c r="B7" s="443"/>
      <c r="C7" s="449" t="str">
        <f>IF(Score!B7="", "",Score!B7 )</f>
        <v/>
      </c>
      <c r="D7" s="445"/>
      <c r="E7" s="445"/>
      <c r="F7" s="445"/>
      <c r="G7" s="444"/>
      <c r="H7" s="445"/>
      <c r="I7" s="445"/>
      <c r="J7" s="445"/>
      <c r="K7" s="444"/>
      <c r="L7" s="445"/>
      <c r="M7" s="445"/>
      <c r="N7" s="445"/>
      <c r="O7" s="444"/>
      <c r="P7" s="445"/>
      <c r="Q7" s="445"/>
      <c r="R7" s="445"/>
      <c r="S7" s="444"/>
      <c r="T7" s="445"/>
      <c r="U7" s="445"/>
      <c r="V7" s="446"/>
      <c r="W7" s="438">
        <f>IF(A7="","",SUMIF(SK!B$3:B$78,ROW(),SK!D$3:D$78))</f>
        <v>0</v>
      </c>
      <c r="X7" s="43"/>
      <c r="Y7" s="43"/>
      <c r="Z7" s="43"/>
      <c r="AA7" s="443" t="s">
        <v>233</v>
      </c>
      <c r="AB7" s="443" t="s">
        <v>231</v>
      </c>
      <c r="AC7" s="444" t="str">
        <f>IF(Score!U7="", "",Score!U7 )</f>
        <v>505</v>
      </c>
      <c r="AD7" s="445"/>
      <c r="AE7" s="445"/>
      <c r="AF7" s="445"/>
      <c r="AG7" s="444" t="s">
        <v>126</v>
      </c>
      <c r="AH7" s="445"/>
      <c r="AI7" s="445"/>
      <c r="AJ7" s="445"/>
      <c r="AK7" s="444" t="s">
        <v>82</v>
      </c>
      <c r="AL7" s="445"/>
      <c r="AM7" s="445"/>
      <c r="AN7" s="445"/>
      <c r="AO7" s="444" t="s">
        <v>102</v>
      </c>
      <c r="AP7" s="445"/>
      <c r="AQ7" s="445"/>
      <c r="AR7" s="445"/>
      <c r="AS7" s="444" t="s">
        <v>133</v>
      </c>
      <c r="AT7" s="445"/>
      <c r="AU7" s="445"/>
      <c r="AV7" s="446"/>
      <c r="AW7" s="438">
        <f>IF(AA7="","",SUMIF(SK!R$3:R$78,ROW(),SK!T$3:T$78))</f>
        <v>0</v>
      </c>
      <c r="AX7" s="43"/>
      <c r="AY7" s="43"/>
      <c r="AZ7" s="43"/>
    </row>
    <row r="8" ht="31.5" customHeight="1">
      <c r="A8" s="447">
        <f>IF(Score!A8="", "",Score!A8 )</f>
        <v>4</v>
      </c>
      <c r="B8" s="441"/>
      <c r="C8" s="448" t="str">
        <f>IF(Score!B8="", "",Score!B8 )</f>
        <v>394</v>
      </c>
      <c r="D8" s="445"/>
      <c r="E8" s="445"/>
      <c r="F8" s="445"/>
      <c r="G8" s="448" t="s">
        <v>56</v>
      </c>
      <c r="H8" s="445" t="s">
        <v>296</v>
      </c>
      <c r="I8" s="445"/>
      <c r="J8" s="445"/>
      <c r="K8" s="448" t="s">
        <v>104</v>
      </c>
      <c r="L8" s="445"/>
      <c r="M8" s="445"/>
      <c r="N8" s="445"/>
      <c r="O8" s="448" t="s">
        <v>112</v>
      </c>
      <c r="P8" s="445"/>
      <c r="Q8" s="445"/>
      <c r="R8" s="445"/>
      <c r="S8" s="448" t="s">
        <v>92</v>
      </c>
      <c r="T8" s="445"/>
      <c r="U8" s="445"/>
      <c r="V8" s="446"/>
      <c r="W8" s="438">
        <f>IF(A8="","",SUMIF(SK!B$3:B$78,ROW(),SK!D$3:D$78))</f>
        <v>4</v>
      </c>
      <c r="X8" s="43"/>
      <c r="Y8" s="439" t="str">
        <f>IF(IGRF!B16="","",IGRF!B16)</f>
        <v>10</v>
      </c>
      <c r="Z8" s="440" t="str">
        <f>IF(IGRF!C16="","",IGRF!C16)</f>
        <v>Frida</v>
      </c>
      <c r="AA8" s="441">
        <f>IF(Score!T8="", "",Score!T8 )</f>
        <v>4</v>
      </c>
      <c r="AB8" s="441"/>
      <c r="AC8" s="448" t="str">
        <f>IF(Score!U8="", "",Score!U8 )</f>
        <v>505</v>
      </c>
      <c r="AD8" s="445" t="s">
        <v>297</v>
      </c>
      <c r="AE8" s="445"/>
      <c r="AF8" s="445"/>
      <c r="AG8" s="448" t="s">
        <v>90</v>
      </c>
      <c r="AH8" s="445"/>
      <c r="AI8" s="445"/>
      <c r="AJ8" s="445"/>
      <c r="AK8" s="448" t="s">
        <v>94</v>
      </c>
      <c r="AL8" s="445"/>
      <c r="AM8" s="445"/>
      <c r="AN8" s="445"/>
      <c r="AO8" s="448" t="s">
        <v>66</v>
      </c>
      <c r="AP8" s="445"/>
      <c r="AQ8" s="445"/>
      <c r="AR8" s="445"/>
      <c r="AS8" s="448" t="s">
        <v>62</v>
      </c>
      <c r="AT8" s="445"/>
      <c r="AU8" s="445"/>
      <c r="AV8" s="446"/>
      <c r="AW8" s="438">
        <f>IF(AA8="","",SUMIF(SK!R$3:R$78,ROW(),SK!T$3:T$78))</f>
        <v>0</v>
      </c>
      <c r="AX8" s="43"/>
      <c r="AY8" s="439" t="str">
        <f>IF(IGRF!I16="","",IGRF!I16)</f>
        <v>120</v>
      </c>
      <c r="AZ8" s="440" t="str">
        <f>IF(IGRF!J16="","",IGRF!J16)</f>
        <v>Nikki Nail 'er</v>
      </c>
    </row>
    <row r="9" ht="31.5" customHeight="1">
      <c r="A9" s="442">
        <f>IF(Score!A9="", "",Score!A9 )</f>
        <v>5</v>
      </c>
      <c r="B9" s="443"/>
      <c r="C9" s="444" t="str">
        <f>IF(Score!B9="", "",Score!B9 )</f>
        <v>313</v>
      </c>
      <c r="D9" s="445" t="s">
        <v>295</v>
      </c>
      <c r="E9" s="445"/>
      <c r="F9" s="445"/>
      <c r="G9" s="444" t="s">
        <v>56</v>
      </c>
      <c r="H9" s="445" t="s">
        <v>297</v>
      </c>
      <c r="I9" s="445"/>
      <c r="J9" s="445"/>
      <c r="K9" s="444" t="s">
        <v>124</v>
      </c>
      <c r="L9" s="445"/>
      <c r="M9" s="445"/>
      <c r="N9" s="445"/>
      <c r="O9" s="444" t="s">
        <v>80</v>
      </c>
      <c r="P9" s="445"/>
      <c r="Q9" s="445"/>
      <c r="R9" s="445"/>
      <c r="S9" s="444" t="s">
        <v>76</v>
      </c>
      <c r="T9" s="445"/>
      <c r="U9" s="445"/>
      <c r="V9" s="446"/>
      <c r="W9" s="438">
        <f>IF(A9="","",SUMIF(SK!B$3:B$78,ROW(),SK!D$3:D$78))</f>
        <v>12</v>
      </c>
      <c r="X9" s="43"/>
      <c r="Y9" s="43"/>
      <c r="Z9" s="43"/>
      <c r="AA9" s="443">
        <f>IF(Score!T9="", "",Score!T9 )</f>
        <v>5</v>
      </c>
      <c r="AB9" s="443"/>
      <c r="AC9" s="444" t="str">
        <f>IF(Score!U9="", "",Score!U9 )</f>
        <v>15</v>
      </c>
      <c r="AD9" s="445" t="s">
        <v>295</v>
      </c>
      <c r="AE9" s="445"/>
      <c r="AF9" s="445"/>
      <c r="AG9" s="444" t="s">
        <v>133</v>
      </c>
      <c r="AH9" s="445"/>
      <c r="AI9" s="445"/>
      <c r="AJ9" s="445"/>
      <c r="AK9" s="444" t="s">
        <v>102</v>
      </c>
      <c r="AL9" s="445" t="s">
        <v>296</v>
      </c>
      <c r="AM9" s="445"/>
      <c r="AN9" s="445"/>
      <c r="AO9" s="444" t="s">
        <v>122</v>
      </c>
      <c r="AP9" s="445"/>
      <c r="AQ9" s="445"/>
      <c r="AR9" s="445"/>
      <c r="AS9" s="444" t="s">
        <v>82</v>
      </c>
      <c r="AT9" s="445"/>
      <c r="AU9" s="445"/>
      <c r="AV9" s="446"/>
      <c r="AW9" s="438">
        <f>IF(AA9="","",SUMIF(SK!R$3:R$78,ROW(),SK!T$3:T$78))</f>
        <v>5</v>
      </c>
      <c r="AX9" s="43"/>
      <c r="AY9" s="43"/>
      <c r="AZ9" s="43"/>
    </row>
    <row r="10" ht="31.5" customHeight="1">
      <c r="A10" s="447">
        <f>IF(Score!A10="", "",Score!A10 )</f>
        <v>6</v>
      </c>
      <c r="B10" s="441"/>
      <c r="C10" s="448" t="str">
        <f>IF(Score!B10="", "",Score!B10 )</f>
        <v>3381</v>
      </c>
      <c r="D10" s="445"/>
      <c r="E10" s="445"/>
      <c r="F10" s="445"/>
      <c r="G10" s="448" t="s">
        <v>60</v>
      </c>
      <c r="H10" s="445" t="s">
        <v>295</v>
      </c>
      <c r="I10" s="445"/>
      <c r="J10" s="445"/>
      <c r="K10" s="448" t="s">
        <v>88</v>
      </c>
      <c r="L10" s="445"/>
      <c r="M10" s="445"/>
      <c r="N10" s="445"/>
      <c r="O10" s="448" t="s">
        <v>104</v>
      </c>
      <c r="P10" s="445"/>
      <c r="Q10" s="445"/>
      <c r="R10" s="445"/>
      <c r="S10" s="448" t="s">
        <v>112</v>
      </c>
      <c r="T10" s="445"/>
      <c r="U10" s="445"/>
      <c r="V10" s="446"/>
      <c r="W10" s="438">
        <f>IF(A10="","",SUMIF(SK!B$3:B$78,ROW(),SK!D$3:D$78))</f>
        <v>4</v>
      </c>
      <c r="X10" s="43"/>
      <c r="Y10" s="439" t="str">
        <f>IF(IGRF!B17="","",IGRF!B17)</f>
        <v>16*</v>
      </c>
      <c r="Z10" s="440" t="str">
        <f>IF(IGRF!C17="","",IGRF!C17)</f>
        <v>Just Monroe</v>
      </c>
      <c r="AA10" s="441">
        <f>IF(Score!T10="", "",Score!T10 )</f>
        <v>6</v>
      </c>
      <c r="AB10" s="441"/>
      <c r="AC10" s="448" t="str">
        <f>IF(Score!U10="", "",Score!U10 )</f>
        <v>329</v>
      </c>
      <c r="AD10" s="445"/>
      <c r="AE10" s="445"/>
      <c r="AF10" s="445"/>
      <c r="AG10" s="448" t="s">
        <v>90</v>
      </c>
      <c r="AH10" s="445"/>
      <c r="AI10" s="445"/>
      <c r="AJ10" s="445"/>
      <c r="AK10" s="448" t="s">
        <v>102</v>
      </c>
      <c r="AL10" s="445" t="s">
        <v>297</v>
      </c>
      <c r="AM10" s="445"/>
      <c r="AN10" s="445"/>
      <c r="AO10" s="448" t="s">
        <v>62</v>
      </c>
      <c r="AP10" s="445"/>
      <c r="AQ10" s="445"/>
      <c r="AR10" s="445"/>
      <c r="AS10" s="448" t="s">
        <v>94</v>
      </c>
      <c r="AT10" s="445"/>
      <c r="AU10" s="445"/>
      <c r="AV10" s="446"/>
      <c r="AW10" s="438">
        <f>IF(AA10="","",SUMIF(SK!R$3:R$78,ROW(),SK!T$3:T$78))</f>
        <v>0</v>
      </c>
      <c r="AX10" s="43"/>
      <c r="AY10" s="439" t="str">
        <f>IF(IGRF!I17="","",IGRF!I17)</f>
        <v>13</v>
      </c>
      <c r="AZ10" s="440" t="str">
        <f>IF(IGRF!J17="","",IGRF!J17)</f>
        <v>Libido Loca</v>
      </c>
    </row>
    <row r="11" ht="31.5" customHeight="1">
      <c r="A11" s="442" t="str">
        <f>IF(Score!A11="", "",Score!A11 )</f>
        <v>SP*</v>
      </c>
      <c r="B11" s="443"/>
      <c r="C11" s="449" t="str">
        <f>IF(Score!B11="", "",Score!B11 )</f>
        <v/>
      </c>
      <c r="D11" s="445"/>
      <c r="E11" s="445"/>
      <c r="F11" s="445"/>
      <c r="G11" s="444"/>
      <c r="H11" s="445"/>
      <c r="I11" s="445"/>
      <c r="J11" s="445"/>
      <c r="K11" s="444"/>
      <c r="L11" s="445"/>
      <c r="M11" s="445"/>
      <c r="N11" s="445"/>
      <c r="O11" s="444"/>
      <c r="P11" s="445"/>
      <c r="Q11" s="445"/>
      <c r="R11" s="445"/>
      <c r="S11" s="444"/>
      <c r="T11" s="445"/>
      <c r="U11" s="445"/>
      <c r="V11" s="446"/>
      <c r="W11" s="438">
        <f>IF(A11="","",SUMIF(SK!B$3:B$78,ROW(),SK!D$3:D$78))</f>
        <v>0</v>
      </c>
      <c r="X11" s="43"/>
      <c r="Y11" s="43"/>
      <c r="Z11" s="43"/>
      <c r="AA11" s="443" t="str">
        <f>IF(Score!T11="", "",Score!T11 )</f>
        <v>SP</v>
      </c>
      <c r="AB11" s="443" t="s">
        <v>231</v>
      </c>
      <c r="AC11" s="444" t="str">
        <f>IF(Score!U11="", "",Score!U11 )</f>
        <v>28</v>
      </c>
      <c r="AD11" s="445"/>
      <c r="AE11" s="445"/>
      <c r="AF11" s="445"/>
      <c r="AG11" s="444" t="s">
        <v>98</v>
      </c>
      <c r="AH11" s="445"/>
      <c r="AI11" s="445"/>
      <c r="AJ11" s="445"/>
      <c r="AK11" s="444" t="s">
        <v>102</v>
      </c>
      <c r="AL11" s="445" t="s">
        <v>296</v>
      </c>
      <c r="AM11" s="445"/>
      <c r="AN11" s="445"/>
      <c r="AO11" s="444" t="s">
        <v>62</v>
      </c>
      <c r="AP11" s="445"/>
      <c r="AQ11" s="445"/>
      <c r="AR11" s="445"/>
      <c r="AS11" s="444" t="s">
        <v>94</v>
      </c>
      <c r="AT11" s="445"/>
      <c r="AU11" s="445"/>
      <c r="AV11" s="446"/>
      <c r="AW11" s="438">
        <f>IF(AA11="","",SUMIF(SK!R$3:R$78,ROW(),SK!T$3:T$78))</f>
        <v>0</v>
      </c>
      <c r="AX11" s="43"/>
      <c r="AY11" s="43"/>
      <c r="AZ11" s="43"/>
    </row>
    <row r="12" ht="31.5" customHeight="1">
      <c r="A12" s="447">
        <f>IF(Score!A12="", "",Score!A12 )</f>
        <v>7</v>
      </c>
      <c r="B12" s="441"/>
      <c r="C12" s="448" t="str">
        <f>IF(Score!B12="", "",Score!B12 )</f>
        <v>10</v>
      </c>
      <c r="D12" s="445"/>
      <c r="E12" s="445"/>
      <c r="F12" s="445"/>
      <c r="G12" s="448" t="s">
        <v>122</v>
      </c>
      <c r="H12" s="445"/>
      <c r="I12" s="445"/>
      <c r="J12" s="445"/>
      <c r="K12" s="448" t="s">
        <v>80</v>
      </c>
      <c r="L12" s="445" t="s">
        <v>295</v>
      </c>
      <c r="M12" s="445"/>
      <c r="N12" s="445"/>
      <c r="O12" s="448" t="s">
        <v>120</v>
      </c>
      <c r="P12" s="445"/>
      <c r="Q12" s="445"/>
      <c r="R12" s="445"/>
      <c r="S12" s="448" t="s">
        <v>124</v>
      </c>
      <c r="T12" s="445"/>
      <c r="U12" s="445"/>
      <c r="V12" s="446"/>
      <c r="W12" s="438">
        <f>IF(A12="","",SUMIF(SK!B$3:B$78,ROW(),SK!D$3:D$78))</f>
        <v>12</v>
      </c>
      <c r="X12" s="43"/>
      <c r="Y12" s="439" t="str">
        <f>IF(IGRF!B18="","",IGRF!B18)</f>
        <v>22*</v>
      </c>
      <c r="Z12" s="440" t="str">
        <f>IF(IGRF!C18="","",IGRF!C18)</f>
        <v>Meche</v>
      </c>
      <c r="AA12" s="441">
        <f>IF(Score!T12="", "",Score!T12 )</f>
        <v>7</v>
      </c>
      <c r="AB12" s="441"/>
      <c r="AC12" s="448" t="str">
        <f>IF(Score!U12="", "",Score!U12 )</f>
        <v>9</v>
      </c>
      <c r="AD12" s="445"/>
      <c r="AE12" s="445"/>
      <c r="AF12" s="445"/>
      <c r="AG12" s="448" t="s">
        <v>114</v>
      </c>
      <c r="AH12" s="445"/>
      <c r="AI12" s="445"/>
      <c r="AJ12" s="445"/>
      <c r="AK12" s="448" t="s">
        <v>102</v>
      </c>
      <c r="AL12" s="445" t="s">
        <v>297</v>
      </c>
      <c r="AM12" s="445"/>
      <c r="AN12" s="445"/>
      <c r="AO12" s="448" t="s">
        <v>133</v>
      </c>
      <c r="AP12" s="445"/>
      <c r="AQ12" s="445"/>
      <c r="AR12" s="445"/>
      <c r="AS12" s="448" t="s">
        <v>82</v>
      </c>
      <c r="AT12" s="445"/>
      <c r="AU12" s="445"/>
      <c r="AV12" s="446"/>
      <c r="AW12" s="438">
        <f>IF(AA12="","",SUMIF(SK!R$3:R$78,ROW(),SK!T$3:T$78))</f>
        <v>0</v>
      </c>
      <c r="AX12" s="43"/>
      <c r="AY12" s="439" t="str">
        <f>IF(IGRF!I18="","",IGRF!I18)</f>
        <v>15</v>
      </c>
      <c r="AZ12" s="440" t="str">
        <f>IF(IGRF!J18="","",IGRF!J18)</f>
        <v>Harley Darlin</v>
      </c>
    </row>
    <row r="13" ht="31.5" customHeight="1">
      <c r="A13" s="442">
        <f>IF(Score!A13="", "",Score!A13 )</f>
        <v>8</v>
      </c>
      <c r="B13" s="443"/>
      <c r="C13" s="444" t="str">
        <f>IF(Score!B13="", "",Score!B13 )</f>
        <v>394</v>
      </c>
      <c r="D13" s="445"/>
      <c r="E13" s="445"/>
      <c r="F13" s="445"/>
      <c r="G13" s="444" t="s">
        <v>60</v>
      </c>
      <c r="H13" s="445"/>
      <c r="I13" s="445"/>
      <c r="J13" s="445"/>
      <c r="K13" s="444" t="s">
        <v>56</v>
      </c>
      <c r="L13" s="445"/>
      <c r="M13" s="445"/>
      <c r="N13" s="445"/>
      <c r="O13" s="444" t="s">
        <v>88</v>
      </c>
      <c r="P13" s="445"/>
      <c r="Q13" s="445"/>
      <c r="R13" s="445"/>
      <c r="S13" s="444" t="s">
        <v>92</v>
      </c>
      <c r="T13" s="445"/>
      <c r="U13" s="445"/>
      <c r="V13" s="446"/>
      <c r="W13" s="438">
        <f>IF(A13="","",SUMIF(SK!B$3:B$78,ROW(),SK!D$3:D$78))</f>
        <v>4</v>
      </c>
      <c r="X13" s="43"/>
      <c r="Y13" s="43"/>
      <c r="Z13" s="43"/>
      <c r="AA13" s="443">
        <f>IF(Score!T13="", "",Score!T13 )</f>
        <v>8</v>
      </c>
      <c r="AB13" s="443"/>
      <c r="AC13" s="444" t="str">
        <f>IF(Score!U13="", "",Score!U13 )</f>
        <v>221</v>
      </c>
      <c r="AD13" s="445"/>
      <c r="AE13" s="445"/>
      <c r="AF13" s="445"/>
      <c r="AG13" s="444" t="s">
        <v>90</v>
      </c>
      <c r="AH13" s="445"/>
      <c r="AI13" s="445"/>
      <c r="AJ13" s="445"/>
      <c r="AK13" s="444" t="s">
        <v>66</v>
      </c>
      <c r="AL13" s="445"/>
      <c r="AM13" s="445"/>
      <c r="AN13" s="445"/>
      <c r="AO13" s="444" t="s">
        <v>62</v>
      </c>
      <c r="AP13" s="445"/>
      <c r="AQ13" s="445"/>
      <c r="AR13" s="445"/>
      <c r="AS13" s="444" t="s">
        <v>94</v>
      </c>
      <c r="AT13" s="445"/>
      <c r="AU13" s="445"/>
      <c r="AV13" s="446"/>
      <c r="AW13" s="438">
        <f>IF(AA13="","",SUMIF(SK!R$3:R$78,ROW(),SK!T$3:T$78))</f>
        <v>4</v>
      </c>
      <c r="AX13" s="43"/>
      <c r="AY13" s="43"/>
      <c r="AZ13" s="43"/>
    </row>
    <row r="14" ht="31.5" customHeight="1">
      <c r="A14" s="447">
        <f>IF(Score!A14="", "",Score!A14 )</f>
        <v>9</v>
      </c>
      <c r="B14" s="441"/>
      <c r="C14" s="448" t="str">
        <f>IF(Score!B14="", "",Score!B14 )</f>
        <v>313</v>
      </c>
      <c r="D14" s="445"/>
      <c r="E14" s="445"/>
      <c r="F14" s="445"/>
      <c r="G14" s="448" t="s">
        <v>122</v>
      </c>
      <c r="H14" s="445"/>
      <c r="I14" s="445"/>
      <c r="J14" s="445"/>
      <c r="K14" s="448" t="s">
        <v>80</v>
      </c>
      <c r="L14" s="445"/>
      <c r="M14" s="445"/>
      <c r="N14" s="445"/>
      <c r="O14" s="448" t="s">
        <v>76</v>
      </c>
      <c r="P14" s="445"/>
      <c r="Q14" s="445"/>
      <c r="R14" s="445"/>
      <c r="S14" s="448" t="s">
        <v>120</v>
      </c>
      <c r="T14" s="445"/>
      <c r="U14" s="445"/>
      <c r="V14" s="446"/>
      <c r="W14" s="438">
        <f>IF(A14="","",SUMIF(SK!B$3:B$78,ROW(),SK!D$3:D$78))</f>
        <v>3</v>
      </c>
      <c r="X14" s="43"/>
      <c r="Y14" s="439" t="str">
        <f>IF(IGRF!B19="","",IGRF!B19)</f>
        <v>24</v>
      </c>
      <c r="Z14" s="440" t="str">
        <f>IF(IGRF!C19="","",IGRF!C19)</f>
        <v>Ima BlowBya</v>
      </c>
      <c r="AA14" s="441">
        <f>IF(Score!T14="", "",Score!T14 )</f>
        <v>9</v>
      </c>
      <c r="AB14" s="441"/>
      <c r="AC14" s="448" t="str">
        <f>IF(Score!U14="", "",Score!U14 )</f>
        <v>15</v>
      </c>
      <c r="AD14" s="445"/>
      <c r="AE14" s="445"/>
      <c r="AF14" s="445"/>
      <c r="AG14" s="448" t="s">
        <v>114</v>
      </c>
      <c r="AH14" s="445"/>
      <c r="AI14" s="445"/>
      <c r="AJ14" s="445"/>
      <c r="AK14" s="448" t="s">
        <v>102</v>
      </c>
      <c r="AL14" s="445"/>
      <c r="AM14" s="445"/>
      <c r="AN14" s="445"/>
      <c r="AO14" s="448" t="s">
        <v>133</v>
      </c>
      <c r="AP14" s="445"/>
      <c r="AQ14" s="445"/>
      <c r="AR14" s="445"/>
      <c r="AS14" s="448" t="s">
        <v>82</v>
      </c>
      <c r="AT14" s="445"/>
      <c r="AU14" s="445"/>
      <c r="AV14" s="446"/>
      <c r="AW14" s="438">
        <f>IF(AA14="","",SUMIF(SK!R$3:R$78,ROW(),SK!T$3:T$78))</f>
        <v>2</v>
      </c>
      <c r="AX14" s="43"/>
      <c r="AY14" s="439" t="str">
        <f>IF(IGRF!I19="","",IGRF!I19)</f>
        <v>21*</v>
      </c>
      <c r="AZ14" s="440" t="str">
        <f>IF(IGRF!J19="","",IGRF!J19)</f>
        <v>Agatha KrisB</v>
      </c>
    </row>
    <row r="15" ht="31.5" customHeight="1">
      <c r="A15" s="442">
        <f>IF(Score!A15="", "",Score!A15 )</f>
        <v>10</v>
      </c>
      <c r="B15" s="443"/>
      <c r="C15" s="444" t="str">
        <f>IF(Score!B15="", "",Score!B15 )</f>
        <v>3381</v>
      </c>
      <c r="D15" s="445"/>
      <c r="E15" s="445"/>
      <c r="F15" s="445"/>
      <c r="G15" s="444" t="s">
        <v>60</v>
      </c>
      <c r="H15" s="445"/>
      <c r="I15" s="445"/>
      <c r="J15" s="445"/>
      <c r="K15" s="444" t="s">
        <v>92</v>
      </c>
      <c r="L15" s="445"/>
      <c r="M15" s="445"/>
      <c r="N15" s="445"/>
      <c r="O15" s="444" t="s">
        <v>104</v>
      </c>
      <c r="P15" s="445"/>
      <c r="Q15" s="445"/>
      <c r="R15" s="445"/>
      <c r="S15" s="444" t="s">
        <v>112</v>
      </c>
      <c r="T15" s="445"/>
      <c r="U15" s="445"/>
      <c r="V15" s="446"/>
      <c r="W15" s="438">
        <f>IF(A15="","",SUMIF(SK!B$3:B$78,ROW(),SK!D$3:D$78))</f>
        <v>4</v>
      </c>
      <c r="X15" s="43"/>
      <c r="Y15" s="43"/>
      <c r="Z15" s="43"/>
      <c r="AA15" s="443">
        <f>IF(Score!T15="", "",Score!T15 )</f>
        <v>10</v>
      </c>
      <c r="AB15" s="443"/>
      <c r="AC15" s="444" t="str">
        <f>IF(Score!U15="", "",Score!U15 )</f>
        <v>329</v>
      </c>
      <c r="AD15" s="445"/>
      <c r="AE15" s="445"/>
      <c r="AF15" s="445"/>
      <c r="AG15" s="444" t="s">
        <v>90</v>
      </c>
      <c r="AH15" s="445"/>
      <c r="AI15" s="445"/>
      <c r="AJ15" s="445"/>
      <c r="AK15" s="444" t="s">
        <v>66</v>
      </c>
      <c r="AL15" s="445"/>
      <c r="AM15" s="445"/>
      <c r="AN15" s="445"/>
      <c r="AO15" s="444" t="s">
        <v>62</v>
      </c>
      <c r="AP15" s="445"/>
      <c r="AQ15" s="445"/>
      <c r="AR15" s="445"/>
      <c r="AS15" s="444" t="s">
        <v>94</v>
      </c>
      <c r="AT15" s="445"/>
      <c r="AU15" s="445"/>
      <c r="AV15" s="446"/>
      <c r="AW15" s="438">
        <f>IF(AA15="","",SUMIF(SK!R$3:R$78,ROW(),SK!T$3:T$78))</f>
        <v>0</v>
      </c>
      <c r="AX15" s="43"/>
      <c r="AY15" s="43"/>
      <c r="AZ15" s="43"/>
    </row>
    <row r="16" ht="31.5" customHeight="1">
      <c r="A16" s="447" t="str">
        <f>IF(Score!A16="", "",Score!A16 )</f>
        <v>SP*</v>
      </c>
      <c r="B16" s="441"/>
      <c r="C16" s="450" t="str">
        <f>IF(Score!B16="", "",Score!B16 )</f>
        <v/>
      </c>
      <c r="D16" s="445"/>
      <c r="E16" s="445"/>
      <c r="F16" s="445"/>
      <c r="G16" s="448"/>
      <c r="H16" s="445"/>
      <c r="I16" s="445"/>
      <c r="J16" s="445"/>
      <c r="K16" s="448"/>
      <c r="L16" s="445"/>
      <c r="M16" s="445"/>
      <c r="N16" s="445"/>
      <c r="O16" s="448"/>
      <c r="P16" s="445"/>
      <c r="Q16" s="445"/>
      <c r="R16" s="445"/>
      <c r="S16" s="448"/>
      <c r="T16" s="445"/>
      <c r="U16" s="445"/>
      <c r="V16" s="446"/>
      <c r="W16" s="438">
        <f>IF(A16="","",SUMIF(SK!B$3:B$78,ROW(),SK!D$3:D$78))</f>
        <v>0</v>
      </c>
      <c r="X16" s="43"/>
      <c r="Y16" s="439" t="str">
        <f>IF(IGRF!B20="","",IGRF!B20)</f>
        <v>264</v>
      </c>
      <c r="Z16" s="440" t="str">
        <f>IF(IGRF!C20="","",IGRF!C20)</f>
        <v>Velasco Sauce</v>
      </c>
      <c r="AA16" s="441" t="str">
        <f>IF(Score!T16="", "",Score!T16 )</f>
        <v>SP</v>
      </c>
      <c r="AB16" s="441" t="s">
        <v>231</v>
      </c>
      <c r="AC16" s="448" t="str">
        <f>IF(Score!U16="", "",Score!U16 )</f>
        <v>28</v>
      </c>
      <c r="AD16" s="445"/>
      <c r="AE16" s="445"/>
      <c r="AF16" s="445"/>
      <c r="AG16" s="448" t="s">
        <v>98</v>
      </c>
      <c r="AH16" s="445"/>
      <c r="AI16" s="445"/>
      <c r="AJ16" s="445"/>
      <c r="AK16" s="448" t="s">
        <v>66</v>
      </c>
      <c r="AL16" s="445"/>
      <c r="AM16" s="445"/>
      <c r="AN16" s="445"/>
      <c r="AO16" s="448" t="s">
        <v>62</v>
      </c>
      <c r="AP16" s="445"/>
      <c r="AQ16" s="445"/>
      <c r="AR16" s="445"/>
      <c r="AS16" s="448" t="s">
        <v>94</v>
      </c>
      <c r="AT16" s="445"/>
      <c r="AU16" s="445"/>
      <c r="AV16" s="446"/>
      <c r="AW16" s="438">
        <f>IF(AA16="","",SUMIF(SK!R$3:R$78,ROW(),SK!T$3:T$78))</f>
        <v>0</v>
      </c>
      <c r="AX16" s="43"/>
      <c r="AY16" s="439" t="str">
        <f>IF(IGRF!I20="","",IGRF!I20)</f>
        <v>213</v>
      </c>
      <c r="AZ16" s="440" t="str">
        <f>IF(IGRF!J20="","",IGRF!J20)</f>
        <v>IceBox</v>
      </c>
    </row>
    <row r="17" ht="31.5" customHeight="1">
      <c r="A17" s="442">
        <f>IF(Score!A17="", "",Score!A17 )</f>
        <v>11</v>
      </c>
      <c r="B17" s="443"/>
      <c r="C17" s="444" t="str">
        <f>IF(Score!B17="", "",Score!B17 )</f>
        <v>10</v>
      </c>
      <c r="D17" s="445"/>
      <c r="E17" s="445"/>
      <c r="F17" s="445"/>
      <c r="G17" s="444" t="s">
        <v>120</v>
      </c>
      <c r="H17" s="445"/>
      <c r="I17" s="445"/>
      <c r="J17" s="445"/>
      <c r="K17" s="444" t="s">
        <v>76</v>
      </c>
      <c r="L17" s="445" t="s">
        <v>296</v>
      </c>
      <c r="M17" s="445"/>
      <c r="N17" s="445"/>
      <c r="O17" s="444" t="s">
        <v>80</v>
      </c>
      <c r="P17" s="445"/>
      <c r="Q17" s="445"/>
      <c r="R17" s="445"/>
      <c r="S17" s="444" t="s">
        <v>124</v>
      </c>
      <c r="T17" s="445"/>
      <c r="U17" s="445"/>
      <c r="V17" s="446"/>
      <c r="W17" s="438">
        <f>IF(A17="","",SUMIF(SK!B$3:B$78,ROW(),SK!D$3:D$78))</f>
        <v>5</v>
      </c>
      <c r="X17" s="43"/>
      <c r="Y17" s="43"/>
      <c r="Z17" s="43"/>
      <c r="AA17" s="443">
        <f>IF(Score!T17="", "",Score!T17 )</f>
        <v>11</v>
      </c>
      <c r="AB17" s="443"/>
      <c r="AC17" s="444" t="str">
        <f>IF(Score!U17="", "",Score!U17 )</f>
        <v>9</v>
      </c>
      <c r="AD17" s="445"/>
      <c r="AE17" s="445"/>
      <c r="AF17" s="445"/>
      <c r="AG17" s="444" t="s">
        <v>114</v>
      </c>
      <c r="AH17" s="445"/>
      <c r="AI17" s="445"/>
      <c r="AJ17" s="445"/>
      <c r="AK17" s="444" t="s">
        <v>133</v>
      </c>
      <c r="AL17" s="445"/>
      <c r="AM17" s="445"/>
      <c r="AN17" s="445"/>
      <c r="AO17" s="444" t="s">
        <v>102</v>
      </c>
      <c r="AP17" s="445"/>
      <c r="AQ17" s="445"/>
      <c r="AR17" s="445"/>
      <c r="AS17" s="444" t="s">
        <v>82</v>
      </c>
      <c r="AT17" s="445"/>
      <c r="AU17" s="445"/>
      <c r="AV17" s="446"/>
      <c r="AW17" s="438">
        <f>IF(AA17="","",SUMIF(SK!R$3:R$78,ROW(),SK!T$3:T$78))</f>
        <v>7</v>
      </c>
      <c r="AX17" s="43"/>
      <c r="AY17" s="43"/>
      <c r="AZ17" s="43"/>
    </row>
    <row r="18" ht="31.5" customHeight="1">
      <c r="A18" s="447">
        <f>IF(Score!A18="", "",Score!A18 )</f>
        <v>12</v>
      </c>
      <c r="B18" s="441"/>
      <c r="C18" s="448" t="str">
        <f>IF(Score!B18="", "",Score!B18 )</f>
        <v>394</v>
      </c>
      <c r="D18" s="445" t="s">
        <v>295</v>
      </c>
      <c r="E18" s="445"/>
      <c r="F18" s="445"/>
      <c r="G18" s="448" t="s">
        <v>56</v>
      </c>
      <c r="H18" s="445"/>
      <c r="I18" s="445"/>
      <c r="J18" s="445"/>
      <c r="K18" s="448" t="s">
        <v>76</v>
      </c>
      <c r="L18" s="445" t="s">
        <v>297</v>
      </c>
      <c r="M18" s="445"/>
      <c r="N18" s="445"/>
      <c r="O18" s="448" t="s">
        <v>88</v>
      </c>
      <c r="P18" s="445"/>
      <c r="Q18" s="445"/>
      <c r="R18" s="445"/>
      <c r="S18" s="448" t="s">
        <v>112</v>
      </c>
      <c r="T18" s="445"/>
      <c r="U18" s="445"/>
      <c r="V18" s="446"/>
      <c r="W18" s="438">
        <f>IF(A18="","",SUMIF(SK!B$3:B$78,ROW(),SK!D$3:D$78))</f>
        <v>0</v>
      </c>
      <c r="X18" s="43"/>
      <c r="Y18" s="439" t="str">
        <f>IF(IGRF!B21="","",IGRF!B21)</f>
        <v>27*</v>
      </c>
      <c r="Z18" s="440" t="str">
        <f>IF(IGRF!C21="","",IGRF!C21)</f>
        <v>Babethoven</v>
      </c>
      <c r="AA18" s="441">
        <f>IF(Score!T18="", "",Score!T18 )</f>
        <v>12</v>
      </c>
      <c r="AB18" s="441"/>
      <c r="AC18" s="448" t="str">
        <f>IF(Score!U18="", "",Score!U18 )</f>
        <v>15</v>
      </c>
      <c r="AD18" s="445"/>
      <c r="AE18" s="445"/>
      <c r="AF18" s="445"/>
      <c r="AG18" s="448" t="s">
        <v>90</v>
      </c>
      <c r="AH18" s="445"/>
      <c r="AI18" s="445"/>
      <c r="AJ18" s="445"/>
      <c r="AK18" s="448" t="s">
        <v>62</v>
      </c>
      <c r="AL18" s="445"/>
      <c r="AM18" s="445"/>
      <c r="AN18" s="445"/>
      <c r="AO18" s="448" t="s">
        <v>94</v>
      </c>
      <c r="AP18" s="445"/>
      <c r="AQ18" s="445"/>
      <c r="AR18" s="445"/>
      <c r="AS18" s="448" t="s">
        <v>66</v>
      </c>
      <c r="AT18" s="445"/>
      <c r="AU18" s="445"/>
      <c r="AV18" s="446"/>
      <c r="AW18" s="438">
        <f>IF(AA18="","",SUMIF(SK!R$3:R$78,ROW(),SK!T$3:T$78))</f>
        <v>4</v>
      </c>
      <c r="AX18" s="43"/>
      <c r="AY18" s="439" t="str">
        <f>IF(IGRF!I21="","",IGRF!I21)</f>
        <v>221</v>
      </c>
      <c r="AZ18" s="440" t="str">
        <f>IF(IGRF!J21="","",IGRF!J21)</f>
        <v>Syann</v>
      </c>
    </row>
    <row r="19" ht="31.5" customHeight="1">
      <c r="A19" s="442">
        <f>IF(Score!A19="", "",Score!A19 )</f>
        <v>13</v>
      </c>
      <c r="B19" s="443"/>
      <c r="C19" s="444" t="str">
        <f>IF(Score!B19="", "",Score!B19 )</f>
        <v>313</v>
      </c>
      <c r="D19" s="445"/>
      <c r="E19" s="445"/>
      <c r="F19" s="445"/>
      <c r="G19" s="444" t="s">
        <v>120</v>
      </c>
      <c r="H19" s="445"/>
      <c r="I19" s="445"/>
      <c r="J19" s="445"/>
      <c r="K19" s="444" t="s">
        <v>124</v>
      </c>
      <c r="L19" s="445"/>
      <c r="M19" s="445"/>
      <c r="N19" s="445"/>
      <c r="O19" s="444" t="s">
        <v>80</v>
      </c>
      <c r="P19" s="445"/>
      <c r="Q19" s="445"/>
      <c r="R19" s="445"/>
      <c r="S19" s="444" t="s">
        <v>122</v>
      </c>
      <c r="T19" s="445"/>
      <c r="U19" s="445"/>
      <c r="V19" s="446"/>
      <c r="W19" s="438">
        <f>IF(A19="","",SUMIF(SK!B$3:B$78,ROW(),SK!D$3:D$78))</f>
        <v>8</v>
      </c>
      <c r="X19" s="43"/>
      <c r="Y19" s="43"/>
      <c r="Z19" s="43"/>
      <c r="AA19" s="443">
        <f>IF(Score!T19="", "",Score!T19 )</f>
        <v>13</v>
      </c>
      <c r="AB19" s="443"/>
      <c r="AC19" s="444" t="str">
        <f>IF(Score!U19="", "",Score!U19 )</f>
        <v>329</v>
      </c>
      <c r="AD19" s="445"/>
      <c r="AE19" s="445"/>
      <c r="AF19" s="445"/>
      <c r="AG19" s="444" t="s">
        <v>114</v>
      </c>
      <c r="AH19" s="445"/>
      <c r="AI19" s="445"/>
      <c r="AJ19" s="445"/>
      <c r="AK19" s="444" t="s">
        <v>62</v>
      </c>
      <c r="AL19" s="445" t="s">
        <v>297</v>
      </c>
      <c r="AM19" s="445"/>
      <c r="AN19" s="445"/>
      <c r="AO19" s="444" t="s">
        <v>133</v>
      </c>
      <c r="AP19" s="445"/>
      <c r="AQ19" s="445"/>
      <c r="AR19" s="445"/>
      <c r="AS19" s="444" t="s">
        <v>82</v>
      </c>
      <c r="AT19" s="445"/>
      <c r="AU19" s="445"/>
      <c r="AV19" s="446"/>
      <c r="AW19" s="438">
        <f>IF(AA19="","",SUMIF(SK!R$3:R$78,ROW(),SK!T$3:T$78))</f>
        <v>4</v>
      </c>
      <c r="AX19" s="43"/>
      <c r="AY19" s="43"/>
      <c r="AZ19" s="43"/>
    </row>
    <row r="20" ht="31.5" customHeight="1">
      <c r="A20" s="447">
        <f>IF(Score!A20="", "",Score!A20 )</f>
        <v>14</v>
      </c>
      <c r="B20" s="441"/>
      <c r="C20" s="448" t="str">
        <f>IF(Score!B20="", "",Score!B20 )</f>
        <v>3381</v>
      </c>
      <c r="D20" s="445"/>
      <c r="E20" s="445"/>
      <c r="F20" s="445"/>
      <c r="G20" s="448" t="s">
        <v>56</v>
      </c>
      <c r="H20" s="445"/>
      <c r="I20" s="445"/>
      <c r="J20" s="445"/>
      <c r="K20" s="448" t="s">
        <v>88</v>
      </c>
      <c r="L20" s="445"/>
      <c r="M20" s="445"/>
      <c r="N20" s="445"/>
      <c r="O20" s="448" t="s">
        <v>92</v>
      </c>
      <c r="P20" s="445"/>
      <c r="Q20" s="445"/>
      <c r="R20" s="445"/>
      <c r="S20" s="448" t="s">
        <v>104</v>
      </c>
      <c r="T20" s="445"/>
      <c r="U20" s="445"/>
      <c r="V20" s="446"/>
      <c r="W20" s="438">
        <f>IF(A20="","",SUMIF(SK!B$3:B$78,ROW(),SK!D$3:D$78))</f>
        <v>8</v>
      </c>
      <c r="X20" s="43"/>
      <c r="Y20" s="439" t="str">
        <f>IF(IGRF!B22="","",IGRF!B22)</f>
        <v>3</v>
      </c>
      <c r="Z20" s="440" t="str">
        <f>IF(IGRF!C22="","",IGRF!C22)</f>
        <v>Alexia</v>
      </c>
      <c r="AA20" s="441">
        <f>IF(Score!T20="", "",Score!T20 )</f>
        <v>14</v>
      </c>
      <c r="AB20" s="441"/>
      <c r="AC20" s="448" t="str">
        <f>IF(Score!U20="", "",Score!U20 )</f>
        <v>9</v>
      </c>
      <c r="AD20" s="445"/>
      <c r="AE20" s="445"/>
      <c r="AF20" s="445"/>
      <c r="AG20" s="448" t="s">
        <v>90</v>
      </c>
      <c r="AH20" s="445"/>
      <c r="AI20" s="445"/>
      <c r="AJ20" s="445"/>
      <c r="AK20" s="448" t="s">
        <v>62</v>
      </c>
      <c r="AL20" s="445"/>
      <c r="AM20" s="445"/>
      <c r="AN20" s="445"/>
      <c r="AO20" s="448" t="s">
        <v>66</v>
      </c>
      <c r="AP20" s="445"/>
      <c r="AQ20" s="445"/>
      <c r="AR20" s="445"/>
      <c r="AS20" s="448" t="s">
        <v>94</v>
      </c>
      <c r="AT20" s="445"/>
      <c r="AU20" s="445"/>
      <c r="AV20" s="446"/>
      <c r="AW20" s="438">
        <f>IF(AA20="","",SUMIF(SK!R$3:R$78,ROW(),SK!T$3:T$78))</f>
        <v>0</v>
      </c>
      <c r="AX20" s="43"/>
      <c r="AY20" s="439" t="str">
        <f>IF(IGRF!I22="","",IGRF!I22)</f>
        <v>28</v>
      </c>
      <c r="AZ20" s="440" t="str">
        <f>IF(IGRF!J22="","",IGRF!J22)</f>
        <v>Hot Box</v>
      </c>
    </row>
    <row r="21" ht="31.5" customHeight="1">
      <c r="A21" s="442" t="str">
        <f>IF(Score!A21="", "",Score!A21 )</f>
        <v>SP*</v>
      </c>
      <c r="B21" s="443"/>
      <c r="C21" s="449"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231</v>
      </c>
      <c r="AC21" s="444" t="str">
        <f>IF(Score!U21="", "",Score!U21 )</f>
        <v>28</v>
      </c>
      <c r="AD21" s="445"/>
      <c r="AE21" s="445"/>
      <c r="AF21" s="445"/>
      <c r="AG21" s="444" t="s">
        <v>126</v>
      </c>
      <c r="AH21" s="445"/>
      <c r="AI21" s="445"/>
      <c r="AJ21" s="445"/>
      <c r="AK21" s="444" t="s">
        <v>62</v>
      </c>
      <c r="AL21" s="445"/>
      <c r="AM21" s="445"/>
      <c r="AN21" s="445"/>
      <c r="AO21" s="444" t="s">
        <v>66</v>
      </c>
      <c r="AP21" s="445"/>
      <c r="AQ21" s="445"/>
      <c r="AR21" s="445"/>
      <c r="AS21" s="444" t="s">
        <v>94</v>
      </c>
      <c r="AT21" s="445"/>
      <c r="AU21" s="445"/>
      <c r="AV21" s="446"/>
      <c r="AW21" s="438">
        <f>IF(AA21="","",SUMIF(SK!R$3:R$78,ROW(),SK!T$3:T$78))</f>
        <v>0</v>
      </c>
      <c r="AX21" s="43"/>
      <c r="AY21" s="43"/>
      <c r="AZ21" s="43"/>
    </row>
    <row r="22" ht="31.5" customHeight="1">
      <c r="A22" s="447">
        <f>IF(Score!A22="", "",Score!A22 )</f>
        <v>15</v>
      </c>
      <c r="B22" s="441"/>
      <c r="C22" s="448" t="str">
        <f>IF(Score!B22="", "",Score!B22 )</f>
        <v>10</v>
      </c>
      <c r="D22" s="445"/>
      <c r="E22" s="445"/>
      <c r="F22" s="445"/>
      <c r="G22" s="448" t="s">
        <v>120</v>
      </c>
      <c r="H22" s="445"/>
      <c r="I22" s="445"/>
      <c r="J22" s="445"/>
      <c r="K22" s="448" t="s">
        <v>124</v>
      </c>
      <c r="L22" s="445"/>
      <c r="M22" s="445"/>
      <c r="N22" s="445"/>
      <c r="O22" s="448" t="s">
        <v>122</v>
      </c>
      <c r="P22" s="445"/>
      <c r="Q22" s="445"/>
      <c r="R22" s="445"/>
      <c r="S22" s="448" t="s">
        <v>76</v>
      </c>
      <c r="T22" s="445"/>
      <c r="U22" s="445"/>
      <c r="V22" s="446"/>
      <c r="W22" s="438">
        <f>IF(A22="","",SUMIF(SK!B$3:B$78,ROW(),SK!D$3:D$78))</f>
        <v>8</v>
      </c>
      <c r="X22" s="43"/>
      <c r="Y22" s="439" t="str">
        <f>IF(IGRF!B23="","",IGRF!B23)</f>
        <v>31</v>
      </c>
      <c r="Z22" s="440" t="str">
        <f>IF(IGRF!C23="","",IGRF!C23)</f>
        <v>2x Force</v>
      </c>
      <c r="AA22" s="441">
        <f>IF(Score!T22="", "",Score!T22 )</f>
        <v>15</v>
      </c>
      <c r="AB22" s="441"/>
      <c r="AC22" s="448" t="str">
        <f>IF(Score!U22="", "",Score!U22 )</f>
        <v>221</v>
      </c>
      <c r="AD22" s="445"/>
      <c r="AE22" s="445"/>
      <c r="AF22" s="445"/>
      <c r="AG22" s="448" t="s">
        <v>114</v>
      </c>
      <c r="AH22" s="445"/>
      <c r="AI22" s="445"/>
      <c r="AJ22" s="445"/>
      <c r="AK22" s="448" t="s">
        <v>133</v>
      </c>
      <c r="AL22" s="445"/>
      <c r="AM22" s="445"/>
      <c r="AN22" s="445"/>
      <c r="AO22" s="448" t="s">
        <v>102</v>
      </c>
      <c r="AP22" s="445"/>
      <c r="AQ22" s="445"/>
      <c r="AR22" s="445"/>
      <c r="AS22" s="448" t="s">
        <v>82</v>
      </c>
      <c r="AT22" s="445"/>
      <c r="AU22" s="445"/>
      <c r="AV22" s="446"/>
      <c r="AW22" s="438">
        <f>IF(AA22="","",SUMIF(SK!R$3:R$78,ROW(),SK!T$3:T$78))</f>
        <v>0</v>
      </c>
      <c r="AX22" s="43"/>
      <c r="AY22" s="439" t="str">
        <f>IF(IGRF!I23="","",IGRF!I23)</f>
        <v>321</v>
      </c>
      <c r="AZ22" s="440" t="str">
        <f>IF(IGRF!J23="","",IGRF!J23)</f>
        <v>Rockit</v>
      </c>
    </row>
    <row r="23" ht="31.5" customHeight="1">
      <c r="A23" s="442">
        <f>IF(Score!A23="", "",Score!A23 )</f>
        <v>16</v>
      </c>
      <c r="B23" s="443"/>
      <c r="C23" s="444" t="str">
        <f>IF(Score!B23="", "",Score!B23 )</f>
        <v>394</v>
      </c>
      <c r="D23" s="445"/>
      <c r="E23" s="445"/>
      <c r="F23" s="445"/>
      <c r="G23" s="444" t="s">
        <v>60</v>
      </c>
      <c r="H23" s="445"/>
      <c r="I23" s="445"/>
      <c r="J23" s="445"/>
      <c r="K23" s="444" t="s">
        <v>92</v>
      </c>
      <c r="L23" s="445"/>
      <c r="M23" s="445"/>
      <c r="N23" s="445"/>
      <c r="O23" s="444" t="s">
        <v>56</v>
      </c>
      <c r="P23" s="445"/>
      <c r="Q23" s="445"/>
      <c r="R23" s="445"/>
      <c r="S23" s="444" t="s">
        <v>112</v>
      </c>
      <c r="T23" s="445" t="s">
        <v>295</v>
      </c>
      <c r="U23" s="445"/>
      <c r="V23" s="446"/>
      <c r="W23" s="438">
        <f>IF(A23="","",SUMIF(SK!B$3:B$78,ROW(),SK!D$3:D$78))</f>
        <v>12</v>
      </c>
      <c r="X23" s="43"/>
      <c r="Y23" s="43"/>
      <c r="Z23" s="43"/>
      <c r="AA23" s="443">
        <f>IF(Score!T23="", "",Score!T23 )</f>
        <v>16</v>
      </c>
      <c r="AB23" s="443"/>
      <c r="AC23" s="444" t="str">
        <f>IF(Score!U23="", "",Score!U23 )</f>
        <v>221</v>
      </c>
      <c r="AD23" s="445" t="s">
        <v>297</v>
      </c>
      <c r="AE23" s="445"/>
      <c r="AF23" s="445"/>
      <c r="AG23" s="444" t="s">
        <v>90</v>
      </c>
      <c r="AH23" s="445"/>
      <c r="AI23" s="445"/>
      <c r="AJ23" s="445"/>
      <c r="AK23" s="444" t="s">
        <v>62</v>
      </c>
      <c r="AL23" s="445"/>
      <c r="AM23" s="445"/>
      <c r="AN23" s="445"/>
      <c r="AO23" s="444" t="s">
        <v>94</v>
      </c>
      <c r="AP23" s="445"/>
      <c r="AQ23" s="445"/>
      <c r="AR23" s="445"/>
      <c r="AS23" s="444" t="s">
        <v>66</v>
      </c>
      <c r="AT23" s="445"/>
      <c r="AU23" s="445"/>
      <c r="AV23" s="446"/>
      <c r="AW23" s="438">
        <f>IF(AA23="","",SUMIF(SK!R$3:R$78,ROW(),SK!T$3:T$78))</f>
        <v>0</v>
      </c>
      <c r="AX23" s="43"/>
      <c r="AY23" s="43"/>
      <c r="AZ23" s="43"/>
    </row>
    <row r="24" ht="31.5" customHeight="1">
      <c r="A24" s="447" t="str">
        <f>IF(Score!A24="", "",Score!A24 )</f>
        <v>SP*</v>
      </c>
      <c r="B24" s="441"/>
      <c r="C24" s="450" t="str">
        <f>IF(Score!B24="", "",Score!B24 )</f>
        <v/>
      </c>
      <c r="D24" s="445"/>
      <c r="E24" s="445"/>
      <c r="F24" s="445"/>
      <c r="G24" s="448"/>
      <c r="H24" s="445"/>
      <c r="I24" s="445"/>
      <c r="J24" s="445"/>
      <c r="K24" s="448"/>
      <c r="L24" s="445"/>
      <c r="M24" s="445"/>
      <c r="N24" s="445"/>
      <c r="O24" s="448"/>
      <c r="P24" s="445"/>
      <c r="Q24" s="445"/>
      <c r="R24" s="445"/>
      <c r="S24" s="448"/>
      <c r="T24" s="445"/>
      <c r="U24" s="445"/>
      <c r="V24" s="446"/>
      <c r="W24" s="438">
        <f>IF(A24="","",SUMIF(SK!B$3:B$78,ROW(),SK!D$3:D$78))</f>
        <v>0</v>
      </c>
      <c r="X24" s="43"/>
      <c r="Y24" s="439" t="str">
        <f>IF(IGRF!B24="","",IGRF!B24)</f>
        <v>313</v>
      </c>
      <c r="Z24" s="440" t="str">
        <f>IF(IGRF!C24="","",IGRF!C24)</f>
        <v>WestCoast MaFia</v>
      </c>
      <c r="AA24" s="441" t="str">
        <f>IF(Score!T24="", "",Score!T24 )</f>
        <v>SP</v>
      </c>
      <c r="AB24" s="441" t="s">
        <v>231</v>
      </c>
      <c r="AC24" s="448" t="str">
        <f>IF(Score!U24="", "",Score!U24 )</f>
        <v>28</v>
      </c>
      <c r="AD24" s="445"/>
      <c r="AE24" s="445"/>
      <c r="AF24" s="445"/>
      <c r="AG24" s="448" t="s">
        <v>86</v>
      </c>
      <c r="AH24" s="445"/>
      <c r="AI24" s="445"/>
      <c r="AJ24" s="445"/>
      <c r="AK24" s="448" t="s">
        <v>62</v>
      </c>
      <c r="AL24" s="445"/>
      <c r="AM24" s="445"/>
      <c r="AN24" s="445"/>
      <c r="AO24" s="448" t="s">
        <v>94</v>
      </c>
      <c r="AP24" s="445"/>
      <c r="AQ24" s="445"/>
      <c r="AR24" s="445"/>
      <c r="AS24" s="448" t="s">
        <v>66</v>
      </c>
      <c r="AT24" s="445"/>
      <c r="AU24" s="445"/>
      <c r="AV24" s="446"/>
      <c r="AW24" s="438">
        <f>IF(AA24="","",SUMIF(SK!R$3:R$78,ROW(),SK!T$3:T$78))</f>
        <v>0</v>
      </c>
      <c r="AX24" s="43"/>
      <c r="AY24" s="439" t="str">
        <f>IF(IGRF!I24="","",IGRF!I24)</f>
        <v>329</v>
      </c>
      <c r="AZ24" s="440" t="str">
        <f>IF(IGRF!J24="","",IGRF!J24)</f>
        <v>Triple Axel Rose</v>
      </c>
    </row>
    <row r="25" ht="31.5" customHeight="1">
      <c r="A25" s="442">
        <f>IF(Score!A25="", "",Score!A25 )</f>
        <v>17</v>
      </c>
      <c r="B25" s="443"/>
      <c r="C25" s="444" t="str">
        <f>IF(Score!B25="", "",Score!B25 )</f>
        <v>313</v>
      </c>
      <c r="D25" s="445"/>
      <c r="E25" s="445"/>
      <c r="F25" s="445"/>
      <c r="G25" s="444" t="s">
        <v>122</v>
      </c>
      <c r="H25" s="445"/>
      <c r="I25" s="445"/>
      <c r="J25" s="445"/>
      <c r="K25" s="444" t="s">
        <v>76</v>
      </c>
      <c r="L25" s="445"/>
      <c r="M25" s="445"/>
      <c r="N25" s="445"/>
      <c r="O25" s="444" t="s">
        <v>80</v>
      </c>
      <c r="P25" s="445"/>
      <c r="Q25" s="445"/>
      <c r="R25" s="445"/>
      <c r="S25" s="444" t="s">
        <v>124</v>
      </c>
      <c r="T25" s="445"/>
      <c r="U25" s="445"/>
      <c r="V25" s="446"/>
      <c r="W25" s="438">
        <f>IF(A25="","",SUMIF(SK!B$3:B$78,ROW(),SK!D$3:D$78))</f>
        <v>8</v>
      </c>
      <c r="X25" s="43"/>
      <c r="Y25" s="43"/>
      <c r="Z25" s="43"/>
      <c r="AA25" s="443">
        <f>IF(Score!T25="", "",Score!T25 )</f>
        <v>17</v>
      </c>
      <c r="AB25" s="443"/>
      <c r="AC25" s="444" t="str">
        <f>IF(Score!U25="", "",Score!U25 )</f>
        <v>15</v>
      </c>
      <c r="AD25" s="445"/>
      <c r="AE25" s="445"/>
      <c r="AF25" s="445"/>
      <c r="AG25" s="444" t="s">
        <v>114</v>
      </c>
      <c r="AH25" s="445"/>
      <c r="AI25" s="445"/>
      <c r="AJ25" s="445"/>
      <c r="AK25" s="444" t="s">
        <v>62</v>
      </c>
      <c r="AL25" s="445" t="s">
        <v>297</v>
      </c>
      <c r="AM25" s="445"/>
      <c r="AN25" s="445"/>
      <c r="AO25" s="444" t="s">
        <v>133</v>
      </c>
      <c r="AP25" s="445"/>
      <c r="AQ25" s="445"/>
      <c r="AR25" s="445"/>
      <c r="AS25" s="444" t="s">
        <v>298</v>
      </c>
      <c r="AT25" s="445"/>
      <c r="AU25" s="445"/>
      <c r="AV25" s="446"/>
      <c r="AW25" s="438">
        <f>IF(AA25="","",SUMIF(SK!R$3:R$78,ROW(),SK!T$3:T$78))</f>
        <v>0</v>
      </c>
      <c r="AX25" s="43"/>
      <c r="AY25" s="43"/>
      <c r="AZ25" s="43"/>
    </row>
    <row r="26" ht="31.5" customHeight="1">
      <c r="A26" s="447" t="str">
        <f>IF(Score!A26="", "",Score!A26 )</f>
        <v>SP*</v>
      </c>
      <c r="B26" s="441"/>
      <c r="C26" s="450" t="str">
        <f>IF(Score!B26="", "",Score!B26 )</f>
        <v/>
      </c>
      <c r="D26" s="445"/>
      <c r="E26" s="445"/>
      <c r="F26" s="445"/>
      <c r="G26" s="448"/>
      <c r="H26" s="445"/>
      <c r="I26" s="445"/>
      <c r="J26" s="445"/>
      <c r="K26" s="448"/>
      <c r="L26" s="445"/>
      <c r="M26" s="445"/>
      <c r="N26" s="445"/>
      <c r="O26" s="448"/>
      <c r="P26" s="445"/>
      <c r="Q26" s="445"/>
      <c r="R26" s="445"/>
      <c r="S26" s="448"/>
      <c r="T26" s="445"/>
      <c r="U26" s="445"/>
      <c r="V26" s="446"/>
      <c r="W26" s="438">
        <f>IF(A26="","",SUMIF(SK!B$3:B$78,ROW(),SK!D$3:D$78))</f>
        <v>0</v>
      </c>
      <c r="X26" s="43"/>
      <c r="Y26" s="439" t="str">
        <f>IF(IGRF!B25="","",IGRF!B25)</f>
        <v>3381</v>
      </c>
      <c r="Z26" s="440" t="str">
        <f>IF(IGRF!C25="","",IGRF!C25)</f>
        <v>Hella Naughty</v>
      </c>
      <c r="AA26" s="441" t="str">
        <f>IF(Score!T26="", "",Score!T26 )</f>
        <v>SP</v>
      </c>
      <c r="AB26" s="441" t="s">
        <v>231</v>
      </c>
      <c r="AC26" s="448" t="str">
        <f>IF(Score!U26="", "",Score!U26 )</f>
        <v>505</v>
      </c>
      <c r="AD26" s="445"/>
      <c r="AE26" s="445"/>
      <c r="AF26" s="445"/>
      <c r="AG26" s="448" t="s">
        <v>74</v>
      </c>
      <c r="AH26" s="445"/>
      <c r="AI26" s="445"/>
      <c r="AJ26" s="445"/>
      <c r="AK26" s="448" t="s">
        <v>62</v>
      </c>
      <c r="AL26" s="445"/>
      <c r="AM26" s="445"/>
      <c r="AN26" s="445"/>
      <c r="AO26" s="448" t="s">
        <v>133</v>
      </c>
      <c r="AP26" s="445"/>
      <c r="AQ26" s="445"/>
      <c r="AR26" s="445"/>
      <c r="AS26" s="448" t="s">
        <v>298</v>
      </c>
      <c r="AT26" s="445"/>
      <c r="AU26" s="445"/>
      <c r="AV26" s="446"/>
      <c r="AW26" s="438">
        <f>IF(AA26="","",SUMIF(SK!R$3:R$78,ROW(),SK!T$3:T$78))</f>
        <v>0</v>
      </c>
      <c r="AX26" s="43"/>
      <c r="AY26" s="439" t="str">
        <f>IF(IGRF!I25="","",IGRF!I25)</f>
        <v>410</v>
      </c>
      <c r="AZ26" s="440" t="str">
        <f>IF(IGRF!J25="","",IGRF!J25)</f>
        <v>Ricketts</v>
      </c>
    </row>
    <row r="27" ht="31.5" customHeight="1">
      <c r="A27" s="442">
        <f>IF(Score!A27="", "",Score!A27 )</f>
        <v>18</v>
      </c>
      <c r="B27" s="443"/>
      <c r="C27" s="444" t="str">
        <f>IF(Score!B27="", "",Score!B27 )</f>
        <v>3381</v>
      </c>
      <c r="D27" s="445" t="s">
        <v>295</v>
      </c>
      <c r="E27" s="445"/>
      <c r="F27" s="445"/>
      <c r="G27" s="444" t="s">
        <v>60</v>
      </c>
      <c r="H27" s="445" t="s">
        <v>295</v>
      </c>
      <c r="I27" s="445"/>
      <c r="J27" s="445"/>
      <c r="K27" s="444" t="s">
        <v>56</v>
      </c>
      <c r="L27" s="445"/>
      <c r="M27" s="445"/>
      <c r="N27" s="445"/>
      <c r="O27" s="444" t="s">
        <v>104</v>
      </c>
      <c r="P27" s="445"/>
      <c r="Q27" s="445"/>
      <c r="R27" s="445"/>
      <c r="S27" s="444" t="s">
        <v>88</v>
      </c>
      <c r="T27" s="445" t="s">
        <v>295</v>
      </c>
      <c r="U27" s="445" t="s">
        <v>296</v>
      </c>
      <c r="V27" s="446"/>
      <c r="W27" s="438">
        <f>IF(A27="","",SUMIF(SK!B$3:B$78,ROW(),SK!D$3:D$78))</f>
        <v>3</v>
      </c>
      <c r="X27" s="43"/>
      <c r="Y27" s="43"/>
      <c r="Z27" s="43"/>
      <c r="AA27" s="443">
        <f>IF(Score!T27="", "",Score!T27 )</f>
        <v>18</v>
      </c>
      <c r="AB27" s="443"/>
      <c r="AC27" s="444" t="str">
        <f>IF(Score!U27="", "",Score!U27 )</f>
        <v>329</v>
      </c>
      <c r="AD27" s="445"/>
      <c r="AE27" s="445"/>
      <c r="AF27" s="445"/>
      <c r="AG27" s="444" t="s">
        <v>90</v>
      </c>
      <c r="AH27" s="445"/>
      <c r="AI27" s="445"/>
      <c r="AJ27" s="445"/>
      <c r="AK27" s="444" t="s">
        <v>66</v>
      </c>
      <c r="AL27" s="445"/>
      <c r="AM27" s="445"/>
      <c r="AN27" s="445"/>
      <c r="AO27" s="444" t="s">
        <v>94</v>
      </c>
      <c r="AP27" s="445"/>
      <c r="AQ27" s="445"/>
      <c r="AR27" s="445"/>
      <c r="AS27" s="444" t="s">
        <v>62</v>
      </c>
      <c r="AT27" s="445"/>
      <c r="AU27" s="445"/>
      <c r="AV27" s="446"/>
      <c r="AW27" s="438">
        <f>IF(AA27="","",SUMIF(SK!R$3:R$78,ROW(),SK!T$3:T$78))</f>
        <v>12</v>
      </c>
      <c r="AX27" s="43"/>
      <c r="AY27" s="43"/>
      <c r="AZ27" s="43"/>
    </row>
    <row r="28" ht="31.5" customHeight="1">
      <c r="A28" s="447">
        <f>IF(Score!A28="", "",Score!A28 )</f>
        <v>19</v>
      </c>
      <c r="B28" s="441"/>
      <c r="C28" s="448" t="str">
        <f>IF(Score!B28="", "",Score!B28 )</f>
        <v>10</v>
      </c>
      <c r="D28" s="445"/>
      <c r="E28" s="445"/>
      <c r="F28" s="445"/>
      <c r="G28" s="448" t="s">
        <v>120</v>
      </c>
      <c r="H28" s="445"/>
      <c r="I28" s="445"/>
      <c r="J28" s="445"/>
      <c r="K28" s="448" t="s">
        <v>76</v>
      </c>
      <c r="L28" s="445"/>
      <c r="M28" s="445"/>
      <c r="N28" s="445"/>
      <c r="O28" s="448" t="s">
        <v>80</v>
      </c>
      <c r="P28" s="445"/>
      <c r="Q28" s="445"/>
      <c r="R28" s="445"/>
      <c r="S28" s="448" t="s">
        <v>88</v>
      </c>
      <c r="T28" s="445" t="s">
        <v>297</v>
      </c>
      <c r="U28" s="445"/>
      <c r="V28" s="446"/>
      <c r="W28" s="438">
        <f>IF(A28="","",SUMIF(SK!B$3:B$78,ROW(),SK!D$3:D$78))</f>
        <v>0</v>
      </c>
      <c r="X28" s="43"/>
      <c r="Y28" s="439" t="str">
        <f>IF(IGRF!B26="","",IGRF!B26)</f>
        <v>38</v>
      </c>
      <c r="Z28" s="440" t="str">
        <f>IF(IGRF!C26="","",IGRF!C26)</f>
        <v>Colette Razorcat</v>
      </c>
      <c r="AA28" s="441">
        <f>IF(Score!T28="", "",Score!T28 )</f>
        <v>19</v>
      </c>
      <c r="AB28" s="441"/>
      <c r="AC28" s="448" t="str">
        <f>IF(Score!U28="", "",Score!U28 )</f>
        <v>9</v>
      </c>
      <c r="AD28" s="445"/>
      <c r="AE28" s="445"/>
      <c r="AF28" s="445"/>
      <c r="AG28" s="448" t="s">
        <v>114</v>
      </c>
      <c r="AH28" s="445"/>
      <c r="AI28" s="445"/>
      <c r="AJ28" s="445"/>
      <c r="AK28" s="448" t="s">
        <v>133</v>
      </c>
      <c r="AL28" s="445"/>
      <c r="AM28" s="445"/>
      <c r="AN28" s="445"/>
      <c r="AO28" s="448" t="s">
        <v>102</v>
      </c>
      <c r="AP28" s="445"/>
      <c r="AQ28" s="445"/>
      <c r="AR28" s="445"/>
      <c r="AS28" s="448" t="s">
        <v>82</v>
      </c>
      <c r="AT28" s="445"/>
      <c r="AU28" s="445"/>
      <c r="AV28" s="446"/>
      <c r="AW28" s="438">
        <f>IF(AA28="","",SUMIF(SK!R$3:R$78,ROW(),SK!T$3:T$78))</f>
        <v>0</v>
      </c>
      <c r="AX28" s="43"/>
      <c r="AY28" s="439" t="str">
        <f>IF(IGRF!I26="","",IGRF!I26)</f>
        <v>47</v>
      </c>
      <c r="AZ28" s="440" t="str">
        <f>IF(IGRF!J26="","",IGRF!J26)</f>
        <v>Author of Pain</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394</v>
      </c>
      <c r="Z30" s="440" t="str">
        <f>IF(IGRF!C27="","",IGRF!C27)</f>
        <v>Punkie Pie</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484*</v>
      </c>
      <c r="AZ30" s="440" t="str">
        <f>IF(IGRF!J27="","",IGRF!J27)</f>
        <v>Gemineye</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4</v>
      </c>
      <c r="Z32" s="440" t="str">
        <f>IF(IGRF!C28="","",IGRF!C28)</f>
        <v>Sure, man</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505</v>
      </c>
      <c r="AZ32" s="440" t="str">
        <f>IF(IGRF!J28="","",IGRF!J28)</f>
        <v>Swearin' Marie</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602*</v>
      </c>
      <c r="Z34" s="440" t="str">
        <f>IF(IGRF!C29="","",IGRF!C29)</f>
        <v>Feen-X</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75*</v>
      </c>
      <c r="AZ34" s="440" t="str">
        <f>IF(IGRF!J29="","",IGRF!J29)</f>
        <v>TamTrum</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v>
      </c>
      <c r="Z36" s="440" t="str">
        <f>IF(IGRF!C30="","",IGRF!C30)</f>
        <v>Skatie Katie</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88</v>
      </c>
      <c r="AZ36" s="440" t="str">
        <f>IF(IGRF!J30="","",IGRF!J30)</f>
        <v>Rocktopus</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76</v>
      </c>
      <c r="Z38" s="440" t="str">
        <f>IF(IGRF!C31="","",IGRF!C31)</f>
        <v>Queen Loseyateefa</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v>
      </c>
      <c r="AZ38" s="440" t="str">
        <f>IF(IGRF!J31="","",IGRF!J31)</f>
        <v>Kell's Inferno</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88</v>
      </c>
      <c r="Z40" s="440" t="str">
        <f>IF(IGRF!C32="","",IGRF!C32)</f>
        <v>MsMURDR</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913*</v>
      </c>
      <c r="AZ40" s="440" t="str">
        <f>IF(IGRF!J32="","",IGRF!J32)</f>
        <v>Termiskater</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96*</v>
      </c>
      <c r="Z41" s="455" t="str">
        <f>IF(IGRF!C33="","",IGRF!C33)</f>
        <v>Weird Flex</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999</v>
      </c>
      <c r="AZ41" s="455" t="str">
        <f>IF(IGRF!J33="","",IGRF!J33)</f>
        <v>Amanda Jamitinya</v>
      </c>
    </row>
    <row r="42" ht="15.0" customHeight="1">
      <c r="A42" s="457" t="s">
        <v>299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Arizona Roller Derby / All Stars</v>
      </c>
      <c r="B43" s="207"/>
      <c r="C43" s="207"/>
      <c r="D43" s="207"/>
      <c r="E43" s="207"/>
      <c r="F43" s="207"/>
      <c r="G43" s="208"/>
      <c r="H43" s="209" t="str">
        <f>H1</f>
        <v>White</v>
      </c>
      <c r="I43" s="153"/>
      <c r="J43" s="153"/>
      <c r="K43" s="153"/>
      <c r="L43" s="420">
        <f>L1</f>
        <v>45128</v>
      </c>
      <c r="M43" s="170"/>
      <c r="N43" s="170"/>
      <c r="O43" s="213"/>
      <c r="P43" s="421" t="s">
        <v>174</v>
      </c>
      <c r="Q43" s="153"/>
      <c r="R43" s="153"/>
      <c r="S43" s="153"/>
      <c r="T43" s="153"/>
      <c r="U43" s="153"/>
      <c r="V43" s="153"/>
      <c r="W43" s="153"/>
      <c r="X43" s="153"/>
      <c r="Y43" s="153"/>
      <c r="Z43" s="422">
        <v>2.0</v>
      </c>
      <c r="AA43" s="419" t="str">
        <f>AA1</f>
        <v>Elevated Roller Derby / Elevated Roller Derby All Stars</v>
      </c>
      <c r="AB43" s="207"/>
      <c r="AC43" s="207"/>
      <c r="AD43" s="207"/>
      <c r="AE43" s="207"/>
      <c r="AF43" s="207"/>
      <c r="AG43" s="208"/>
      <c r="AH43" s="209" t="str">
        <f>AH1</f>
        <v>Black</v>
      </c>
      <c r="AI43" s="153"/>
      <c r="AJ43" s="153"/>
      <c r="AK43" s="153"/>
      <c r="AL43" s="420">
        <f>AL1</f>
        <v>45128</v>
      </c>
      <c r="AM43" s="170"/>
      <c r="AN43" s="170"/>
      <c r="AO43" s="213"/>
      <c r="AP43" s="421" t="s">
        <v>170</v>
      </c>
      <c r="AQ43" s="153"/>
      <c r="AR43" s="153"/>
      <c r="AS43" s="153"/>
      <c r="AT43" s="153"/>
      <c r="AU43" s="153"/>
      <c r="AV43" s="153"/>
      <c r="AW43" s="153"/>
      <c r="AX43" s="153"/>
      <c r="AY43" s="153"/>
      <c r="AZ43" s="422">
        <v>2.0</v>
      </c>
    </row>
    <row r="44" ht="15.0" customHeight="1">
      <c r="A44" s="216"/>
      <c r="B44" s="20"/>
      <c r="C44" s="20"/>
      <c r="D44" s="20"/>
      <c r="E44" s="20"/>
      <c r="F44" s="20"/>
      <c r="G44" s="158"/>
      <c r="H44" s="423" t="s">
        <v>209</v>
      </c>
      <c r="I44" s="71"/>
      <c r="J44" s="71"/>
      <c r="K44" s="71"/>
      <c r="L44" s="424" t="s">
        <v>210</v>
      </c>
      <c r="M44" s="71"/>
      <c r="N44" s="71"/>
      <c r="O44" s="72"/>
      <c r="P44" s="425" t="s">
        <v>287</v>
      </c>
      <c r="Q44" s="20"/>
      <c r="R44" s="20"/>
      <c r="S44" s="20"/>
      <c r="T44" s="20"/>
      <c r="U44" s="20"/>
      <c r="V44" s="20"/>
      <c r="W44" s="20"/>
      <c r="X44" s="20"/>
      <c r="Y44" s="20"/>
      <c r="Z44" s="426" t="str">
        <f>Z2</f>
        <v>GAME 03</v>
      </c>
      <c r="AA44" s="216"/>
      <c r="AB44" s="20"/>
      <c r="AC44" s="20"/>
      <c r="AD44" s="20"/>
      <c r="AE44" s="20"/>
      <c r="AF44" s="20"/>
      <c r="AG44" s="158"/>
      <c r="AH44" s="423" t="s">
        <v>209</v>
      </c>
      <c r="AI44" s="71"/>
      <c r="AJ44" s="71"/>
      <c r="AK44" s="71"/>
      <c r="AL44" s="424" t="s">
        <v>210</v>
      </c>
      <c r="AM44" s="71"/>
      <c r="AN44" s="71"/>
      <c r="AO44" s="72"/>
      <c r="AP44" s="425" t="s">
        <v>287</v>
      </c>
      <c r="AQ44" s="20"/>
      <c r="AR44" s="20"/>
      <c r="AS44" s="20"/>
      <c r="AT44" s="20"/>
      <c r="AU44" s="20"/>
      <c r="AV44" s="20"/>
      <c r="AW44" s="20"/>
      <c r="AX44" s="20"/>
      <c r="AY44" s="20"/>
      <c r="AZ44" s="426" t="str">
        <f>AZ2</f>
        <v>GAME 03</v>
      </c>
    </row>
    <row r="45" ht="13.5" customHeight="1">
      <c r="A45" s="427" t="s">
        <v>288</v>
      </c>
      <c r="B45" s="428" t="s">
        <v>289</v>
      </c>
      <c r="C45" s="429" t="s">
        <v>290</v>
      </c>
      <c r="D45" s="430" t="s">
        <v>291</v>
      </c>
      <c r="E45" s="45"/>
      <c r="F45" s="431"/>
      <c r="G45" s="429" t="s">
        <v>292</v>
      </c>
      <c r="H45" s="430" t="s">
        <v>291</v>
      </c>
      <c r="I45" s="45"/>
      <c r="J45" s="431"/>
      <c r="K45" s="429" t="s">
        <v>293</v>
      </c>
      <c r="L45" s="430" t="s">
        <v>291</v>
      </c>
      <c r="M45" s="45"/>
      <c r="N45" s="431"/>
      <c r="O45" s="429" t="s">
        <v>293</v>
      </c>
      <c r="P45" s="430" t="s">
        <v>291</v>
      </c>
      <c r="Q45" s="45"/>
      <c r="R45" s="431"/>
      <c r="S45" s="429" t="s">
        <v>293</v>
      </c>
      <c r="T45" s="430" t="s">
        <v>291</v>
      </c>
      <c r="U45" s="45"/>
      <c r="V45" s="431"/>
      <c r="W45" s="432"/>
      <c r="X45" s="458" t="s">
        <v>294</v>
      </c>
      <c r="Y45" s="14"/>
      <c r="Z45" s="15"/>
      <c r="AA45" s="427" t="s">
        <v>288</v>
      </c>
      <c r="AB45" s="428" t="s">
        <v>289</v>
      </c>
      <c r="AC45" s="429" t="s">
        <v>290</v>
      </c>
      <c r="AD45" s="430" t="s">
        <v>291</v>
      </c>
      <c r="AE45" s="45"/>
      <c r="AF45" s="431"/>
      <c r="AG45" s="429" t="s">
        <v>292</v>
      </c>
      <c r="AH45" s="430" t="s">
        <v>291</v>
      </c>
      <c r="AI45" s="45"/>
      <c r="AJ45" s="431"/>
      <c r="AK45" s="429" t="s">
        <v>293</v>
      </c>
      <c r="AL45" s="430" t="s">
        <v>291</v>
      </c>
      <c r="AM45" s="45"/>
      <c r="AN45" s="431"/>
      <c r="AO45" s="429" t="s">
        <v>293</v>
      </c>
      <c r="AP45" s="430" t="s">
        <v>291</v>
      </c>
      <c r="AQ45" s="45"/>
      <c r="AR45" s="431"/>
      <c r="AS45" s="429" t="s">
        <v>293</v>
      </c>
      <c r="AT45" s="430" t="s">
        <v>291</v>
      </c>
      <c r="AU45" s="45"/>
      <c r="AV45" s="431"/>
      <c r="AW45" s="432"/>
      <c r="AX45" s="430" t="s">
        <v>294</v>
      </c>
      <c r="AY45" s="45"/>
      <c r="AZ45" s="46"/>
    </row>
    <row r="46" ht="31.5" customHeight="1">
      <c r="A46" s="447">
        <f>IF(Score!A46="", "",Score!A46 )</f>
        <v>1</v>
      </c>
      <c r="B46" s="441"/>
      <c r="C46" s="448" t="str">
        <f>IF(Score!B46="", "",Score!B46 )</f>
        <v>394</v>
      </c>
      <c r="D46" s="445"/>
      <c r="E46" s="445"/>
      <c r="F46" s="445"/>
      <c r="G46" s="448" t="s">
        <v>56</v>
      </c>
      <c r="H46" s="445"/>
      <c r="I46" s="445"/>
      <c r="J46" s="445"/>
      <c r="K46" s="448" t="s">
        <v>92</v>
      </c>
      <c r="L46" s="445"/>
      <c r="M46" s="445"/>
      <c r="N46" s="445"/>
      <c r="O46" s="448" t="s">
        <v>104</v>
      </c>
      <c r="P46" s="445"/>
      <c r="Q46" s="445"/>
      <c r="R46" s="445"/>
      <c r="S46" s="448" t="s">
        <v>112</v>
      </c>
      <c r="T46" s="445"/>
      <c r="U46" s="445"/>
      <c r="V46" s="446"/>
      <c r="W46" s="438">
        <f>IF(A46="","",SUMIF(SK!B$88:B$163,ROW(),SK!D$88:D$163))</f>
        <v>12</v>
      </c>
      <c r="X46" s="43"/>
      <c r="Y46" s="439" t="str">
        <f t="shared" ref="Y46:Z46" si="1">Y4</f>
        <v>01</v>
      </c>
      <c r="Z46" s="440" t="str">
        <f t="shared" si="1"/>
        <v>Goldy Knocks</v>
      </c>
      <c r="AA46" s="459">
        <f>IF(Score!T46="", "",Score!T46 )</f>
        <v>1</v>
      </c>
      <c r="AB46" s="441"/>
      <c r="AC46" s="448" t="str">
        <f>IF(Score!U46="", "",Score!U46 )</f>
        <v>15</v>
      </c>
      <c r="AD46" s="445"/>
      <c r="AE46" s="445"/>
      <c r="AF46" s="445"/>
      <c r="AG46" s="448" t="s">
        <v>114</v>
      </c>
      <c r="AH46" s="445" t="s">
        <v>296</v>
      </c>
      <c r="AI46" s="445"/>
      <c r="AJ46" s="445"/>
      <c r="AK46" s="448" t="s">
        <v>133</v>
      </c>
      <c r="AL46" s="445"/>
      <c r="AM46" s="445"/>
      <c r="AN46" s="445"/>
      <c r="AO46" s="448" t="s">
        <v>102</v>
      </c>
      <c r="AP46" s="445"/>
      <c r="AQ46" s="445"/>
      <c r="AR46" s="445"/>
      <c r="AS46" s="448" t="s">
        <v>82</v>
      </c>
      <c r="AT46" s="445"/>
      <c r="AU46" s="445"/>
      <c r="AV46" s="446"/>
      <c r="AW46" s="438">
        <f>IF(AA46="","",SUMIF(SK!R$88:R$163,ROW(),SK!T$88:T$163))</f>
        <v>0</v>
      </c>
      <c r="AX46" s="43"/>
      <c r="AY46" s="439" t="str">
        <f t="shared" ref="AY46:AZ46" si="2">AY4</f>
        <v>10*</v>
      </c>
      <c r="AZ46" s="460" t="str">
        <f t="shared" si="2"/>
        <v>BAMPF!</v>
      </c>
    </row>
    <row r="47" ht="31.5" customHeight="1">
      <c r="A47" s="442">
        <f>IF(Score!A47="", "",Score!A47 )</f>
        <v>2</v>
      </c>
      <c r="B47" s="443"/>
      <c r="C47" s="444" t="str">
        <f>IF(Score!B47="", "",Score!B47 )</f>
        <v>313</v>
      </c>
      <c r="D47" s="445"/>
      <c r="E47" s="445"/>
      <c r="F47" s="445"/>
      <c r="G47" s="444" t="s">
        <v>56</v>
      </c>
      <c r="H47" s="445" t="s">
        <v>297</v>
      </c>
      <c r="I47" s="445"/>
      <c r="J47" s="445"/>
      <c r="K47" s="444" t="s">
        <v>76</v>
      </c>
      <c r="L47" s="445"/>
      <c r="M47" s="445"/>
      <c r="N47" s="445"/>
      <c r="O47" s="444" t="s">
        <v>124</v>
      </c>
      <c r="P47" s="445"/>
      <c r="Q47" s="445"/>
      <c r="R47" s="445"/>
      <c r="S47" s="444" t="s">
        <v>122</v>
      </c>
      <c r="T47" s="445"/>
      <c r="U47" s="445"/>
      <c r="V47" s="446"/>
      <c r="W47" s="438">
        <f>IF(A47="","",SUMIF(SK!B$88:B$163,ROW(),SK!D$88:D$163))</f>
        <v>15</v>
      </c>
      <c r="X47" s="43"/>
      <c r="Y47" s="43"/>
      <c r="Z47" s="440"/>
      <c r="AA47" s="461">
        <f>IF(Score!T47="", "",Score!T47 )</f>
        <v>2</v>
      </c>
      <c r="AB47" s="443"/>
      <c r="AC47" s="444" t="str">
        <f>IF(Score!U47="", "",Score!U47 )</f>
        <v>329</v>
      </c>
      <c r="AD47" s="445" t="s">
        <v>296</v>
      </c>
      <c r="AE47" s="445"/>
      <c r="AF47" s="445"/>
      <c r="AG47" s="444" t="s">
        <v>114</v>
      </c>
      <c r="AH47" s="445" t="s">
        <v>297</v>
      </c>
      <c r="AI47" s="445" t="s">
        <v>296</v>
      </c>
      <c r="AJ47" s="445"/>
      <c r="AK47" s="444" t="s">
        <v>94</v>
      </c>
      <c r="AL47" s="445"/>
      <c r="AM47" s="445"/>
      <c r="AN47" s="445"/>
      <c r="AO47" s="444" t="s">
        <v>90</v>
      </c>
      <c r="AP47" s="445"/>
      <c r="AQ47" s="445"/>
      <c r="AR47" s="445"/>
      <c r="AS47" s="444" t="s">
        <v>62</v>
      </c>
      <c r="AT47" s="445"/>
      <c r="AU47" s="445"/>
      <c r="AV47" s="446"/>
      <c r="AW47" s="438">
        <f>IF(AA47="","",SUMIF(SK!R$88:R$163,ROW(),SK!T$88:T$163))</f>
        <v>0</v>
      </c>
      <c r="AX47" s="43"/>
      <c r="AY47" s="43"/>
      <c r="AZ47" s="440"/>
    </row>
    <row r="48" ht="31.5" customHeight="1">
      <c r="A48" s="447">
        <f>IF(Score!A48="", "",Score!A48 )</f>
        <v>3</v>
      </c>
      <c r="B48" s="441"/>
      <c r="C48" s="448" t="str">
        <f>IF(Score!B48="", "",Score!B48 )</f>
        <v>3381</v>
      </c>
      <c r="D48" s="445"/>
      <c r="E48" s="445"/>
      <c r="F48" s="445"/>
      <c r="G48" s="448" t="s">
        <v>60</v>
      </c>
      <c r="H48" s="445"/>
      <c r="I48" s="445"/>
      <c r="J48" s="445"/>
      <c r="K48" s="448" t="s">
        <v>88</v>
      </c>
      <c r="L48" s="445"/>
      <c r="M48" s="445"/>
      <c r="N48" s="445"/>
      <c r="O48" s="448" t="s">
        <v>92</v>
      </c>
      <c r="P48" s="445"/>
      <c r="Q48" s="445"/>
      <c r="R48" s="445"/>
      <c r="S48" s="448" t="s">
        <v>104</v>
      </c>
      <c r="T48" s="445"/>
      <c r="U48" s="445"/>
      <c r="V48" s="446"/>
      <c r="W48" s="438">
        <f>IF(A48="","",SUMIF(SK!B$88:B$163,ROW(),SK!D$88:D$163))</f>
        <v>12</v>
      </c>
      <c r="X48" s="43"/>
      <c r="Y48" s="439" t="str">
        <f t="shared" ref="Y48:Z48" si="3">Y6</f>
        <v>024</v>
      </c>
      <c r="Z48" s="440" t="str">
        <f t="shared" si="3"/>
        <v>Cutty</v>
      </c>
      <c r="AA48" s="459">
        <f>IF(Score!T48="", "",Score!T48 )</f>
        <v>3</v>
      </c>
      <c r="AB48" s="441"/>
      <c r="AC48" s="448" t="str">
        <f>IF(Score!U48="", "",Score!U48 )</f>
        <v>329</v>
      </c>
      <c r="AD48" s="445" t="s">
        <v>297</v>
      </c>
      <c r="AE48" s="445"/>
      <c r="AF48" s="445"/>
      <c r="AG48" s="448" t="s">
        <v>114</v>
      </c>
      <c r="AH48" s="445" t="s">
        <v>297</v>
      </c>
      <c r="AI48" s="445"/>
      <c r="AJ48" s="445"/>
      <c r="AK48" s="448" t="s">
        <v>133</v>
      </c>
      <c r="AL48" s="445"/>
      <c r="AM48" s="445"/>
      <c r="AN48" s="445"/>
      <c r="AO48" s="448" t="s">
        <v>82</v>
      </c>
      <c r="AP48" s="445"/>
      <c r="AQ48" s="445"/>
      <c r="AR48" s="445"/>
      <c r="AS48" s="448" t="s">
        <v>94</v>
      </c>
      <c r="AT48" s="445"/>
      <c r="AU48" s="445"/>
      <c r="AV48" s="446"/>
      <c r="AW48" s="438">
        <f>IF(AA48="","",SUMIF(SK!R$88:R$163,ROW(),SK!T$88:T$163))</f>
        <v>0</v>
      </c>
      <c r="AX48" s="43"/>
      <c r="AY48" s="439" t="str">
        <f t="shared" ref="AY48:AZ48" si="4">AY6</f>
        <v>11</v>
      </c>
      <c r="AZ48" s="440" t="str">
        <f t="shared" si="4"/>
        <v>Killer Queen</v>
      </c>
    </row>
    <row r="49" ht="31.5" customHeight="1">
      <c r="A49" s="442" t="str">
        <f>IF(Score!A49="", "",Score!A49 )</f>
        <v>SP*</v>
      </c>
      <c r="B49" s="443"/>
      <c r="C49" s="449" t="str">
        <f>IF(Score!B49="", "",Score!B49 )</f>
        <v/>
      </c>
      <c r="D49" s="445"/>
      <c r="E49" s="445"/>
      <c r="F49" s="445"/>
      <c r="G49" s="444"/>
      <c r="H49" s="445"/>
      <c r="I49" s="445"/>
      <c r="J49" s="445"/>
      <c r="K49" s="444"/>
      <c r="L49" s="445"/>
      <c r="M49" s="445"/>
      <c r="N49" s="445"/>
      <c r="O49" s="444"/>
      <c r="P49" s="445"/>
      <c r="Q49" s="445"/>
      <c r="R49" s="445"/>
      <c r="S49" s="444"/>
      <c r="T49" s="445"/>
      <c r="U49" s="445"/>
      <c r="V49" s="446"/>
      <c r="W49" s="438">
        <f>IF(A49="","",SUMIF(SK!B$88:B$163,ROW(),SK!D$88:D$163))</f>
        <v>0</v>
      </c>
      <c r="X49" s="43"/>
      <c r="Y49" s="43"/>
      <c r="Z49" s="440"/>
      <c r="AA49" s="461" t="str">
        <f>IF(Score!T49="", "",Score!T49 )</f>
        <v>SP</v>
      </c>
      <c r="AB49" s="443" t="s">
        <v>231</v>
      </c>
      <c r="AC49" s="444" t="str">
        <f>IF(Score!U49="", "",Score!U49 )</f>
        <v>505</v>
      </c>
      <c r="AD49" s="445"/>
      <c r="AE49" s="445"/>
      <c r="AF49" s="445"/>
      <c r="AG49" s="444" t="s">
        <v>98</v>
      </c>
      <c r="AH49" s="445"/>
      <c r="AI49" s="445"/>
      <c r="AJ49" s="445"/>
      <c r="AK49" s="444" t="s">
        <v>133</v>
      </c>
      <c r="AL49" s="445"/>
      <c r="AM49" s="445"/>
      <c r="AN49" s="445"/>
      <c r="AO49" s="444" t="s">
        <v>82</v>
      </c>
      <c r="AP49" s="445"/>
      <c r="AQ49" s="445"/>
      <c r="AR49" s="445"/>
      <c r="AS49" s="444" t="s">
        <v>94</v>
      </c>
      <c r="AT49" s="445"/>
      <c r="AU49" s="445"/>
      <c r="AV49" s="446"/>
      <c r="AW49" s="438">
        <f>IF(AA49="","",SUMIF(SK!R$88:R$163,ROW(),SK!T$88:T$163))</f>
        <v>0</v>
      </c>
      <c r="AX49" s="43"/>
      <c r="AY49" s="43"/>
      <c r="AZ49" s="440"/>
    </row>
    <row r="50" ht="31.5" customHeight="1">
      <c r="A50" s="447">
        <f>IF(Score!A50="", "",Score!A50 )</f>
        <v>4</v>
      </c>
      <c r="B50" s="441"/>
      <c r="C50" s="448" t="str">
        <f>IF(Score!B50="", "",Score!B50 )</f>
        <v>10</v>
      </c>
      <c r="D50" s="445"/>
      <c r="E50" s="445"/>
      <c r="F50" s="445"/>
      <c r="G50" s="448" t="s">
        <v>120</v>
      </c>
      <c r="H50" s="445"/>
      <c r="I50" s="445"/>
      <c r="J50" s="445"/>
      <c r="K50" s="448" t="s">
        <v>122</v>
      </c>
      <c r="L50" s="445" t="s">
        <v>295</v>
      </c>
      <c r="M50" s="445"/>
      <c r="N50" s="445"/>
      <c r="O50" s="448" t="s">
        <v>76</v>
      </c>
      <c r="P50" s="445"/>
      <c r="Q50" s="445"/>
      <c r="R50" s="445"/>
      <c r="S50" s="448" t="s">
        <v>80</v>
      </c>
      <c r="T50" s="445" t="s">
        <v>295</v>
      </c>
      <c r="U50" s="445"/>
      <c r="V50" s="446"/>
      <c r="W50" s="438">
        <f>IF(A50="","",SUMIF(SK!B$88:B$163,ROW(),SK!D$88:D$163))</f>
        <v>16</v>
      </c>
      <c r="X50" s="43"/>
      <c r="Y50" s="439" t="str">
        <f t="shared" ref="Y50:Z50" si="5">Y8</f>
        <v>10</v>
      </c>
      <c r="Z50" s="440" t="str">
        <f t="shared" si="5"/>
        <v>Frida</v>
      </c>
      <c r="AA50" s="459">
        <f>IF(Score!T50="", "",Score!T50 )</f>
        <v>4</v>
      </c>
      <c r="AB50" s="441"/>
      <c r="AC50" s="448" t="str">
        <f>IF(Score!U50="", "",Score!U50 )</f>
        <v>9</v>
      </c>
      <c r="AD50" s="445"/>
      <c r="AE50" s="445"/>
      <c r="AF50" s="445"/>
      <c r="AG50" s="448" t="s">
        <v>90</v>
      </c>
      <c r="AH50" s="445"/>
      <c r="AI50" s="445"/>
      <c r="AJ50" s="445"/>
      <c r="AK50" s="448" t="s">
        <v>66</v>
      </c>
      <c r="AL50" s="445"/>
      <c r="AM50" s="445"/>
      <c r="AN50" s="445"/>
      <c r="AO50" s="448" t="s">
        <v>62</v>
      </c>
      <c r="AP50" s="445"/>
      <c r="AQ50" s="445"/>
      <c r="AR50" s="445"/>
      <c r="AS50" s="448" t="s">
        <v>94</v>
      </c>
      <c r="AT50" s="445"/>
      <c r="AU50" s="445"/>
      <c r="AV50" s="446"/>
      <c r="AW50" s="438">
        <f>IF(AA50="","",SUMIF(SK!R$88:R$163,ROW(),SK!T$88:T$163))</f>
        <v>4</v>
      </c>
      <c r="AX50" s="43"/>
      <c r="AY50" s="439" t="str">
        <f t="shared" ref="AY50:AZ50" si="6">AY8</f>
        <v>120</v>
      </c>
      <c r="AZ50" s="440" t="str">
        <f t="shared" si="6"/>
        <v>Nikki Nail 'er</v>
      </c>
    </row>
    <row r="51" ht="31.5" customHeight="1">
      <c r="A51" s="442">
        <f>IF(Score!A51="", "",Score!A51 )</f>
        <v>5</v>
      </c>
      <c r="B51" s="443"/>
      <c r="C51" s="444" t="str">
        <f>IF(Score!B51="", "",Score!B51 )</f>
        <v>394</v>
      </c>
      <c r="D51" s="445"/>
      <c r="E51" s="445"/>
      <c r="F51" s="445"/>
      <c r="G51" s="444" t="s">
        <v>60</v>
      </c>
      <c r="H51" s="445"/>
      <c r="I51" s="445"/>
      <c r="J51" s="445"/>
      <c r="K51" s="444" t="s">
        <v>56</v>
      </c>
      <c r="L51" s="445"/>
      <c r="M51" s="445"/>
      <c r="N51" s="445"/>
      <c r="O51" s="444" t="s">
        <v>112</v>
      </c>
      <c r="P51" s="445"/>
      <c r="Q51" s="445"/>
      <c r="R51" s="445"/>
      <c r="S51" s="444" t="s">
        <v>88</v>
      </c>
      <c r="T51" s="445"/>
      <c r="U51" s="445"/>
      <c r="V51" s="446"/>
      <c r="W51" s="438">
        <f>IF(A51="","",SUMIF(SK!B$88:B$163,ROW(),SK!D$88:D$163))</f>
        <v>12</v>
      </c>
      <c r="X51" s="43"/>
      <c r="Y51" s="43"/>
      <c r="Z51" s="440"/>
      <c r="AA51" s="461">
        <f>IF(Score!T51="", "",Score!T51 )</f>
        <v>5</v>
      </c>
      <c r="AB51" s="443"/>
      <c r="AC51" s="444" t="str">
        <f>IF(Score!U51="", "",Score!U51 )</f>
        <v>15</v>
      </c>
      <c r="AD51" s="445"/>
      <c r="AE51" s="445"/>
      <c r="AF51" s="445"/>
      <c r="AG51" s="444" t="s">
        <v>114</v>
      </c>
      <c r="AH51" s="445"/>
      <c r="AI51" s="445"/>
      <c r="AJ51" s="445"/>
      <c r="AK51" s="444" t="s">
        <v>133</v>
      </c>
      <c r="AL51" s="445"/>
      <c r="AM51" s="445"/>
      <c r="AN51" s="445"/>
      <c r="AO51" s="444" t="s">
        <v>102</v>
      </c>
      <c r="AP51" s="445"/>
      <c r="AQ51" s="445"/>
      <c r="AR51" s="445"/>
      <c r="AS51" s="444" t="s">
        <v>82</v>
      </c>
      <c r="AT51" s="445"/>
      <c r="AU51" s="445"/>
      <c r="AV51" s="446"/>
      <c r="AW51" s="438">
        <f>IF(AA51="","",SUMIF(SK!R$88:R$163,ROW(),SK!T$88:T$163))</f>
        <v>0</v>
      </c>
      <c r="AX51" s="43"/>
      <c r="AY51" s="43"/>
      <c r="AZ51" s="440"/>
    </row>
    <row r="52" ht="31.5" customHeight="1">
      <c r="A52" s="447">
        <f>IF(Score!A52="", "",Score!A52 )</f>
        <v>6</v>
      </c>
      <c r="B52" s="441"/>
      <c r="C52" s="448" t="str">
        <f>IF(Score!B52="", "",Score!B52 )</f>
        <v>313</v>
      </c>
      <c r="D52" s="445"/>
      <c r="E52" s="445"/>
      <c r="F52" s="445"/>
      <c r="G52" s="448" t="s">
        <v>120</v>
      </c>
      <c r="H52" s="445"/>
      <c r="I52" s="445"/>
      <c r="J52" s="445"/>
      <c r="K52" s="448" t="s">
        <v>124</v>
      </c>
      <c r="L52" s="445" t="s">
        <v>296</v>
      </c>
      <c r="M52" s="445"/>
      <c r="N52" s="445"/>
      <c r="O52" s="448" t="s">
        <v>122</v>
      </c>
      <c r="P52" s="445"/>
      <c r="Q52" s="445"/>
      <c r="R52" s="445"/>
      <c r="S52" s="448" t="s">
        <v>80</v>
      </c>
      <c r="T52" s="445"/>
      <c r="U52" s="445"/>
      <c r="V52" s="446"/>
      <c r="W52" s="438">
        <f>IF(A52="","",SUMIF(SK!B$88:B$163,ROW(),SK!D$88:D$163))</f>
        <v>12</v>
      </c>
      <c r="X52" s="43"/>
      <c r="Y52" s="439" t="str">
        <f t="shared" ref="Y52:Z52" si="7">Y10</f>
        <v>16*</v>
      </c>
      <c r="Z52" s="440" t="str">
        <f t="shared" si="7"/>
        <v>Just Monroe</v>
      </c>
      <c r="AA52" s="459">
        <f>IF(Score!T52="", "",Score!T52 )</f>
        <v>6</v>
      </c>
      <c r="AB52" s="441"/>
      <c r="AC52" s="448" t="str">
        <f>IF(Score!U52="", "",Score!U52 )</f>
        <v>329</v>
      </c>
      <c r="AD52" s="445"/>
      <c r="AE52" s="445"/>
      <c r="AF52" s="445"/>
      <c r="AG52" s="448" t="s">
        <v>90</v>
      </c>
      <c r="AH52" s="445"/>
      <c r="AI52" s="445"/>
      <c r="AJ52" s="445"/>
      <c r="AK52" s="448" t="s">
        <v>94</v>
      </c>
      <c r="AL52" s="445"/>
      <c r="AM52" s="445"/>
      <c r="AN52" s="445"/>
      <c r="AO52" s="448" t="s">
        <v>66</v>
      </c>
      <c r="AP52" s="445"/>
      <c r="AQ52" s="445"/>
      <c r="AR52" s="445"/>
      <c r="AS52" s="448" t="s">
        <v>82</v>
      </c>
      <c r="AT52" s="445" t="s">
        <v>297</v>
      </c>
      <c r="AU52" s="445"/>
      <c r="AV52" s="446"/>
      <c r="AW52" s="438">
        <f>IF(AA52="","",SUMIF(SK!R$88:R$163,ROW(),SK!T$88:T$163))</f>
        <v>0</v>
      </c>
      <c r="AX52" s="43"/>
      <c r="AY52" s="439" t="str">
        <f t="shared" ref="AY52:AZ52" si="8">AY10</f>
        <v>13</v>
      </c>
      <c r="AZ52" s="440" t="str">
        <f t="shared" si="8"/>
        <v>Libido Loca</v>
      </c>
    </row>
    <row r="53" ht="31.5" customHeight="1">
      <c r="A53" s="442" t="str">
        <f>IF(Score!A53="", "",Score!A53 )</f>
        <v>SP*</v>
      </c>
      <c r="B53" s="443"/>
      <c r="C53" s="449" t="str">
        <f>IF(Score!B53="", "",Score!B53 )</f>
        <v/>
      </c>
      <c r="D53" s="445"/>
      <c r="E53" s="445"/>
      <c r="F53" s="445"/>
      <c r="G53" s="444"/>
      <c r="H53" s="445"/>
      <c r="I53" s="445"/>
      <c r="J53" s="445"/>
      <c r="K53" s="444"/>
      <c r="L53" s="445"/>
      <c r="M53" s="445"/>
      <c r="N53" s="445"/>
      <c r="O53" s="444"/>
      <c r="P53" s="445"/>
      <c r="Q53" s="445"/>
      <c r="R53" s="445"/>
      <c r="S53" s="444"/>
      <c r="T53" s="445"/>
      <c r="U53" s="445"/>
      <c r="V53" s="446"/>
      <c r="W53" s="438">
        <f>IF(A53="","",SUMIF(SK!B$88:B$163,ROW(),SK!D$88:D$163))</f>
        <v>0</v>
      </c>
      <c r="X53" s="43"/>
      <c r="Y53" s="43"/>
      <c r="Z53" s="440"/>
      <c r="AA53" s="461" t="str">
        <f>IF(Score!T53="", "",Score!T53 )</f>
        <v>SP</v>
      </c>
      <c r="AB53" s="443" t="s">
        <v>231</v>
      </c>
      <c r="AC53" s="444" t="str">
        <f>IF(Score!U53="", "",Score!U53 )</f>
        <v>28</v>
      </c>
      <c r="AD53" s="445"/>
      <c r="AE53" s="445"/>
      <c r="AF53" s="445"/>
      <c r="AG53" s="444" t="s">
        <v>98</v>
      </c>
      <c r="AH53" s="445"/>
      <c r="AI53" s="445"/>
      <c r="AJ53" s="445"/>
      <c r="AK53" s="444" t="s">
        <v>94</v>
      </c>
      <c r="AL53" s="445"/>
      <c r="AM53" s="445"/>
      <c r="AN53" s="445"/>
      <c r="AO53" s="444" t="s">
        <v>66</v>
      </c>
      <c r="AP53" s="445"/>
      <c r="AQ53" s="445"/>
      <c r="AR53" s="445"/>
      <c r="AS53" s="444" t="s">
        <v>82</v>
      </c>
      <c r="AT53" s="445"/>
      <c r="AU53" s="445"/>
      <c r="AV53" s="446"/>
      <c r="AW53" s="438">
        <f>IF(AA53="","",SUMIF(SK!R$88:R$163,ROW(),SK!T$88:T$163))</f>
        <v>0</v>
      </c>
      <c r="AX53" s="43"/>
      <c r="AY53" s="43"/>
      <c r="AZ53" s="440"/>
    </row>
    <row r="54" ht="31.5" customHeight="1">
      <c r="A54" s="447">
        <f>IF(Score!A54="", "",Score!A54 )</f>
        <v>7</v>
      </c>
      <c r="B54" s="441"/>
      <c r="C54" s="448" t="str">
        <f>IF(Score!B54="", "",Score!B54 )</f>
        <v>3381</v>
      </c>
      <c r="D54" s="445"/>
      <c r="E54" s="445"/>
      <c r="F54" s="445"/>
      <c r="G54" s="448" t="s">
        <v>56</v>
      </c>
      <c r="H54" s="445"/>
      <c r="I54" s="445"/>
      <c r="J54" s="445"/>
      <c r="K54" s="448" t="s">
        <v>124</v>
      </c>
      <c r="L54" s="445" t="s">
        <v>297</v>
      </c>
      <c r="M54" s="445"/>
      <c r="N54" s="445"/>
      <c r="O54" s="448" t="s">
        <v>92</v>
      </c>
      <c r="P54" s="445"/>
      <c r="Q54" s="445"/>
      <c r="R54" s="445"/>
      <c r="S54" s="448" t="s">
        <v>104</v>
      </c>
      <c r="T54" s="445"/>
      <c r="U54" s="445"/>
      <c r="V54" s="446"/>
      <c r="W54" s="438">
        <f>IF(A54="","",SUMIF(SK!B$88:B$163,ROW(),SK!D$88:D$163))</f>
        <v>4</v>
      </c>
      <c r="X54" s="43"/>
      <c r="Y54" s="439" t="str">
        <f t="shared" ref="Y54:Z54" si="9">Y12</f>
        <v>22*</v>
      </c>
      <c r="Z54" s="440" t="str">
        <f t="shared" si="9"/>
        <v>Meche</v>
      </c>
      <c r="AA54" s="459">
        <f>IF(Score!T54="", "",Score!T54 )</f>
        <v>7</v>
      </c>
      <c r="AB54" s="441"/>
      <c r="AC54" s="448" t="str">
        <f>IF(Score!U54="", "",Score!U54 )</f>
        <v>9</v>
      </c>
      <c r="AD54" s="445"/>
      <c r="AE54" s="445"/>
      <c r="AF54" s="445"/>
      <c r="AG54" s="448" t="s">
        <v>114</v>
      </c>
      <c r="AH54" s="445"/>
      <c r="AI54" s="445"/>
      <c r="AJ54" s="445"/>
      <c r="AK54" s="448" t="s">
        <v>102</v>
      </c>
      <c r="AL54" s="445"/>
      <c r="AM54" s="445"/>
      <c r="AN54" s="445"/>
      <c r="AO54" s="448" t="s">
        <v>133</v>
      </c>
      <c r="AP54" s="445"/>
      <c r="AQ54" s="445"/>
      <c r="AR54" s="445"/>
      <c r="AS54" s="448" t="s">
        <v>82</v>
      </c>
      <c r="AT54" s="445"/>
      <c r="AU54" s="445"/>
      <c r="AV54" s="446"/>
      <c r="AW54" s="438">
        <f>IF(AA54="","",SUMIF(SK!R$88:R$163,ROW(),SK!T$88:T$163))</f>
        <v>4</v>
      </c>
      <c r="AX54" s="43"/>
      <c r="AY54" s="439" t="str">
        <f t="shared" ref="AY54:AZ54" si="10">AY12</f>
        <v>15</v>
      </c>
      <c r="AZ54" s="440" t="str">
        <f t="shared" si="10"/>
        <v>Harley Darlin</v>
      </c>
    </row>
    <row r="55" ht="31.5" customHeight="1">
      <c r="A55" s="442">
        <f>IF(Score!A55="", "",Score!A55 )</f>
        <v>8</v>
      </c>
      <c r="B55" s="443"/>
      <c r="C55" s="444" t="str">
        <f>IF(Score!B55="", "",Score!B55 )</f>
        <v>10</v>
      </c>
      <c r="D55" s="445"/>
      <c r="E55" s="445"/>
      <c r="F55" s="445"/>
      <c r="G55" s="444" t="s">
        <v>120</v>
      </c>
      <c r="H55" s="445"/>
      <c r="I55" s="445"/>
      <c r="J55" s="445"/>
      <c r="K55" s="444" t="s">
        <v>76</v>
      </c>
      <c r="L55" s="445"/>
      <c r="M55" s="445"/>
      <c r="N55" s="445"/>
      <c r="O55" s="444" t="s">
        <v>80</v>
      </c>
      <c r="P55" s="445"/>
      <c r="Q55" s="445"/>
      <c r="R55" s="445"/>
      <c r="S55" s="444" t="s">
        <v>122</v>
      </c>
      <c r="T55" s="445"/>
      <c r="U55" s="445"/>
      <c r="V55" s="446"/>
      <c r="W55" s="438">
        <f>IF(A55="","",SUMIF(SK!B$88:B$163,ROW(),SK!D$88:D$163))</f>
        <v>4</v>
      </c>
      <c r="X55" s="43"/>
      <c r="Y55" s="43"/>
      <c r="Z55" s="440"/>
      <c r="AA55" s="461">
        <f>IF(Score!T55="", "",Score!T55 )</f>
        <v>8</v>
      </c>
      <c r="AB55" s="443"/>
      <c r="AC55" s="444" t="str">
        <f>IF(Score!U55="", "",Score!U55 )</f>
        <v>15</v>
      </c>
      <c r="AD55" s="445"/>
      <c r="AE55" s="445"/>
      <c r="AF55" s="445"/>
      <c r="AG55" s="444" t="s">
        <v>90</v>
      </c>
      <c r="AH55" s="445"/>
      <c r="AI55" s="445"/>
      <c r="AJ55" s="445"/>
      <c r="AK55" s="444" t="s">
        <v>62</v>
      </c>
      <c r="AL55" s="445"/>
      <c r="AM55" s="445"/>
      <c r="AN55" s="445"/>
      <c r="AO55" s="444" t="s">
        <v>66</v>
      </c>
      <c r="AP55" s="445"/>
      <c r="AQ55" s="445"/>
      <c r="AR55" s="445"/>
      <c r="AS55" s="444" t="s">
        <v>94</v>
      </c>
      <c r="AT55" s="445"/>
      <c r="AU55" s="445"/>
      <c r="AV55" s="446"/>
      <c r="AW55" s="438">
        <f>IF(AA55="","",SUMIF(SK!R$88:R$163,ROW(),SK!T$88:T$163))</f>
        <v>4</v>
      </c>
      <c r="AX55" s="43"/>
      <c r="AY55" s="43"/>
      <c r="AZ55" s="440"/>
    </row>
    <row r="56" ht="31.5" customHeight="1">
      <c r="A56" s="447">
        <f>IF(Score!A56="", "",Score!A56 )</f>
        <v>9</v>
      </c>
      <c r="B56" s="441"/>
      <c r="C56" s="448" t="str">
        <f>IF(Score!B56="", "",Score!B56 )</f>
        <v>394</v>
      </c>
      <c r="D56" s="445"/>
      <c r="E56" s="445"/>
      <c r="F56" s="445"/>
      <c r="G56" s="448" t="s">
        <v>60</v>
      </c>
      <c r="H56" s="445"/>
      <c r="I56" s="445"/>
      <c r="J56" s="445"/>
      <c r="K56" s="448" t="s">
        <v>56</v>
      </c>
      <c r="L56" s="445"/>
      <c r="M56" s="445"/>
      <c r="N56" s="445"/>
      <c r="O56" s="448" t="s">
        <v>112</v>
      </c>
      <c r="P56" s="445"/>
      <c r="Q56" s="445"/>
      <c r="R56" s="445"/>
      <c r="S56" s="448" t="s">
        <v>88</v>
      </c>
      <c r="T56" s="445"/>
      <c r="U56" s="445"/>
      <c r="V56" s="446"/>
      <c r="W56" s="438">
        <f>IF(A56="","",SUMIF(SK!B$88:B$163,ROW(),SK!D$88:D$163))</f>
        <v>6</v>
      </c>
      <c r="X56" s="43"/>
      <c r="Y56" s="439" t="str">
        <f t="shared" ref="Y56:Z56" si="11">Y14</f>
        <v>24</v>
      </c>
      <c r="Z56" s="440" t="str">
        <f t="shared" si="11"/>
        <v>Ima BlowBya</v>
      </c>
      <c r="AA56" s="459">
        <f>IF(Score!T56="", "",Score!T56 )</f>
        <v>9</v>
      </c>
      <c r="AB56" s="441"/>
      <c r="AC56" s="448" t="str">
        <f>IF(Score!U56="", "",Score!U56 )</f>
        <v>329</v>
      </c>
      <c r="AD56" s="445"/>
      <c r="AE56" s="445"/>
      <c r="AF56" s="445"/>
      <c r="AG56" s="448" t="s">
        <v>114</v>
      </c>
      <c r="AH56" s="445"/>
      <c r="AI56" s="445"/>
      <c r="AJ56" s="445"/>
      <c r="AK56" s="448" t="s">
        <v>133</v>
      </c>
      <c r="AL56" s="445"/>
      <c r="AM56" s="445"/>
      <c r="AN56" s="445"/>
      <c r="AO56" s="448" t="s">
        <v>102</v>
      </c>
      <c r="AP56" s="445"/>
      <c r="AQ56" s="445"/>
      <c r="AR56" s="445"/>
      <c r="AS56" s="448" t="s">
        <v>82</v>
      </c>
      <c r="AT56" s="445"/>
      <c r="AU56" s="445"/>
      <c r="AV56" s="446"/>
      <c r="AW56" s="438">
        <f>IF(AA56="","",SUMIF(SK!R$88:R$163,ROW(),SK!T$88:T$163))</f>
        <v>0</v>
      </c>
      <c r="AX56" s="43"/>
      <c r="AY56" s="439" t="str">
        <f t="shared" ref="AY56:AZ56" si="12">AY14</f>
        <v>21*</v>
      </c>
      <c r="AZ56" s="440" t="str">
        <f t="shared" si="12"/>
        <v>Agatha KrisB</v>
      </c>
    </row>
    <row r="57" ht="31.5" customHeight="1">
      <c r="A57" s="442" t="str">
        <f>IF(Score!A57="", "",Score!A57 )</f>
        <v>SP*</v>
      </c>
      <c r="B57" s="443"/>
      <c r="C57" s="449" t="str">
        <f>IF(Score!B57="", "",Score!B57 )</f>
        <v/>
      </c>
      <c r="D57" s="445"/>
      <c r="E57" s="445"/>
      <c r="F57" s="445"/>
      <c r="G57" s="444"/>
      <c r="H57" s="445"/>
      <c r="I57" s="445"/>
      <c r="J57" s="445"/>
      <c r="K57" s="444"/>
      <c r="L57" s="445"/>
      <c r="M57" s="445"/>
      <c r="N57" s="445"/>
      <c r="O57" s="444"/>
      <c r="P57" s="445"/>
      <c r="Q57" s="445"/>
      <c r="R57" s="445"/>
      <c r="S57" s="444"/>
      <c r="T57" s="445"/>
      <c r="U57" s="445"/>
      <c r="V57" s="446"/>
      <c r="W57" s="438">
        <f>IF(A57="","",SUMIF(SK!B$88:B$163,ROW(),SK!D$88:D$163))</f>
        <v>0</v>
      </c>
      <c r="X57" s="43"/>
      <c r="Y57" s="43"/>
      <c r="Z57" s="440"/>
      <c r="AA57" s="461" t="str">
        <f>IF(Score!T57="", "",Score!T57 )</f>
        <v>SP</v>
      </c>
      <c r="AB57" s="443" t="s">
        <v>231</v>
      </c>
      <c r="AC57" s="444" t="str">
        <f>IF(Score!U57="", "",Score!U57 )</f>
        <v>505</v>
      </c>
      <c r="AD57" s="445"/>
      <c r="AE57" s="445"/>
      <c r="AF57" s="445"/>
      <c r="AG57" s="444" t="s">
        <v>98</v>
      </c>
      <c r="AH57" s="445"/>
      <c r="AI57" s="445"/>
      <c r="AJ57" s="445"/>
      <c r="AK57" s="444" t="s">
        <v>133</v>
      </c>
      <c r="AL57" s="445"/>
      <c r="AM57" s="445"/>
      <c r="AN57" s="445"/>
      <c r="AO57" s="444" t="s">
        <v>102</v>
      </c>
      <c r="AP57" s="445"/>
      <c r="AQ57" s="445"/>
      <c r="AR57" s="445"/>
      <c r="AS57" s="444" t="s">
        <v>82</v>
      </c>
      <c r="AT57" s="445"/>
      <c r="AU57" s="445"/>
      <c r="AV57" s="446"/>
      <c r="AW57" s="438">
        <f>IF(AA57="","",SUMIF(SK!R$88:R$163,ROW(),SK!T$88:T$163))</f>
        <v>0</v>
      </c>
      <c r="AX57" s="43"/>
      <c r="AY57" s="43"/>
      <c r="AZ57" s="440"/>
    </row>
    <row r="58" ht="31.5" customHeight="1">
      <c r="A58" s="447">
        <f>IF(Score!A58="", "",Score!A58 )</f>
        <v>10</v>
      </c>
      <c r="B58" s="441"/>
      <c r="C58" s="448" t="str">
        <f>IF(Score!B58="", "",Score!B58 )</f>
        <v>38</v>
      </c>
      <c r="D58" s="445"/>
      <c r="E58" s="445"/>
      <c r="F58" s="445"/>
      <c r="G58" s="448" t="s">
        <v>120</v>
      </c>
      <c r="H58" s="445"/>
      <c r="I58" s="445"/>
      <c r="J58" s="445"/>
      <c r="K58" s="448" t="s">
        <v>124</v>
      </c>
      <c r="L58" s="445"/>
      <c r="M58" s="445"/>
      <c r="N58" s="445"/>
      <c r="O58" s="448" t="s">
        <v>80</v>
      </c>
      <c r="P58" s="445"/>
      <c r="Q58" s="445"/>
      <c r="R58" s="445"/>
      <c r="S58" s="448" t="s">
        <v>76</v>
      </c>
      <c r="T58" s="445"/>
      <c r="U58" s="445"/>
      <c r="V58" s="446"/>
      <c r="W58" s="438">
        <f>IF(A58="","",SUMIF(SK!B$88:B$163,ROW(),SK!D$88:D$163))</f>
        <v>0</v>
      </c>
      <c r="X58" s="43"/>
      <c r="Y58" s="439" t="str">
        <f t="shared" ref="Y58:Z58" si="13">Y16</f>
        <v>264</v>
      </c>
      <c r="Z58" s="440" t="str">
        <f t="shared" si="13"/>
        <v>Velasco Sauce</v>
      </c>
      <c r="AA58" s="459">
        <f>IF(Score!T58="", "",Score!T58 )</f>
        <v>10</v>
      </c>
      <c r="AB58" s="441"/>
      <c r="AC58" s="448" t="str">
        <f>IF(Score!U58="", "",Score!U58 )</f>
        <v>9</v>
      </c>
      <c r="AD58" s="445"/>
      <c r="AE58" s="445"/>
      <c r="AF58" s="445"/>
      <c r="AG58" s="448" t="s">
        <v>90</v>
      </c>
      <c r="AH58" s="445"/>
      <c r="AI58" s="445"/>
      <c r="AJ58" s="445"/>
      <c r="AK58" s="448" t="s">
        <v>62</v>
      </c>
      <c r="AL58" s="445"/>
      <c r="AM58" s="445"/>
      <c r="AN58" s="445"/>
      <c r="AO58" s="448" t="s">
        <v>94</v>
      </c>
      <c r="AP58" s="445"/>
      <c r="AQ58" s="445"/>
      <c r="AR58" s="445"/>
      <c r="AS58" s="448" t="s">
        <v>66</v>
      </c>
      <c r="AT58" s="445"/>
      <c r="AU58" s="445"/>
      <c r="AV58" s="446"/>
      <c r="AW58" s="438">
        <f>IF(AA58="","",SUMIF(SK!R$88:R$163,ROW(),SK!T$88:T$163))</f>
        <v>3</v>
      </c>
      <c r="AX58" s="43"/>
      <c r="AY58" s="439" t="str">
        <f t="shared" ref="AY58:AZ58" si="14">AY16</f>
        <v>213</v>
      </c>
      <c r="AZ58" s="440" t="str">
        <f t="shared" si="14"/>
        <v>IceBox</v>
      </c>
    </row>
    <row r="59" ht="31.5" customHeight="1">
      <c r="A59" s="442">
        <f>IF(Score!A59="", "",Score!A59 )</f>
        <v>11</v>
      </c>
      <c r="B59" s="443"/>
      <c r="C59" s="444" t="str">
        <f>IF(Score!B59="", "",Score!B59 )</f>
        <v>313</v>
      </c>
      <c r="D59" s="445"/>
      <c r="E59" s="445"/>
      <c r="F59" s="445"/>
      <c r="G59" s="444" t="s">
        <v>60</v>
      </c>
      <c r="H59" s="445"/>
      <c r="I59" s="445"/>
      <c r="J59" s="445"/>
      <c r="K59" s="444" t="s">
        <v>56</v>
      </c>
      <c r="L59" s="445"/>
      <c r="M59" s="445"/>
      <c r="N59" s="445"/>
      <c r="O59" s="444" t="s">
        <v>92</v>
      </c>
      <c r="P59" s="445"/>
      <c r="Q59" s="445"/>
      <c r="R59" s="445"/>
      <c r="S59" s="444" t="s">
        <v>112</v>
      </c>
      <c r="T59" s="445"/>
      <c r="U59" s="445"/>
      <c r="V59" s="446"/>
      <c r="W59" s="438">
        <f>IF(A59="","",SUMIF(SK!B$88:B$163,ROW(),SK!D$88:D$163))</f>
        <v>7</v>
      </c>
      <c r="X59" s="43"/>
      <c r="Y59" s="43"/>
      <c r="Z59" s="440"/>
      <c r="AA59" s="461">
        <f>IF(Score!T59="", "",Score!T59 )</f>
        <v>11</v>
      </c>
      <c r="AB59" s="443"/>
      <c r="AC59" s="444" t="str">
        <f>IF(Score!U59="", "",Score!U59 )</f>
        <v>221</v>
      </c>
      <c r="AD59" s="445"/>
      <c r="AE59" s="445"/>
      <c r="AF59" s="445"/>
      <c r="AG59" s="444" t="s">
        <v>114</v>
      </c>
      <c r="AH59" s="445"/>
      <c r="AI59" s="445"/>
      <c r="AJ59" s="445"/>
      <c r="AK59" s="444" t="s">
        <v>133</v>
      </c>
      <c r="AL59" s="445"/>
      <c r="AM59" s="445"/>
      <c r="AN59" s="445"/>
      <c r="AO59" s="444" t="s">
        <v>102</v>
      </c>
      <c r="AP59" s="445"/>
      <c r="AQ59" s="445"/>
      <c r="AR59" s="445"/>
      <c r="AS59" s="444" t="s">
        <v>82</v>
      </c>
      <c r="AT59" s="445"/>
      <c r="AU59" s="445"/>
      <c r="AV59" s="446"/>
      <c r="AW59" s="438">
        <f>IF(AA59="","",SUMIF(SK!R$88:R$163,ROW(),SK!T$88:T$163))</f>
        <v>0</v>
      </c>
      <c r="AX59" s="43"/>
      <c r="AY59" s="43"/>
      <c r="AZ59" s="440"/>
    </row>
    <row r="60" ht="31.5" customHeight="1">
      <c r="A60" s="447" t="str">
        <f>IF(Score!A60="", "",Score!A60 )</f>
        <v>SP*</v>
      </c>
      <c r="B60" s="441"/>
      <c r="C60" s="450" t="str">
        <f>IF(Score!B60="", "",Score!B60 )</f>
        <v/>
      </c>
      <c r="D60" s="445"/>
      <c r="E60" s="445"/>
      <c r="F60" s="445"/>
      <c r="G60" s="448"/>
      <c r="H60" s="445"/>
      <c r="I60" s="445"/>
      <c r="J60" s="445"/>
      <c r="K60" s="448"/>
      <c r="L60" s="445"/>
      <c r="M60" s="445"/>
      <c r="N60" s="445"/>
      <c r="O60" s="448"/>
      <c r="P60" s="445"/>
      <c r="Q60" s="445"/>
      <c r="R60" s="445"/>
      <c r="S60" s="448"/>
      <c r="T60" s="445"/>
      <c r="U60" s="445"/>
      <c r="V60" s="446"/>
      <c r="W60" s="438">
        <f>IF(A60="","",SUMIF(SK!B$88:B$163,ROW(),SK!D$88:D$163))</f>
        <v>0</v>
      </c>
      <c r="X60" s="43"/>
      <c r="Y60" s="439" t="str">
        <f t="shared" ref="Y60:Z60" si="15">Y18</f>
        <v>27*</v>
      </c>
      <c r="Z60" s="440" t="str">
        <f t="shared" si="15"/>
        <v>Babethoven</v>
      </c>
      <c r="AA60" s="459" t="str">
        <f>IF(Score!T60="", "",Score!T60 )</f>
        <v>SP</v>
      </c>
      <c r="AB60" s="441" t="s">
        <v>231</v>
      </c>
      <c r="AC60" s="448" t="str">
        <f>IF(Score!U60="", "",Score!U60 )</f>
        <v>505</v>
      </c>
      <c r="AD60" s="445"/>
      <c r="AE60" s="445"/>
      <c r="AF60" s="445"/>
      <c r="AG60" s="448" t="s">
        <v>86</v>
      </c>
      <c r="AH60" s="445"/>
      <c r="AI60" s="445"/>
      <c r="AJ60" s="445"/>
      <c r="AK60" s="448" t="s">
        <v>133</v>
      </c>
      <c r="AL60" s="445"/>
      <c r="AM60" s="445"/>
      <c r="AN60" s="445"/>
      <c r="AO60" s="448" t="s">
        <v>102</v>
      </c>
      <c r="AP60" s="445"/>
      <c r="AQ60" s="445"/>
      <c r="AR60" s="445"/>
      <c r="AS60" s="448" t="s">
        <v>82</v>
      </c>
      <c r="AT60" s="445"/>
      <c r="AU60" s="445"/>
      <c r="AV60" s="446"/>
      <c r="AW60" s="438">
        <f>IF(AA60="","",SUMIF(SK!R$88:R$163,ROW(),SK!T$88:T$163))</f>
        <v>0</v>
      </c>
      <c r="AX60" s="43"/>
      <c r="AY60" s="439" t="str">
        <f t="shared" ref="AY60:AZ60" si="16">AY18</f>
        <v>221</v>
      </c>
      <c r="AZ60" s="440" t="str">
        <f t="shared" si="16"/>
        <v>Syann</v>
      </c>
    </row>
    <row r="61" ht="31.5" customHeight="1">
      <c r="A61" s="442">
        <f>IF(Score!A61="", "",Score!A61 )</f>
        <v>12</v>
      </c>
      <c r="B61" s="443"/>
      <c r="C61" s="444" t="str">
        <f>IF(Score!B61="", "",Score!B61 )</f>
        <v>3</v>
      </c>
      <c r="D61" s="445" t="s">
        <v>295</v>
      </c>
      <c r="E61" s="445"/>
      <c r="F61" s="445"/>
      <c r="G61" s="444" t="s">
        <v>122</v>
      </c>
      <c r="H61" s="445"/>
      <c r="I61" s="445"/>
      <c r="J61" s="445"/>
      <c r="K61" s="444" t="s">
        <v>124</v>
      </c>
      <c r="L61" s="445"/>
      <c r="M61" s="445"/>
      <c r="N61" s="445"/>
      <c r="O61" s="444" t="s">
        <v>76</v>
      </c>
      <c r="P61" s="445"/>
      <c r="Q61" s="445"/>
      <c r="R61" s="445"/>
      <c r="S61" s="444" t="s">
        <v>80</v>
      </c>
      <c r="T61" s="445"/>
      <c r="U61" s="445"/>
      <c r="V61" s="446"/>
      <c r="W61" s="438">
        <f>IF(A61="","",SUMIF(SK!B$88:B$163,ROW(),SK!D$88:D$163))</f>
        <v>0</v>
      </c>
      <c r="X61" s="43"/>
      <c r="Y61" s="43"/>
      <c r="Z61" s="440"/>
      <c r="AA61" s="461">
        <f>IF(Score!T61="", "",Score!T61 )</f>
        <v>12</v>
      </c>
      <c r="AB61" s="443"/>
      <c r="AC61" s="444" t="str">
        <f>IF(Score!U61="", "",Score!U61 )</f>
        <v>15</v>
      </c>
      <c r="AD61" s="445" t="s">
        <v>295</v>
      </c>
      <c r="AE61" s="445"/>
      <c r="AF61" s="445"/>
      <c r="AG61" s="444" t="s">
        <v>90</v>
      </c>
      <c r="AH61" s="445"/>
      <c r="AI61" s="445"/>
      <c r="AJ61" s="445"/>
      <c r="AK61" s="444" t="s">
        <v>62</v>
      </c>
      <c r="AL61" s="445"/>
      <c r="AM61" s="445"/>
      <c r="AN61" s="445"/>
      <c r="AO61" s="444" t="s">
        <v>94</v>
      </c>
      <c r="AP61" s="445"/>
      <c r="AQ61" s="445"/>
      <c r="AR61" s="445"/>
      <c r="AS61" s="444" t="s">
        <v>66</v>
      </c>
      <c r="AT61" s="445"/>
      <c r="AU61" s="445"/>
      <c r="AV61" s="446"/>
      <c r="AW61" s="438">
        <f>IF(AA61="","",SUMIF(SK!R$88:R$163,ROW(),SK!T$88:T$163))</f>
        <v>2</v>
      </c>
      <c r="AX61" s="43"/>
      <c r="AY61" s="43"/>
      <c r="AZ61" s="440"/>
    </row>
    <row r="62" ht="31.5" customHeight="1">
      <c r="A62" s="447" t="str">
        <f>IF(Score!A62="", "",Score!A62 )</f>
        <v>SP</v>
      </c>
      <c r="B62" s="441" t="s">
        <v>231</v>
      </c>
      <c r="C62" s="448" t="str">
        <f>IF(Score!B62="", "",Score!B62 )</f>
        <v>88</v>
      </c>
      <c r="D62" s="445"/>
      <c r="E62" s="445"/>
      <c r="F62" s="445"/>
      <c r="G62" s="448" t="s">
        <v>88</v>
      </c>
      <c r="H62" s="445"/>
      <c r="I62" s="445"/>
      <c r="J62" s="445"/>
      <c r="K62" s="448" t="s">
        <v>124</v>
      </c>
      <c r="L62" s="445"/>
      <c r="M62" s="445"/>
      <c r="N62" s="445"/>
      <c r="O62" s="448" t="s">
        <v>76</v>
      </c>
      <c r="P62" s="445"/>
      <c r="Q62" s="445"/>
      <c r="R62" s="445"/>
      <c r="S62" s="448" t="s">
        <v>80</v>
      </c>
      <c r="T62" s="445"/>
      <c r="U62" s="445"/>
      <c r="V62" s="446"/>
      <c r="W62" s="438">
        <f>IF(A62="","",SUMIF(SK!B$88:B$163,ROW(),SK!D$88:D$163))</f>
        <v>1</v>
      </c>
      <c r="X62" s="43"/>
      <c r="Y62" s="439" t="str">
        <f t="shared" ref="Y62:Z62" si="17">Y20</f>
        <v>3</v>
      </c>
      <c r="Z62" s="440" t="str">
        <f t="shared" si="17"/>
        <v>Alexia</v>
      </c>
      <c r="AA62" s="459" t="str">
        <f>IF(Score!T62="", "",Score!T62 )</f>
        <v>SP*</v>
      </c>
      <c r="AB62" s="441"/>
      <c r="AC62" s="450" t="str">
        <f>IF(Score!U62="", "",Score!U62 )</f>
        <v/>
      </c>
      <c r="AD62" s="445"/>
      <c r="AE62" s="445"/>
      <c r="AF62" s="445"/>
      <c r="AG62" s="448"/>
      <c r="AH62" s="445"/>
      <c r="AI62" s="445"/>
      <c r="AJ62" s="445"/>
      <c r="AK62" s="448"/>
      <c r="AL62" s="445"/>
      <c r="AM62" s="445"/>
      <c r="AN62" s="445"/>
      <c r="AO62" s="448"/>
      <c r="AP62" s="445"/>
      <c r="AQ62" s="445"/>
      <c r="AR62" s="445"/>
      <c r="AS62" s="448"/>
      <c r="AT62" s="445"/>
      <c r="AU62" s="445"/>
      <c r="AV62" s="446"/>
      <c r="AW62" s="438">
        <f>IF(AA62="","",SUMIF(SK!R$88:R$163,ROW(),SK!T$88:T$163))</f>
        <v>0</v>
      </c>
      <c r="AX62" s="43"/>
      <c r="AY62" s="439" t="str">
        <f t="shared" ref="AY62:AZ62" si="18">AY20</f>
        <v>28</v>
      </c>
      <c r="AZ62" s="440" t="str">
        <f t="shared" si="18"/>
        <v>Hot Box</v>
      </c>
    </row>
    <row r="63" ht="31.5" customHeight="1">
      <c r="A63" s="442">
        <f>IF(Score!A63="", "",Score!A63 )</f>
        <v>13</v>
      </c>
      <c r="B63" s="443"/>
      <c r="C63" s="444" t="str">
        <f>IF(Score!B63="", "",Score!B63 )</f>
        <v>38</v>
      </c>
      <c r="D63" s="445"/>
      <c r="E63" s="445"/>
      <c r="F63" s="445"/>
      <c r="G63" s="444" t="s">
        <v>60</v>
      </c>
      <c r="H63" s="445"/>
      <c r="I63" s="445"/>
      <c r="J63" s="445"/>
      <c r="K63" s="444" t="s">
        <v>92</v>
      </c>
      <c r="L63" s="445" t="s">
        <v>295</v>
      </c>
      <c r="M63" s="445"/>
      <c r="N63" s="445"/>
      <c r="O63" s="444" t="s">
        <v>112</v>
      </c>
      <c r="P63" s="445"/>
      <c r="Q63" s="445"/>
      <c r="R63" s="445"/>
      <c r="S63" s="444" t="s">
        <v>56</v>
      </c>
      <c r="T63" s="445"/>
      <c r="U63" s="445"/>
      <c r="V63" s="446"/>
      <c r="W63" s="438">
        <f>IF(A63="","",SUMIF(SK!B$88:B$163,ROW(),SK!D$88:D$163))</f>
        <v>16</v>
      </c>
      <c r="X63" s="43"/>
      <c r="Y63" s="43"/>
      <c r="Z63" s="440"/>
      <c r="AA63" s="461">
        <f>IF(Score!T63="", "",Score!T63 )</f>
        <v>13</v>
      </c>
      <c r="AB63" s="443"/>
      <c r="AC63" s="444" t="str">
        <f>IF(Score!U63="", "",Score!U63 )</f>
        <v>329</v>
      </c>
      <c r="AD63" s="445" t="s">
        <v>295</v>
      </c>
      <c r="AE63" s="445"/>
      <c r="AF63" s="445"/>
      <c r="AG63" s="444" t="s">
        <v>114</v>
      </c>
      <c r="AH63" s="445"/>
      <c r="AI63" s="445"/>
      <c r="AJ63" s="445"/>
      <c r="AK63" s="444" t="s">
        <v>133</v>
      </c>
      <c r="AL63" s="445"/>
      <c r="AM63" s="445"/>
      <c r="AN63" s="445"/>
      <c r="AO63" s="444" t="s">
        <v>82</v>
      </c>
      <c r="AP63" s="445" t="s">
        <v>295</v>
      </c>
      <c r="AQ63" s="445"/>
      <c r="AR63" s="445"/>
      <c r="AS63" s="444" t="s">
        <v>102</v>
      </c>
      <c r="AT63" s="445"/>
      <c r="AU63" s="445"/>
      <c r="AV63" s="446"/>
      <c r="AW63" s="438">
        <f>IF(AA63="","",SUMIF(SK!R$88:R$163,ROW(),SK!T$88:T$163))</f>
        <v>4</v>
      </c>
      <c r="AX63" s="43"/>
      <c r="AY63" s="43"/>
      <c r="AZ63" s="440"/>
    </row>
    <row r="64" ht="31.5" customHeight="1">
      <c r="A64" s="447">
        <f>IF(Score!A64="", "",Score!A64 )</f>
        <v>14</v>
      </c>
      <c r="B64" s="441"/>
      <c r="C64" s="448" t="str">
        <f>IF(Score!B64="", "",Score!B64 )</f>
        <v>10</v>
      </c>
      <c r="D64" s="445" t="s">
        <v>295</v>
      </c>
      <c r="E64" s="445"/>
      <c r="F64" s="445"/>
      <c r="G64" s="448" t="s">
        <v>120</v>
      </c>
      <c r="H64" s="445"/>
      <c r="I64" s="445"/>
      <c r="J64" s="445"/>
      <c r="K64" s="448" t="s">
        <v>124</v>
      </c>
      <c r="L64" s="445"/>
      <c r="M64" s="445"/>
      <c r="N64" s="445"/>
      <c r="O64" s="448" t="s">
        <v>122</v>
      </c>
      <c r="P64" s="445"/>
      <c r="Q64" s="445"/>
      <c r="R64" s="445"/>
      <c r="S64" s="448" t="s">
        <v>76</v>
      </c>
      <c r="T64" s="445" t="s">
        <v>296</v>
      </c>
      <c r="U64" s="445"/>
      <c r="V64" s="446"/>
      <c r="W64" s="438">
        <f>IF(A64="","",SUMIF(SK!B$88:B$163,ROW(),SK!D$88:D$163))</f>
        <v>10</v>
      </c>
      <c r="X64" s="43"/>
      <c r="Y64" s="439" t="str">
        <f t="shared" ref="Y64:Z64" si="19">Y22</f>
        <v>31</v>
      </c>
      <c r="Z64" s="440" t="str">
        <f t="shared" si="19"/>
        <v>2x Force</v>
      </c>
      <c r="AA64" s="459">
        <f>IF(Score!T64="", "",Score!T64 )</f>
        <v>14</v>
      </c>
      <c r="AB64" s="441"/>
      <c r="AC64" s="448" t="str">
        <f>IF(Score!U64="", "",Score!U64 )</f>
        <v>9</v>
      </c>
      <c r="AD64" s="445"/>
      <c r="AE64" s="445"/>
      <c r="AF64" s="445"/>
      <c r="AG64" s="448" t="s">
        <v>90</v>
      </c>
      <c r="AH64" s="445"/>
      <c r="AI64" s="445"/>
      <c r="AJ64" s="445"/>
      <c r="AK64" s="448" t="s">
        <v>94</v>
      </c>
      <c r="AL64" s="445"/>
      <c r="AM64" s="445"/>
      <c r="AN64" s="445"/>
      <c r="AO64" s="448" t="s">
        <v>66</v>
      </c>
      <c r="AP64" s="445"/>
      <c r="AQ64" s="445"/>
      <c r="AR64" s="445"/>
      <c r="AS64" s="448" t="s">
        <v>62</v>
      </c>
      <c r="AT64" s="445"/>
      <c r="AU64" s="445"/>
      <c r="AV64" s="446"/>
      <c r="AW64" s="438">
        <f>IF(AA64="","",SUMIF(SK!R$88:R$163,ROW(),SK!T$88:T$163))</f>
        <v>0</v>
      </c>
      <c r="AX64" s="43"/>
      <c r="AY64" s="439" t="str">
        <f t="shared" ref="AY64:AZ64" si="20">AY22</f>
        <v>321</v>
      </c>
      <c r="AZ64" s="440" t="str">
        <f t="shared" si="20"/>
        <v>Rockit</v>
      </c>
    </row>
    <row r="65" ht="31.5" customHeight="1">
      <c r="A65" s="442" t="str">
        <f>IF(Score!A65="", "",Score!A65 )</f>
        <v>SP*</v>
      </c>
      <c r="B65" s="443"/>
      <c r="C65" s="449" t="str">
        <f>IF(Score!B65="", "",Score!B65 )</f>
        <v/>
      </c>
      <c r="D65" s="445"/>
      <c r="E65" s="445"/>
      <c r="F65" s="445"/>
      <c r="G65" s="444"/>
      <c r="H65" s="445"/>
      <c r="I65" s="445"/>
      <c r="J65" s="445"/>
      <c r="K65" s="444"/>
      <c r="L65" s="445"/>
      <c r="M65" s="445"/>
      <c r="N65" s="445"/>
      <c r="O65" s="444"/>
      <c r="P65" s="445"/>
      <c r="Q65" s="445"/>
      <c r="R65" s="445"/>
      <c r="S65" s="444"/>
      <c r="T65" s="445"/>
      <c r="U65" s="445"/>
      <c r="V65" s="446"/>
      <c r="W65" s="438">
        <f>IF(A65="","",SUMIF(SK!B$88:B$163,ROW(),SK!D$88:D$163))</f>
        <v>0</v>
      </c>
      <c r="X65" s="43"/>
      <c r="Y65" s="43"/>
      <c r="Z65" s="440"/>
      <c r="AA65" s="461" t="str">
        <f>IF(Score!T65="", "",Score!T65 )</f>
        <v>SP</v>
      </c>
      <c r="AB65" s="443" t="s">
        <v>231</v>
      </c>
      <c r="AC65" s="444" t="str">
        <f>IF(Score!U65="", "",Score!U65 )</f>
        <v>28</v>
      </c>
      <c r="AD65" s="445"/>
      <c r="AE65" s="445"/>
      <c r="AF65" s="445"/>
      <c r="AG65" s="444" t="s">
        <v>126</v>
      </c>
      <c r="AH65" s="445"/>
      <c r="AI65" s="445"/>
      <c r="AJ65" s="445"/>
      <c r="AK65" s="444" t="s">
        <v>94</v>
      </c>
      <c r="AL65" s="445"/>
      <c r="AM65" s="445"/>
      <c r="AN65" s="445"/>
      <c r="AO65" s="444" t="s">
        <v>66</v>
      </c>
      <c r="AP65" s="445"/>
      <c r="AQ65" s="445"/>
      <c r="AR65" s="445"/>
      <c r="AS65" s="444" t="s">
        <v>62</v>
      </c>
      <c r="AT65" s="445" t="s">
        <v>296</v>
      </c>
      <c r="AU65" s="445"/>
      <c r="AV65" s="446"/>
      <c r="AW65" s="438">
        <f>IF(AA65="","",SUMIF(SK!R$88:R$163,ROW(),SK!T$88:T$163))</f>
        <v>2</v>
      </c>
      <c r="AX65" s="43"/>
      <c r="AY65" s="43"/>
      <c r="AZ65" s="440"/>
    </row>
    <row r="66" ht="31.5" customHeight="1">
      <c r="A66" s="447">
        <f>IF(Score!A66="", "",Score!A66 )</f>
        <v>15</v>
      </c>
      <c r="B66" s="441"/>
      <c r="C66" s="448" t="str">
        <f>IF(Score!B66="", "",Score!B66 )</f>
        <v>394</v>
      </c>
      <c r="D66" s="445"/>
      <c r="E66" s="445"/>
      <c r="F66" s="445"/>
      <c r="G66" s="448" t="s">
        <v>56</v>
      </c>
      <c r="H66" s="445"/>
      <c r="I66" s="445"/>
      <c r="J66" s="445"/>
      <c r="K66" s="448" t="s">
        <v>92</v>
      </c>
      <c r="L66" s="445"/>
      <c r="M66" s="445"/>
      <c r="N66" s="445"/>
      <c r="O66" s="448" t="s">
        <v>112</v>
      </c>
      <c r="P66" s="445" t="s">
        <v>296</v>
      </c>
      <c r="Q66" s="445"/>
      <c r="R66" s="445"/>
      <c r="S66" s="448" t="s">
        <v>76</v>
      </c>
      <c r="T66" s="445" t="s">
        <v>297</v>
      </c>
      <c r="U66" s="445"/>
      <c r="V66" s="446"/>
      <c r="W66" s="438">
        <f>IF(A66="","",SUMIF(SK!B$88:B$163,ROW(),SK!D$88:D$163))</f>
        <v>5</v>
      </c>
      <c r="X66" s="43"/>
      <c r="Y66" s="439" t="str">
        <f t="shared" ref="Y66:Z66" si="21">Y24</f>
        <v>313</v>
      </c>
      <c r="Z66" s="440" t="str">
        <f t="shared" si="21"/>
        <v>WestCoast MaFia</v>
      </c>
      <c r="AA66" s="459">
        <f>IF(Score!T66="", "",Score!T66 )</f>
        <v>15</v>
      </c>
      <c r="AB66" s="441"/>
      <c r="AC66" s="448" t="str">
        <f>IF(Score!U66="", "",Score!U66 )</f>
        <v>15</v>
      </c>
      <c r="AD66" s="445"/>
      <c r="AE66" s="445"/>
      <c r="AF66" s="445"/>
      <c r="AG66" s="448" t="s">
        <v>114</v>
      </c>
      <c r="AH66" s="445"/>
      <c r="AI66" s="445"/>
      <c r="AJ66" s="445"/>
      <c r="AK66" s="448" t="s">
        <v>133</v>
      </c>
      <c r="AL66" s="445"/>
      <c r="AM66" s="445"/>
      <c r="AN66" s="445"/>
      <c r="AO66" s="448" t="s">
        <v>82</v>
      </c>
      <c r="AP66" s="445"/>
      <c r="AQ66" s="445"/>
      <c r="AR66" s="445"/>
      <c r="AS66" s="448" t="s">
        <v>62</v>
      </c>
      <c r="AT66" s="445" t="s">
        <v>297</v>
      </c>
      <c r="AU66" s="445"/>
      <c r="AV66" s="446"/>
      <c r="AW66" s="438">
        <f>IF(AA66="","",SUMIF(SK!R$88:R$163,ROW(),SK!T$88:T$163))</f>
        <v>2</v>
      </c>
      <c r="AX66" s="43"/>
      <c r="AY66" s="439" t="str">
        <f t="shared" ref="AY66:AZ66" si="22">AY24</f>
        <v>329</v>
      </c>
      <c r="AZ66" s="440" t="str">
        <f t="shared" si="22"/>
        <v>Triple Axel Rose</v>
      </c>
    </row>
    <row r="67" ht="31.5" customHeight="1">
      <c r="A67" s="442">
        <f>IF(Score!A67="", "",Score!A67 )</f>
        <v>16</v>
      </c>
      <c r="B67" s="443"/>
      <c r="C67" s="444" t="str">
        <f>IF(Score!B67="", "",Score!B67 )</f>
        <v>024</v>
      </c>
      <c r="D67" s="445"/>
      <c r="E67" s="445"/>
      <c r="F67" s="445"/>
      <c r="G67" s="444" t="s">
        <v>120</v>
      </c>
      <c r="H67" s="445"/>
      <c r="I67" s="445"/>
      <c r="J67" s="445"/>
      <c r="K67" s="444" t="s">
        <v>80</v>
      </c>
      <c r="L67" s="445"/>
      <c r="M67" s="445"/>
      <c r="N67" s="445"/>
      <c r="O67" s="444" t="s">
        <v>112</v>
      </c>
      <c r="P67" s="445" t="s">
        <v>297</v>
      </c>
      <c r="Q67" s="445"/>
      <c r="R67" s="445"/>
      <c r="S67" s="444" t="s">
        <v>124</v>
      </c>
      <c r="T67" s="445"/>
      <c r="U67" s="445"/>
      <c r="V67" s="446"/>
      <c r="W67" s="438">
        <f>IF(A67="","",SUMIF(SK!B$88:B$163,ROW(),SK!D$88:D$163))</f>
        <v>4</v>
      </c>
      <c r="X67" s="43"/>
      <c r="Y67" s="43"/>
      <c r="Z67" s="440"/>
      <c r="AA67" s="461">
        <f>IF(Score!T67="", "",Score!T67 )</f>
        <v>16</v>
      </c>
      <c r="AB67" s="443"/>
      <c r="AC67" s="444" t="str">
        <f>IF(Score!U67="", "",Score!U67 )</f>
        <v>329</v>
      </c>
      <c r="AD67" s="445"/>
      <c r="AE67" s="445"/>
      <c r="AF67" s="445"/>
      <c r="AG67" s="444" t="s">
        <v>90</v>
      </c>
      <c r="AH67" s="445"/>
      <c r="AI67" s="445"/>
      <c r="AJ67" s="445"/>
      <c r="AK67" s="444" t="s">
        <v>66</v>
      </c>
      <c r="AL67" s="445"/>
      <c r="AM67" s="445"/>
      <c r="AN67" s="445"/>
      <c r="AO67" s="444" t="s">
        <v>94</v>
      </c>
      <c r="AP67" s="445"/>
      <c r="AQ67" s="445"/>
      <c r="AR67" s="445"/>
      <c r="AS67" s="444" t="s">
        <v>62</v>
      </c>
      <c r="AT67" s="445"/>
      <c r="AU67" s="445"/>
      <c r="AV67" s="446"/>
      <c r="AW67" s="438">
        <f>IF(AA67="","",SUMIF(SK!R$88:R$163,ROW(),SK!T$88:T$163))</f>
        <v>0</v>
      </c>
      <c r="AX67" s="43"/>
      <c r="AY67" s="43"/>
      <c r="AZ67" s="440"/>
    </row>
    <row r="68" ht="31.5" customHeight="1">
      <c r="A68" s="447">
        <f>IF(Score!A68="", "",Score!A68 )</f>
        <v>17</v>
      </c>
      <c r="B68" s="441" t="s">
        <v>231</v>
      </c>
      <c r="C68" s="448" t="str">
        <f>IF(Score!B68="", "",Score!B68 )</f>
        <v>313</v>
      </c>
      <c r="D68" s="445"/>
      <c r="E68" s="445"/>
      <c r="F68" s="445"/>
      <c r="G68" s="448" t="s">
        <v>56</v>
      </c>
      <c r="H68" s="445"/>
      <c r="I68" s="445"/>
      <c r="J68" s="445"/>
      <c r="K68" s="448" t="s">
        <v>88</v>
      </c>
      <c r="L68" s="445"/>
      <c r="M68" s="445"/>
      <c r="N68" s="445"/>
      <c r="O68" s="448" t="s">
        <v>92</v>
      </c>
      <c r="P68" s="445"/>
      <c r="Q68" s="445"/>
      <c r="R68" s="445"/>
      <c r="S68" s="448" t="s">
        <v>104</v>
      </c>
      <c r="T68" s="445"/>
      <c r="U68" s="445"/>
      <c r="V68" s="446"/>
      <c r="W68" s="438">
        <f>IF(A68="","",SUMIF(SK!B$88:B$163,ROW(),SK!D$88:D$163))</f>
        <v>23</v>
      </c>
      <c r="X68" s="43"/>
      <c r="Y68" s="439" t="str">
        <f t="shared" ref="Y68:Z68" si="23">Y26</f>
        <v>3381</v>
      </c>
      <c r="Z68" s="440" t="str">
        <f t="shared" si="23"/>
        <v>Hella Naughty</v>
      </c>
      <c r="AA68" s="459">
        <f>IF(Score!T68="", "",Score!T68 )</f>
        <v>17</v>
      </c>
      <c r="AB68" s="441"/>
      <c r="AC68" s="448" t="str">
        <f>IF(Score!U68="", "",Score!U68 )</f>
        <v>9</v>
      </c>
      <c r="AD68" s="445"/>
      <c r="AE68" s="445"/>
      <c r="AF68" s="445"/>
      <c r="AG68" s="448" t="s">
        <v>114</v>
      </c>
      <c r="AH68" s="445"/>
      <c r="AI68" s="445"/>
      <c r="AJ68" s="445"/>
      <c r="AK68" s="448" t="s">
        <v>133</v>
      </c>
      <c r="AL68" s="445"/>
      <c r="AM68" s="445"/>
      <c r="AN68" s="445"/>
      <c r="AO68" s="448" t="s">
        <v>102</v>
      </c>
      <c r="AP68" s="445" t="s">
        <v>296</v>
      </c>
      <c r="AQ68" s="445"/>
      <c r="AR68" s="445"/>
      <c r="AS68" s="448" t="s">
        <v>82</v>
      </c>
      <c r="AT68" s="445"/>
      <c r="AU68" s="445"/>
      <c r="AV68" s="446"/>
      <c r="AW68" s="438">
        <f>IF(AA68="","",SUMIF(SK!R$88:R$163,ROW(),SK!T$88:T$163))</f>
        <v>0</v>
      </c>
      <c r="AX68" s="43"/>
      <c r="AY68" s="439" t="str">
        <f t="shared" ref="AY68:AZ68" si="24">AY26</f>
        <v>410</v>
      </c>
      <c r="AZ68" s="440" t="str">
        <f t="shared" si="24"/>
        <v>Ricketts</v>
      </c>
    </row>
    <row r="69" ht="31.5" customHeight="1">
      <c r="A69" s="442" t="str">
        <f>IF(Score!A69="", "",Score!A69 )</f>
        <v>SP*</v>
      </c>
      <c r="B69" s="443"/>
      <c r="C69" s="449" t="str">
        <f>IF(Score!B69="", "",Score!B69 )</f>
        <v/>
      </c>
      <c r="D69" s="445"/>
      <c r="E69" s="445"/>
      <c r="F69" s="445"/>
      <c r="G69" s="444"/>
      <c r="H69" s="445"/>
      <c r="I69" s="445"/>
      <c r="J69" s="445"/>
      <c r="K69" s="444"/>
      <c r="L69" s="445"/>
      <c r="M69" s="445"/>
      <c r="N69" s="445"/>
      <c r="O69" s="444"/>
      <c r="P69" s="445"/>
      <c r="Q69" s="445"/>
      <c r="R69" s="445"/>
      <c r="S69" s="444"/>
      <c r="T69" s="445"/>
      <c r="U69" s="445"/>
      <c r="V69" s="446"/>
      <c r="W69" s="438">
        <f>IF(A69="","",SUMIF(SK!B$88:B$163,ROW(),SK!D$88:D$163))</f>
        <v>0</v>
      </c>
      <c r="X69" s="43"/>
      <c r="Y69" s="43"/>
      <c r="Z69" s="440"/>
      <c r="AA69" s="461" t="str">
        <f>IF(Score!T69="", "",Score!T69 )</f>
        <v>SP</v>
      </c>
      <c r="AB69" s="443" t="s">
        <v>231</v>
      </c>
      <c r="AC69" s="444" t="str">
        <f>IF(Score!U69="", "",Score!U69 )</f>
        <v>505</v>
      </c>
      <c r="AD69" s="445" t="s">
        <v>295</v>
      </c>
      <c r="AE69" s="445"/>
      <c r="AF69" s="445"/>
      <c r="AG69" s="444" t="s">
        <v>126</v>
      </c>
      <c r="AH69" s="445"/>
      <c r="AI69" s="445"/>
      <c r="AJ69" s="445"/>
      <c r="AK69" s="444" t="s">
        <v>133</v>
      </c>
      <c r="AL69" s="445"/>
      <c r="AM69" s="445"/>
      <c r="AN69" s="445"/>
      <c r="AO69" s="444" t="s">
        <v>102</v>
      </c>
      <c r="AP69" s="445" t="s">
        <v>297</v>
      </c>
      <c r="AQ69" s="445" t="s">
        <v>296</v>
      </c>
      <c r="AR69" s="445"/>
      <c r="AS69" s="444" t="s">
        <v>82</v>
      </c>
      <c r="AT69" s="445"/>
      <c r="AU69" s="445"/>
      <c r="AV69" s="446"/>
      <c r="AW69" s="438">
        <f>IF(AA69="","",SUMIF(SK!R$88:R$163,ROW(),SK!T$88:T$163))</f>
        <v>0</v>
      </c>
      <c r="AX69" s="43"/>
      <c r="AY69" s="43"/>
      <c r="AZ69" s="440"/>
    </row>
    <row r="70" ht="31.5" customHeight="1">
      <c r="A70" s="447">
        <f>IF(Score!A70="", "",Score!A70 )</f>
        <v>18</v>
      </c>
      <c r="B70" s="441"/>
      <c r="C70" s="448" t="str">
        <f>IF(Score!B70="", "",Score!B70 )</f>
        <v>3381</v>
      </c>
      <c r="D70" s="445"/>
      <c r="E70" s="445"/>
      <c r="F70" s="445"/>
      <c r="G70" s="448" t="s">
        <v>120</v>
      </c>
      <c r="H70" s="445"/>
      <c r="I70" s="445"/>
      <c r="J70" s="445"/>
      <c r="K70" s="448" t="s">
        <v>76</v>
      </c>
      <c r="L70" s="445"/>
      <c r="M70" s="445"/>
      <c r="N70" s="445"/>
      <c r="O70" s="448" t="s">
        <v>80</v>
      </c>
      <c r="P70" s="445"/>
      <c r="Q70" s="445"/>
      <c r="R70" s="445"/>
      <c r="S70" s="448" t="s">
        <v>122</v>
      </c>
      <c r="T70" s="445"/>
      <c r="U70" s="445"/>
      <c r="V70" s="446"/>
      <c r="W70" s="438">
        <f>IF(A70="","",SUMIF(SK!B$88:B$163,ROW(),SK!D$88:D$163))</f>
        <v>2</v>
      </c>
      <c r="X70" s="43"/>
      <c r="Y70" s="439" t="str">
        <f t="shared" ref="Y70:Z70" si="25">Y28</f>
        <v>38</v>
      </c>
      <c r="Z70" s="440" t="str">
        <f t="shared" si="25"/>
        <v>Colette Razorcat</v>
      </c>
      <c r="AA70" s="459">
        <f>IF(Score!T70="", "",Score!T70 )</f>
        <v>18</v>
      </c>
      <c r="AB70" s="441"/>
      <c r="AC70" s="448" t="str">
        <f>IF(Score!U70="", "",Score!U70 )</f>
        <v>15</v>
      </c>
      <c r="AD70" s="445"/>
      <c r="AE70" s="445"/>
      <c r="AF70" s="445"/>
      <c r="AG70" s="448" t="s">
        <v>90</v>
      </c>
      <c r="AH70" s="445"/>
      <c r="AI70" s="445"/>
      <c r="AJ70" s="445"/>
      <c r="AK70" s="448" t="s">
        <v>66</v>
      </c>
      <c r="AL70" s="445"/>
      <c r="AM70" s="445"/>
      <c r="AN70" s="445"/>
      <c r="AO70" s="448" t="s">
        <v>102</v>
      </c>
      <c r="AP70" s="445" t="s">
        <v>297</v>
      </c>
      <c r="AQ70" s="445"/>
      <c r="AR70" s="445"/>
      <c r="AS70" s="448" t="s">
        <v>94</v>
      </c>
      <c r="AT70" s="445"/>
      <c r="AU70" s="445"/>
      <c r="AV70" s="446"/>
      <c r="AW70" s="438">
        <f>IF(AA70="","",SUMIF(SK!R$88:R$163,ROW(),SK!T$88:T$163))</f>
        <v>0</v>
      </c>
      <c r="AX70" s="43"/>
      <c r="AY70" s="439" t="str">
        <f t="shared" ref="AY70:AZ70" si="26">AY28</f>
        <v>47</v>
      </c>
      <c r="AZ70" s="440" t="str">
        <f t="shared" si="26"/>
        <v>Author of Pain</v>
      </c>
    </row>
    <row r="71" ht="31.5" customHeight="1">
      <c r="A71" s="442">
        <f>IF(Score!A71="", "",Score!A71 )</f>
        <v>19</v>
      </c>
      <c r="B71" s="443"/>
      <c r="C71" s="444" t="str">
        <f>IF(Score!B71="", "",Score!B71 )</f>
        <v>10</v>
      </c>
      <c r="D71" s="445"/>
      <c r="E71" s="445"/>
      <c r="F71" s="445"/>
      <c r="G71" s="444" t="s">
        <v>60</v>
      </c>
      <c r="H71" s="445"/>
      <c r="I71" s="445"/>
      <c r="J71" s="445"/>
      <c r="K71" s="444" t="s">
        <v>56</v>
      </c>
      <c r="L71" s="445"/>
      <c r="M71" s="445"/>
      <c r="N71" s="445"/>
      <c r="O71" s="444" t="s">
        <v>112</v>
      </c>
      <c r="P71" s="445"/>
      <c r="Q71" s="445"/>
      <c r="R71" s="445"/>
      <c r="S71" s="444" t="s">
        <v>104</v>
      </c>
      <c r="T71" s="445"/>
      <c r="U71" s="445"/>
      <c r="V71" s="446"/>
      <c r="W71" s="438">
        <f>IF(A71="","",SUMIF(SK!B$88:B$163,ROW(),SK!D$88:D$163))</f>
        <v>0</v>
      </c>
      <c r="X71" s="43"/>
      <c r="Y71" s="43"/>
      <c r="Z71" s="440"/>
      <c r="AA71" s="461">
        <f>IF(Score!T71="", "",Score!T71 )</f>
        <v>19</v>
      </c>
      <c r="AB71" s="443"/>
      <c r="AC71" s="444" t="str">
        <f>IF(Score!U71="", "",Score!U71 )</f>
        <v>329</v>
      </c>
      <c r="AD71" s="445"/>
      <c r="AE71" s="445"/>
      <c r="AF71" s="445"/>
      <c r="AG71" s="444" t="s">
        <v>114</v>
      </c>
      <c r="AH71" s="445"/>
      <c r="AI71" s="445"/>
      <c r="AJ71" s="445"/>
      <c r="AK71" s="444" t="s">
        <v>133</v>
      </c>
      <c r="AL71" s="445"/>
      <c r="AM71" s="445"/>
      <c r="AN71" s="445"/>
      <c r="AO71" s="444" t="s">
        <v>102</v>
      </c>
      <c r="AP71" s="445"/>
      <c r="AQ71" s="445"/>
      <c r="AR71" s="445"/>
      <c r="AS71" s="444" t="s">
        <v>82</v>
      </c>
      <c r="AT71" s="445"/>
      <c r="AU71" s="445"/>
      <c r="AV71" s="446"/>
      <c r="AW71" s="438">
        <f>IF(AA71="","",SUMIF(SK!R$88:R$163,ROW(),SK!T$88:T$163))</f>
        <v>0</v>
      </c>
      <c r="AX71" s="43"/>
      <c r="AY71" s="43"/>
      <c r="AZ71" s="440"/>
    </row>
    <row r="72" ht="31.5" customHeight="1">
      <c r="A72" s="447">
        <f>IF(Score!A72="", "",Score!A72 )</f>
        <v>20</v>
      </c>
      <c r="B72" s="441"/>
      <c r="C72" s="448" t="str">
        <f>IF(Score!B72="", "",Score!B72 )</f>
        <v>394</v>
      </c>
      <c r="D72" s="445"/>
      <c r="E72" s="445"/>
      <c r="F72" s="445"/>
      <c r="G72" s="448" t="s">
        <v>120</v>
      </c>
      <c r="H72" s="445"/>
      <c r="I72" s="445"/>
      <c r="J72" s="445"/>
      <c r="K72" s="448" t="s">
        <v>122</v>
      </c>
      <c r="L72" s="445"/>
      <c r="M72" s="445"/>
      <c r="N72" s="445"/>
      <c r="O72" s="448" t="s">
        <v>124</v>
      </c>
      <c r="P72" s="445"/>
      <c r="Q72" s="445"/>
      <c r="R72" s="445"/>
      <c r="S72" s="448" t="s">
        <v>76</v>
      </c>
      <c r="T72" s="445"/>
      <c r="U72" s="445"/>
      <c r="V72" s="446"/>
      <c r="W72" s="438">
        <f>IF(A72="","",SUMIF(SK!B$88:B$163,ROW(),SK!D$88:D$163))</f>
        <v>0</v>
      </c>
      <c r="X72" s="43"/>
      <c r="Y72" s="439" t="str">
        <f t="shared" ref="Y72:Z72" si="27">Y30</f>
        <v>394</v>
      </c>
      <c r="Z72" s="440" t="str">
        <f t="shared" si="27"/>
        <v>Punkie Pie</v>
      </c>
      <c r="AA72" s="459">
        <f>IF(Score!T72="", "",Score!T72 )</f>
        <v>20</v>
      </c>
      <c r="AB72" s="441"/>
      <c r="AC72" s="448" t="str">
        <f>IF(Score!U72="", "",Score!U72 )</f>
        <v>9</v>
      </c>
      <c r="AD72" s="445"/>
      <c r="AE72" s="445"/>
      <c r="AF72" s="445"/>
      <c r="AG72" s="448" t="s">
        <v>90</v>
      </c>
      <c r="AH72" s="445"/>
      <c r="AI72" s="445"/>
      <c r="AJ72" s="445"/>
      <c r="AK72" s="448" t="s">
        <v>66</v>
      </c>
      <c r="AL72" s="445"/>
      <c r="AM72" s="445"/>
      <c r="AN72" s="445"/>
      <c r="AO72" s="448" t="s">
        <v>94</v>
      </c>
      <c r="AP72" s="445"/>
      <c r="AQ72" s="445"/>
      <c r="AR72" s="445"/>
      <c r="AS72" s="448" t="s">
        <v>62</v>
      </c>
      <c r="AT72" s="445" t="s">
        <v>296</v>
      </c>
      <c r="AU72" s="445"/>
      <c r="AV72" s="446"/>
      <c r="AW72" s="438">
        <f>IF(AA72="","",SUMIF(SK!R$88:R$163,ROW(),SK!T$88:T$163))</f>
        <v>0</v>
      </c>
      <c r="AX72" s="43"/>
      <c r="AY72" s="439" t="str">
        <f t="shared" ref="AY72:AZ72" si="28">AY30</f>
        <v>484*</v>
      </c>
      <c r="AZ72" s="440" t="str">
        <f t="shared" si="28"/>
        <v>Gemineye</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4</v>
      </c>
      <c r="Z74" s="440" t="str">
        <f t="shared" si="29"/>
        <v>Sure, man</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505</v>
      </c>
      <c r="AZ74" s="440" t="str">
        <f t="shared" si="30"/>
        <v>Swearin' Marie</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602*</v>
      </c>
      <c r="Z76" s="440" t="str">
        <f t="shared" si="31"/>
        <v>Feen-X</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75*</v>
      </c>
      <c r="AZ76" s="440" t="str">
        <f t="shared" si="32"/>
        <v>TamTrum</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7</v>
      </c>
      <c r="Z78" s="440" t="str">
        <f t="shared" si="33"/>
        <v>Skatie Katie</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88</v>
      </c>
      <c r="AZ78" s="440" t="str">
        <f t="shared" si="34"/>
        <v>Rocktopus</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76</v>
      </c>
      <c r="Z80" s="440" t="str">
        <f t="shared" si="35"/>
        <v>Queen Loseyateefa</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v>
      </c>
      <c r="AZ80" s="440" t="str">
        <f t="shared" si="36"/>
        <v>Kell's Inferno</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88</v>
      </c>
      <c r="Z82" s="440" t="str">
        <f t="shared" si="37"/>
        <v>MsMURDR</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913*</v>
      </c>
      <c r="AZ82" s="440" t="str">
        <f t="shared" si="38"/>
        <v>Termiskater</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96*</v>
      </c>
      <c r="Z83" s="440" t="str">
        <f t="shared" si="39"/>
        <v>Weird Flex</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999</v>
      </c>
      <c r="AZ83" s="455" t="str">
        <f t="shared" si="40"/>
        <v>Amanda Jamitinya</v>
      </c>
    </row>
    <row r="84" ht="15.0" customHeight="1">
      <c r="A84" s="457" t="s">
        <v>301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Arizona Roller Derby / All Stars</v>
      </c>
      <c r="B1" s="207"/>
      <c r="C1" s="207"/>
      <c r="D1" s="207"/>
      <c r="E1" s="207"/>
      <c r="F1" s="207"/>
      <c r="G1" s="207"/>
      <c r="H1" s="207"/>
      <c r="I1" s="207"/>
      <c r="J1" s="208"/>
      <c r="K1" s="464" t="str">
        <f>IF(ISBLANK(IGRF!$B$12), "", IGRF!$B$12)</f>
        <v>White</v>
      </c>
      <c r="L1" s="153"/>
      <c r="M1" s="153"/>
      <c r="N1" s="153"/>
      <c r="O1" s="153"/>
      <c r="P1" s="465">
        <f>IF(ISBLANK(IGRF!$B$7), "", IGRF!$B$7)</f>
        <v>45128</v>
      </c>
      <c r="Q1" s="170"/>
      <c r="R1" s="170"/>
      <c r="S1" s="213"/>
      <c r="T1" s="466"/>
      <c r="U1" s="153"/>
      <c r="V1" s="153"/>
      <c r="W1" s="153"/>
      <c r="X1" s="153"/>
      <c r="Y1" s="153"/>
      <c r="Z1" s="153"/>
      <c r="AA1" s="153"/>
      <c r="AB1" s="153"/>
      <c r="AC1" s="153"/>
      <c r="AD1" s="153"/>
      <c r="AE1" s="153"/>
      <c r="AF1" s="467">
        <v>1.0</v>
      </c>
      <c r="AG1" s="8"/>
      <c r="AH1" s="8"/>
      <c r="AI1" s="9"/>
      <c r="AJ1" s="463" t="str">
        <f>Score!T1</f>
        <v>Elevated Roller Derby / Elevated Roller Derby All Stars</v>
      </c>
      <c r="AK1" s="207"/>
      <c r="AL1" s="207"/>
      <c r="AM1" s="207"/>
      <c r="AN1" s="207"/>
      <c r="AO1" s="207"/>
      <c r="AP1" s="207"/>
      <c r="AQ1" s="207"/>
      <c r="AR1" s="207"/>
      <c r="AS1" s="208"/>
      <c r="AT1" s="464" t="str">
        <f>IF(ISBLANK(IGRF!$I$12), "", IGRF!$I$12)</f>
        <v>Black</v>
      </c>
      <c r="AU1" s="153"/>
      <c r="AV1" s="153"/>
      <c r="AW1" s="153"/>
      <c r="AX1" s="153"/>
      <c r="AY1" s="465">
        <f>P1</f>
        <v>45128</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209</v>
      </c>
      <c r="L2" s="20"/>
      <c r="M2" s="20"/>
      <c r="N2" s="20"/>
      <c r="O2" s="20"/>
      <c r="P2" s="468" t="s">
        <v>210</v>
      </c>
      <c r="Q2" s="39"/>
      <c r="R2" s="39"/>
      <c r="S2" s="40"/>
      <c r="T2" s="425" t="s">
        <v>303</v>
      </c>
      <c r="U2" s="20"/>
      <c r="V2" s="20"/>
      <c r="W2" s="20"/>
      <c r="X2" s="20"/>
      <c r="Y2" s="20"/>
      <c r="Z2" s="20"/>
      <c r="AA2" s="20"/>
      <c r="AB2" s="20"/>
      <c r="AC2" s="20"/>
      <c r="AD2" s="20"/>
      <c r="AE2" s="20"/>
      <c r="AF2" s="469" t="str">
        <f>IF(ISBLANK(IGRF!$L$3), "", "GAME " &amp; IGRF!$L$3)</f>
        <v>GAME 03</v>
      </c>
      <c r="AG2" s="39"/>
      <c r="AH2" s="39"/>
      <c r="AI2" s="40"/>
      <c r="AJ2" s="216"/>
      <c r="AK2" s="20"/>
      <c r="AL2" s="20"/>
      <c r="AM2" s="20"/>
      <c r="AN2" s="20"/>
      <c r="AO2" s="20"/>
      <c r="AP2" s="20"/>
      <c r="AQ2" s="20"/>
      <c r="AR2" s="20"/>
      <c r="AS2" s="158"/>
      <c r="AT2" s="423" t="s">
        <v>209</v>
      </c>
      <c r="AU2" s="71"/>
      <c r="AV2" s="71"/>
      <c r="AW2" s="71"/>
      <c r="AX2" s="71"/>
      <c r="AY2" s="470" t="s">
        <v>210</v>
      </c>
      <c r="AZ2" s="71"/>
      <c r="BA2" s="71"/>
      <c r="BB2" s="72"/>
      <c r="BC2" s="423" t="s">
        <v>303</v>
      </c>
      <c r="BD2" s="71"/>
      <c r="BE2" s="71"/>
      <c r="BF2" s="71"/>
      <c r="BG2" s="71"/>
      <c r="BH2" s="71"/>
      <c r="BI2" s="71"/>
      <c r="BJ2" s="71"/>
      <c r="BK2" s="71"/>
      <c r="BL2" s="71"/>
      <c r="BM2" s="71"/>
      <c r="BN2" s="71"/>
      <c r="BO2" s="469" t="str">
        <f>AF2</f>
        <v>GAME 03</v>
      </c>
      <c r="BP2" s="39"/>
      <c r="BQ2" s="39"/>
      <c r="BR2" s="40"/>
      <c r="BS2" s="43"/>
    </row>
    <row r="3" ht="13.5" customHeight="1">
      <c r="A3" s="427" t="s">
        <v>288</v>
      </c>
      <c r="B3" s="471" t="s">
        <v>289</v>
      </c>
      <c r="C3" s="429" t="s">
        <v>290</v>
      </c>
      <c r="D3" s="430" t="s">
        <v>291</v>
      </c>
      <c r="E3" s="45"/>
      <c r="F3" s="431"/>
      <c r="G3" s="429" t="s">
        <v>292</v>
      </c>
      <c r="H3" s="430" t="s">
        <v>291</v>
      </c>
      <c r="I3" s="45"/>
      <c r="J3" s="431"/>
      <c r="K3" s="429" t="s">
        <v>293</v>
      </c>
      <c r="L3" s="430" t="s">
        <v>291</v>
      </c>
      <c r="M3" s="45"/>
      <c r="N3" s="431"/>
      <c r="O3" s="429" t="s">
        <v>293</v>
      </c>
      <c r="P3" s="430" t="s">
        <v>291</v>
      </c>
      <c r="Q3" s="45"/>
      <c r="R3" s="431"/>
      <c r="S3" s="429" t="s">
        <v>293</v>
      </c>
      <c r="T3" s="430" t="s">
        <v>291</v>
      </c>
      <c r="U3" s="45"/>
      <c r="V3" s="431"/>
      <c r="W3" s="432"/>
      <c r="X3" s="472" t="s">
        <v>304</v>
      </c>
      <c r="Y3" s="473" t="s">
        <v>140</v>
      </c>
      <c r="Z3" s="14"/>
      <c r="AA3" s="14"/>
      <c r="AB3" s="14"/>
      <c r="AC3" s="14"/>
      <c r="AD3" s="14"/>
      <c r="AE3" s="14"/>
      <c r="AF3" s="14"/>
      <c r="AG3" s="42"/>
      <c r="AH3" s="473" t="s">
        <v>239</v>
      </c>
      <c r="AI3" s="15"/>
      <c r="AJ3" s="427" t="s">
        <v>288</v>
      </c>
      <c r="AK3" s="471" t="s">
        <v>289</v>
      </c>
      <c r="AL3" s="429" t="s">
        <v>290</v>
      </c>
      <c r="AM3" s="430" t="s">
        <v>291</v>
      </c>
      <c r="AN3" s="45"/>
      <c r="AO3" s="431"/>
      <c r="AP3" s="429" t="s">
        <v>292</v>
      </c>
      <c r="AQ3" s="430" t="s">
        <v>291</v>
      </c>
      <c r="AR3" s="45"/>
      <c r="AS3" s="431"/>
      <c r="AT3" s="429" t="s">
        <v>293</v>
      </c>
      <c r="AU3" s="430" t="s">
        <v>291</v>
      </c>
      <c r="AV3" s="45"/>
      <c r="AW3" s="431"/>
      <c r="AX3" s="429" t="s">
        <v>293</v>
      </c>
      <c r="AY3" s="430" t="s">
        <v>291</v>
      </c>
      <c r="AZ3" s="45"/>
      <c r="BA3" s="431"/>
      <c r="BB3" s="429" t="s">
        <v>293</v>
      </c>
      <c r="BC3" s="430" t="s">
        <v>291</v>
      </c>
      <c r="BD3" s="45"/>
      <c r="BE3" s="431"/>
      <c r="BF3" s="432"/>
      <c r="BG3" s="432" t="s">
        <v>304</v>
      </c>
      <c r="BH3" s="473" t="s">
        <v>140</v>
      </c>
      <c r="BI3" s="14"/>
      <c r="BJ3" s="14"/>
      <c r="BK3" s="14"/>
      <c r="BL3" s="14"/>
      <c r="BM3" s="14"/>
      <c r="BN3" s="14"/>
      <c r="BO3" s="14"/>
      <c r="BP3" s="42"/>
      <c r="BQ3" s="473" t="s">
        <v>239</v>
      </c>
      <c r="BR3" s="15"/>
      <c r="BS3" s="5"/>
    </row>
    <row r="4" ht="31.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01</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10*</v>
      </c>
      <c r="BH4" s="476"/>
      <c r="BI4" s="477"/>
      <c r="BJ4" s="478"/>
      <c r="BK4" s="478"/>
      <c r="BL4" s="478"/>
      <c r="BM4" s="479"/>
      <c r="BN4" s="480"/>
      <c r="BO4" s="481"/>
      <c r="BP4" s="482"/>
      <c r="BQ4" s="483"/>
      <c r="BR4" s="484"/>
      <c r="BS4" s="43"/>
    </row>
    <row r="5" ht="31.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024</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11</v>
      </c>
      <c r="BH6" s="497"/>
      <c r="BI6" s="498"/>
      <c r="BJ6" s="499"/>
      <c r="BK6" s="499"/>
      <c r="BL6" s="499"/>
      <c r="BM6" s="500"/>
      <c r="BN6" s="501"/>
      <c r="BO6" s="502"/>
      <c r="BP6" s="503"/>
      <c r="BQ6" s="504"/>
      <c r="BR6" s="484"/>
      <c r="BS6" s="43"/>
    </row>
    <row r="7" ht="31.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10</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120</v>
      </c>
      <c r="BH8" s="476"/>
      <c r="BI8" s="477"/>
      <c r="BJ8" s="478"/>
      <c r="BK8" s="478"/>
      <c r="BL8" s="478"/>
      <c r="BM8" s="479"/>
      <c r="BN8" s="480"/>
      <c r="BO8" s="481"/>
      <c r="BP8" s="482"/>
      <c r="BQ8" s="504"/>
      <c r="BR8" s="484"/>
      <c r="BS8" s="43"/>
    </row>
    <row r="9" ht="31.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16*</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13</v>
      </c>
      <c r="BH10" s="497"/>
      <c r="BI10" s="498"/>
      <c r="BJ10" s="499"/>
      <c r="BK10" s="499"/>
      <c r="BL10" s="499"/>
      <c r="BM10" s="500"/>
      <c r="BN10" s="501"/>
      <c r="BO10" s="502"/>
      <c r="BP10" s="503"/>
      <c r="BQ10" s="504"/>
      <c r="BR10" s="484"/>
      <c r="BS10" s="43"/>
    </row>
    <row r="11" ht="31.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22*</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15</v>
      </c>
      <c r="BH12" s="476"/>
      <c r="BI12" s="477"/>
      <c r="BJ12" s="478"/>
      <c r="BK12" s="478"/>
      <c r="BL12" s="478"/>
      <c r="BM12" s="479"/>
      <c r="BN12" s="480"/>
      <c r="BO12" s="481"/>
      <c r="BP12" s="482"/>
      <c r="BQ12" s="504"/>
      <c r="BR12" s="484"/>
      <c r="BS12" s="43"/>
    </row>
    <row r="13" ht="31.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24</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21*</v>
      </c>
      <c r="BH14" s="497"/>
      <c r="BI14" s="498"/>
      <c r="BJ14" s="499"/>
      <c r="BK14" s="499"/>
      <c r="BL14" s="499"/>
      <c r="BM14" s="500"/>
      <c r="BN14" s="501"/>
      <c r="BO14" s="502"/>
      <c r="BP14" s="503"/>
      <c r="BQ14" s="504"/>
      <c r="BR14" s="484"/>
      <c r="BS14" s="43"/>
    </row>
    <row r="15" ht="31.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264</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213</v>
      </c>
      <c r="BH16" s="476"/>
      <c r="BI16" s="477"/>
      <c r="BJ16" s="478"/>
      <c r="BK16" s="478"/>
      <c r="BL16" s="478"/>
      <c r="BM16" s="479"/>
      <c r="BN16" s="480"/>
      <c r="BO16" s="481"/>
      <c r="BP16" s="482"/>
      <c r="BQ16" s="504"/>
      <c r="BR16" s="484"/>
      <c r="BS16" s="43"/>
    </row>
    <row r="17" ht="31.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27*</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221</v>
      </c>
      <c r="BH18" s="497"/>
      <c r="BI18" s="498"/>
      <c r="BJ18" s="499"/>
      <c r="BK18" s="499"/>
      <c r="BL18" s="499"/>
      <c r="BM18" s="500"/>
      <c r="BN18" s="501"/>
      <c r="BO18" s="502"/>
      <c r="BP18" s="503"/>
      <c r="BQ18" s="504"/>
      <c r="BR18" s="484"/>
      <c r="BS18" s="43"/>
    </row>
    <row r="19" ht="31.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3</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28</v>
      </c>
      <c r="BH20" s="476"/>
      <c r="BI20" s="477"/>
      <c r="BJ20" s="478"/>
      <c r="BK20" s="478"/>
      <c r="BL20" s="478"/>
      <c r="BM20" s="479"/>
      <c r="BN20" s="480"/>
      <c r="BO20" s="481"/>
      <c r="BP20" s="482"/>
      <c r="BQ20" s="504"/>
      <c r="BR20" s="484"/>
      <c r="BS20" s="43"/>
    </row>
    <row r="21" ht="31.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31</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321</v>
      </c>
      <c r="BH22" s="497"/>
      <c r="BI22" s="498"/>
      <c r="BJ22" s="499"/>
      <c r="BK22" s="499"/>
      <c r="BL22" s="499"/>
      <c r="BM22" s="500"/>
      <c r="BN22" s="501"/>
      <c r="BO22" s="502"/>
      <c r="BP22" s="503"/>
      <c r="BQ22" s="504"/>
      <c r="BR22" s="484"/>
      <c r="BS22" s="43"/>
    </row>
    <row r="23" ht="31.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313</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329</v>
      </c>
      <c r="BH24" s="476"/>
      <c r="BI24" s="477"/>
      <c r="BJ24" s="478"/>
      <c r="BK24" s="478"/>
      <c r="BL24" s="478"/>
      <c r="BM24" s="479"/>
      <c r="BN24" s="480"/>
      <c r="BO24" s="481"/>
      <c r="BP24" s="482"/>
      <c r="BQ24" s="504"/>
      <c r="BR24" s="484"/>
      <c r="BS24" s="43"/>
    </row>
    <row r="25" ht="31.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3381</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410</v>
      </c>
      <c r="BH26" s="497"/>
      <c r="BI26" s="498"/>
      <c r="BJ26" s="499"/>
      <c r="BK26" s="499"/>
      <c r="BL26" s="499"/>
      <c r="BM26" s="500"/>
      <c r="BN26" s="501"/>
      <c r="BO26" s="502"/>
      <c r="BP26" s="503"/>
      <c r="BQ26" s="504"/>
      <c r="BR26" s="484"/>
      <c r="BS26" s="43"/>
    </row>
    <row r="27" ht="31.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38</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47</v>
      </c>
      <c r="BH28" s="476"/>
      <c r="BI28" s="477"/>
      <c r="BJ28" s="478"/>
      <c r="BK28" s="478"/>
      <c r="BL28" s="478"/>
      <c r="BM28" s="479"/>
      <c r="BN28" s="480"/>
      <c r="BO28" s="481"/>
      <c r="BP28" s="482"/>
      <c r="BQ28" s="504"/>
      <c r="BR28" s="484"/>
      <c r="BS28" s="43"/>
    </row>
    <row r="29" ht="31.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394</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484*</v>
      </c>
      <c r="BH30" s="497"/>
      <c r="BI30" s="498"/>
      <c r="BJ30" s="499"/>
      <c r="BK30" s="499"/>
      <c r="BL30" s="499"/>
      <c r="BM30" s="500"/>
      <c r="BN30" s="501"/>
      <c r="BO30" s="502"/>
      <c r="BP30" s="503"/>
      <c r="BQ30" s="504"/>
      <c r="BR30" s="484"/>
      <c r="BS30" s="43"/>
    </row>
    <row r="31" ht="31.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4</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505</v>
      </c>
      <c r="BH32" s="476"/>
      <c r="BI32" s="477"/>
      <c r="BJ32" s="478"/>
      <c r="BK32" s="478"/>
      <c r="BL32" s="478"/>
      <c r="BM32" s="479"/>
      <c r="BN32" s="480"/>
      <c r="BO32" s="481"/>
      <c r="BP32" s="482"/>
      <c r="BQ32" s="504"/>
      <c r="BR32" s="484"/>
      <c r="BS32" s="43"/>
    </row>
    <row r="33" ht="31.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602*</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75*</v>
      </c>
      <c r="BH34" s="497"/>
      <c r="BI34" s="498"/>
      <c r="BJ34" s="499"/>
      <c r="BK34" s="499"/>
      <c r="BL34" s="499"/>
      <c r="BM34" s="500"/>
      <c r="BN34" s="501"/>
      <c r="BO34" s="502"/>
      <c r="BP34" s="503"/>
      <c r="BQ34" s="504"/>
      <c r="BR34" s="484"/>
      <c r="BS34" s="43"/>
    </row>
    <row r="35" ht="31.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7</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88</v>
      </c>
      <c r="BH36" s="476"/>
      <c r="BI36" s="477"/>
      <c r="BJ36" s="478"/>
      <c r="BK36" s="478"/>
      <c r="BL36" s="478"/>
      <c r="BM36" s="479"/>
      <c r="BN36" s="480"/>
      <c r="BO36" s="481"/>
      <c r="BP36" s="482"/>
      <c r="BQ36" s="504"/>
      <c r="BR36" s="484"/>
      <c r="BS36" s="43"/>
    </row>
    <row r="37" ht="31.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76</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v>
      </c>
      <c r="BH38" s="497"/>
      <c r="BI38" s="498"/>
      <c r="BJ38" s="499"/>
      <c r="BK38" s="499"/>
      <c r="BL38" s="499"/>
      <c r="BM38" s="500"/>
      <c r="BN38" s="501"/>
      <c r="BO38" s="502"/>
      <c r="BP38" s="503"/>
      <c r="BQ38" s="504"/>
      <c r="BR38" s="484"/>
      <c r="BS38" s="43"/>
    </row>
    <row r="39" ht="31.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88</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913*</v>
      </c>
      <c r="BH40" s="476"/>
      <c r="BI40" s="477"/>
      <c r="BJ40" s="478"/>
      <c r="BK40" s="478"/>
      <c r="BL40" s="478"/>
      <c r="BM40" s="479"/>
      <c r="BN40" s="480"/>
      <c r="BO40" s="481"/>
      <c r="BP40" s="482"/>
      <c r="BQ40" s="504"/>
      <c r="BR40" s="484"/>
      <c r="BS40" s="43"/>
    </row>
    <row r="41" ht="31.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305</v>
      </c>
      <c r="B42" s="347"/>
      <c r="C42" s="347"/>
      <c r="D42" s="347"/>
      <c r="E42" s="347"/>
      <c r="F42" s="347"/>
      <c r="G42" s="347"/>
      <c r="H42" s="347"/>
      <c r="I42" s="347"/>
      <c r="J42" s="347"/>
      <c r="K42" s="347"/>
      <c r="L42" s="347"/>
      <c r="M42" s="347"/>
      <c r="N42" s="347"/>
      <c r="O42" s="347"/>
      <c r="P42" s="347"/>
      <c r="Q42" s="347"/>
      <c r="R42" s="347"/>
      <c r="S42" s="513" t="s">
        <v>306</v>
      </c>
      <c r="T42" s="514"/>
      <c r="U42" s="515"/>
      <c r="V42" s="516"/>
      <c r="W42" s="43"/>
      <c r="X42" s="496" t="str">
        <f>IF(IGRF!B33="","",IGRF!B33)</f>
        <v>96*</v>
      </c>
      <c r="Y42" s="497"/>
      <c r="Z42" s="498"/>
      <c r="AA42" s="499"/>
      <c r="AB42" s="499"/>
      <c r="AC42" s="499"/>
      <c r="AD42" s="500"/>
      <c r="AE42" s="501"/>
      <c r="AF42" s="502"/>
      <c r="AG42" s="503"/>
      <c r="AH42" s="504"/>
      <c r="AI42" s="484"/>
      <c r="AJ42" s="512" t="s">
        <v>307</v>
      </c>
      <c r="AK42" s="347"/>
      <c r="AL42" s="347"/>
      <c r="AM42" s="347"/>
      <c r="AN42" s="347"/>
      <c r="AO42" s="347"/>
      <c r="AP42" s="347"/>
      <c r="AQ42" s="347"/>
      <c r="AR42" s="347"/>
      <c r="AS42" s="347"/>
      <c r="AT42" s="347"/>
      <c r="AU42" s="347"/>
      <c r="AV42" s="347"/>
      <c r="AW42" s="347"/>
      <c r="AX42" s="347"/>
      <c r="AY42" s="347"/>
      <c r="AZ42" s="347"/>
      <c r="BA42" s="347"/>
      <c r="BB42" s="513" t="s">
        <v>306</v>
      </c>
      <c r="BC42" s="514"/>
      <c r="BD42" s="515"/>
      <c r="BE42" s="516"/>
      <c r="BF42" s="43"/>
      <c r="BG42" s="496" t="str">
        <f>IF(IGRF!I33="","",IGRF!I33)</f>
        <v>999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308</v>
      </c>
      <c r="AD44" s="8"/>
      <c r="AE44" s="8"/>
      <c r="AF44" s="8"/>
      <c r="AG44" s="8"/>
      <c r="AH44" s="8"/>
      <c r="AI44" s="9"/>
      <c r="BB44" s="517"/>
      <c r="BC44" s="517"/>
      <c r="BD44" s="517"/>
      <c r="BE44" s="517"/>
      <c r="BF44" s="43"/>
      <c r="BG44" s="521"/>
      <c r="BH44" s="521"/>
      <c r="BI44" s="522"/>
      <c r="BJ44" s="522"/>
      <c r="BK44" s="522"/>
      <c r="BL44" s="523" t="s">
        <v>308</v>
      </c>
      <c r="BM44" s="8"/>
      <c r="BN44" s="8"/>
      <c r="BO44" s="8"/>
      <c r="BP44" s="8"/>
      <c r="BQ44" s="8"/>
      <c r="BR44" s="9"/>
      <c r="BS44" s="524"/>
    </row>
    <row r="45" ht="28.5" customHeight="1">
      <c r="A45" s="463" t="str">
        <f>A1</f>
        <v>Arizona Roller Derby / All Stars</v>
      </c>
      <c r="B45" s="207"/>
      <c r="C45" s="207"/>
      <c r="D45" s="207"/>
      <c r="E45" s="207"/>
      <c r="F45" s="207"/>
      <c r="G45" s="207"/>
      <c r="H45" s="207"/>
      <c r="I45" s="207"/>
      <c r="J45" s="208"/>
      <c r="K45" s="464" t="str">
        <f>K1</f>
        <v>White</v>
      </c>
      <c r="L45" s="153"/>
      <c r="M45" s="153"/>
      <c r="N45" s="153"/>
      <c r="O45" s="153"/>
      <c r="P45" s="465">
        <f>P1</f>
        <v>45128</v>
      </c>
      <c r="Q45" s="170"/>
      <c r="R45" s="170"/>
      <c r="S45" s="213"/>
      <c r="T45" s="466"/>
      <c r="U45" s="153"/>
      <c r="V45" s="153"/>
      <c r="W45" s="153"/>
      <c r="X45" s="153"/>
      <c r="Y45" s="153"/>
      <c r="Z45" s="153"/>
      <c r="AA45" s="153"/>
      <c r="AB45" s="153"/>
      <c r="AC45" s="153"/>
      <c r="AD45" s="153"/>
      <c r="AE45" s="153"/>
      <c r="AF45" s="467">
        <v>2.0</v>
      </c>
      <c r="AG45" s="8"/>
      <c r="AH45" s="8"/>
      <c r="AI45" s="9"/>
      <c r="AJ45" s="463" t="str">
        <f>AJ1</f>
        <v>Elevated Roller Derby / Elevated Roller Derby All Stars</v>
      </c>
      <c r="AK45" s="207"/>
      <c r="AL45" s="207"/>
      <c r="AM45" s="207"/>
      <c r="AN45" s="207"/>
      <c r="AO45" s="207"/>
      <c r="AP45" s="207"/>
      <c r="AQ45" s="207"/>
      <c r="AR45" s="207"/>
      <c r="AS45" s="208"/>
      <c r="AT45" s="464" t="str">
        <f>AT1</f>
        <v>Black</v>
      </c>
      <c r="AU45" s="153"/>
      <c r="AV45" s="153"/>
      <c r="AW45" s="153"/>
      <c r="AX45" s="153"/>
      <c r="AY45" s="465">
        <f>AY1</f>
        <v>45128</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209</v>
      </c>
      <c r="L46" s="71"/>
      <c r="M46" s="71"/>
      <c r="N46" s="71"/>
      <c r="O46" s="71"/>
      <c r="P46" s="470" t="s">
        <v>210</v>
      </c>
      <c r="Q46" s="71"/>
      <c r="R46" s="71"/>
      <c r="S46" s="72"/>
      <c r="T46" s="423" t="s">
        <v>303</v>
      </c>
      <c r="U46" s="71"/>
      <c r="V46" s="71"/>
      <c r="W46" s="71"/>
      <c r="X46" s="71"/>
      <c r="Y46" s="71"/>
      <c r="Z46" s="71"/>
      <c r="AA46" s="71"/>
      <c r="AB46" s="71"/>
      <c r="AC46" s="71"/>
      <c r="AD46" s="71"/>
      <c r="AE46" s="71"/>
      <c r="AF46" s="469" t="str">
        <f>AF2</f>
        <v>GAME 03</v>
      </c>
      <c r="AG46" s="39"/>
      <c r="AH46" s="39"/>
      <c r="AI46" s="40"/>
      <c r="AJ46" s="216"/>
      <c r="AK46" s="20"/>
      <c r="AL46" s="20"/>
      <c r="AM46" s="20"/>
      <c r="AN46" s="20"/>
      <c r="AO46" s="20"/>
      <c r="AP46" s="20"/>
      <c r="AQ46" s="20"/>
      <c r="AR46" s="20"/>
      <c r="AS46" s="158"/>
      <c r="AT46" s="423" t="s">
        <v>209</v>
      </c>
      <c r="AU46" s="71"/>
      <c r="AV46" s="71"/>
      <c r="AW46" s="71"/>
      <c r="AX46" s="71"/>
      <c r="AY46" s="470" t="s">
        <v>210</v>
      </c>
      <c r="AZ46" s="71"/>
      <c r="BA46" s="71"/>
      <c r="BB46" s="72"/>
      <c r="BC46" s="423" t="s">
        <v>303</v>
      </c>
      <c r="BD46" s="71"/>
      <c r="BE46" s="71"/>
      <c r="BF46" s="71"/>
      <c r="BG46" s="71"/>
      <c r="BH46" s="71"/>
      <c r="BI46" s="71"/>
      <c r="BJ46" s="71"/>
      <c r="BK46" s="71"/>
      <c r="BL46" s="71"/>
      <c r="BM46" s="71"/>
      <c r="BN46" s="71"/>
      <c r="BO46" s="469" t="str">
        <f>BO2</f>
        <v>GAME 03</v>
      </c>
      <c r="BP46" s="39"/>
      <c r="BQ46" s="39"/>
      <c r="BR46" s="40"/>
      <c r="BS46" s="43"/>
    </row>
    <row r="47" ht="13.5" customHeight="1">
      <c r="A47" s="427" t="s">
        <v>288</v>
      </c>
      <c r="B47" s="471" t="s">
        <v>289</v>
      </c>
      <c r="C47" s="429" t="s">
        <v>290</v>
      </c>
      <c r="D47" s="430" t="s">
        <v>291</v>
      </c>
      <c r="E47" s="45"/>
      <c r="F47" s="431"/>
      <c r="G47" s="429" t="s">
        <v>292</v>
      </c>
      <c r="H47" s="430" t="s">
        <v>291</v>
      </c>
      <c r="I47" s="45"/>
      <c r="J47" s="431"/>
      <c r="K47" s="429" t="s">
        <v>293</v>
      </c>
      <c r="L47" s="430" t="s">
        <v>291</v>
      </c>
      <c r="M47" s="45"/>
      <c r="N47" s="431"/>
      <c r="O47" s="429" t="s">
        <v>293</v>
      </c>
      <c r="P47" s="430" t="s">
        <v>291</v>
      </c>
      <c r="Q47" s="45"/>
      <c r="R47" s="431"/>
      <c r="S47" s="429" t="s">
        <v>293</v>
      </c>
      <c r="T47" s="430" t="s">
        <v>291</v>
      </c>
      <c r="U47" s="45"/>
      <c r="V47" s="431"/>
      <c r="W47" s="432"/>
      <c r="X47" s="432" t="s">
        <v>304</v>
      </c>
      <c r="Y47" s="473" t="s">
        <v>140</v>
      </c>
      <c r="Z47" s="14"/>
      <c r="AA47" s="14"/>
      <c r="AB47" s="14"/>
      <c r="AC47" s="14"/>
      <c r="AD47" s="14"/>
      <c r="AE47" s="14"/>
      <c r="AF47" s="14"/>
      <c r="AG47" s="42"/>
      <c r="AH47" s="473" t="s">
        <v>239</v>
      </c>
      <c r="AI47" s="15"/>
      <c r="AJ47" s="427" t="s">
        <v>288</v>
      </c>
      <c r="AK47" s="471" t="s">
        <v>289</v>
      </c>
      <c r="AL47" s="429" t="s">
        <v>290</v>
      </c>
      <c r="AM47" s="430" t="s">
        <v>291</v>
      </c>
      <c r="AN47" s="45"/>
      <c r="AO47" s="431"/>
      <c r="AP47" s="429" t="s">
        <v>292</v>
      </c>
      <c r="AQ47" s="430" t="s">
        <v>291</v>
      </c>
      <c r="AR47" s="45"/>
      <c r="AS47" s="431"/>
      <c r="AT47" s="429" t="s">
        <v>293</v>
      </c>
      <c r="AU47" s="430" t="s">
        <v>291</v>
      </c>
      <c r="AV47" s="45"/>
      <c r="AW47" s="431"/>
      <c r="AX47" s="429" t="s">
        <v>293</v>
      </c>
      <c r="AY47" s="430" t="s">
        <v>291</v>
      </c>
      <c r="AZ47" s="45"/>
      <c r="BA47" s="431"/>
      <c r="BB47" s="429" t="s">
        <v>293</v>
      </c>
      <c r="BC47" s="430" t="s">
        <v>291</v>
      </c>
      <c r="BD47" s="45"/>
      <c r="BE47" s="431"/>
      <c r="BF47" s="432"/>
      <c r="BG47" s="432" t="s">
        <v>304</v>
      </c>
      <c r="BH47" s="473" t="s">
        <v>140</v>
      </c>
      <c r="BI47" s="14"/>
      <c r="BJ47" s="14"/>
      <c r="BK47" s="14"/>
      <c r="BL47" s="14"/>
      <c r="BM47" s="14"/>
      <c r="BN47" s="14"/>
      <c r="BO47" s="14"/>
      <c r="BP47" s="42"/>
      <c r="BQ47" s="473" t="s">
        <v>239</v>
      </c>
      <c r="BR47" s="15"/>
      <c r="BS47" s="5"/>
    </row>
    <row r="48" ht="31.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01</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10*</v>
      </c>
      <c r="BH48" s="476"/>
      <c r="BI48" s="477"/>
      <c r="BJ48" s="478"/>
      <c r="BK48" s="478"/>
      <c r="BL48" s="478"/>
      <c r="BM48" s="479"/>
      <c r="BN48" s="480"/>
      <c r="BO48" s="481"/>
      <c r="BP48" s="482"/>
      <c r="BQ48" s="483"/>
      <c r="BR48" s="484"/>
      <c r="BS48" s="43"/>
    </row>
    <row r="49" ht="31.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024</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11</v>
      </c>
      <c r="BH50" s="497"/>
      <c r="BI50" s="498"/>
      <c r="BJ50" s="499"/>
      <c r="BK50" s="499"/>
      <c r="BL50" s="499"/>
      <c r="BM50" s="500"/>
      <c r="BN50" s="501"/>
      <c r="BO50" s="502"/>
      <c r="BP50" s="503"/>
      <c r="BQ50" s="504"/>
      <c r="BR50" s="484"/>
      <c r="BS50" s="43"/>
    </row>
    <row r="51" ht="31.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10</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120</v>
      </c>
      <c r="BH52" s="476"/>
      <c r="BI52" s="477"/>
      <c r="BJ52" s="478"/>
      <c r="BK52" s="478"/>
      <c r="BL52" s="478"/>
      <c r="BM52" s="479"/>
      <c r="BN52" s="480"/>
      <c r="BO52" s="481"/>
      <c r="BP52" s="482"/>
      <c r="BQ52" s="504"/>
      <c r="BR52" s="484"/>
      <c r="BS52" s="43"/>
    </row>
    <row r="53" ht="31.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16*</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13</v>
      </c>
      <c r="BH54" s="497"/>
      <c r="BI54" s="498"/>
      <c r="BJ54" s="499"/>
      <c r="BK54" s="499"/>
      <c r="BL54" s="499"/>
      <c r="BM54" s="500"/>
      <c r="BN54" s="501"/>
      <c r="BO54" s="502"/>
      <c r="BP54" s="503"/>
      <c r="BQ54" s="504"/>
      <c r="BR54" s="484"/>
      <c r="BS54" s="43"/>
    </row>
    <row r="55" ht="31.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22*</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15</v>
      </c>
      <c r="BH56" s="476"/>
      <c r="BI56" s="477"/>
      <c r="BJ56" s="478"/>
      <c r="BK56" s="478"/>
      <c r="BL56" s="478"/>
      <c r="BM56" s="479"/>
      <c r="BN56" s="480"/>
      <c r="BO56" s="481"/>
      <c r="BP56" s="482"/>
      <c r="BQ56" s="504"/>
      <c r="BR56" s="484"/>
      <c r="BS56" s="43"/>
    </row>
    <row r="57" ht="31.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24</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21*</v>
      </c>
      <c r="BH58" s="497"/>
      <c r="BI58" s="498"/>
      <c r="BJ58" s="499"/>
      <c r="BK58" s="499"/>
      <c r="BL58" s="499"/>
      <c r="BM58" s="500"/>
      <c r="BN58" s="501"/>
      <c r="BO58" s="502"/>
      <c r="BP58" s="503"/>
      <c r="BQ58" s="504"/>
      <c r="BR58" s="484"/>
      <c r="BS58" s="43"/>
    </row>
    <row r="59" ht="31.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264</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213</v>
      </c>
      <c r="BH60" s="476"/>
      <c r="BI60" s="477"/>
      <c r="BJ60" s="478"/>
      <c r="BK60" s="478"/>
      <c r="BL60" s="478"/>
      <c r="BM60" s="479"/>
      <c r="BN60" s="480"/>
      <c r="BO60" s="481"/>
      <c r="BP60" s="482"/>
      <c r="BQ60" s="504"/>
      <c r="BR60" s="484"/>
      <c r="BS60" s="43"/>
    </row>
    <row r="61" ht="31.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27*</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221</v>
      </c>
      <c r="BH62" s="497"/>
      <c r="BI62" s="498"/>
      <c r="BJ62" s="499"/>
      <c r="BK62" s="499"/>
      <c r="BL62" s="499"/>
      <c r="BM62" s="500"/>
      <c r="BN62" s="501"/>
      <c r="BO62" s="502"/>
      <c r="BP62" s="503"/>
      <c r="BQ62" s="504"/>
      <c r="BR62" s="484"/>
      <c r="BS62" s="43"/>
    </row>
    <row r="63" ht="31.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3</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28</v>
      </c>
      <c r="BH64" s="476"/>
      <c r="BI64" s="477"/>
      <c r="BJ64" s="478"/>
      <c r="BK64" s="478"/>
      <c r="BL64" s="478"/>
      <c r="BM64" s="479"/>
      <c r="BN64" s="480"/>
      <c r="BO64" s="481"/>
      <c r="BP64" s="482"/>
      <c r="BQ64" s="504"/>
      <c r="BR64" s="484"/>
      <c r="BS64" s="43"/>
    </row>
    <row r="65" ht="31.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31</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321</v>
      </c>
      <c r="BH66" s="497"/>
      <c r="BI66" s="498"/>
      <c r="BJ66" s="499"/>
      <c r="BK66" s="499"/>
      <c r="BL66" s="499"/>
      <c r="BM66" s="500"/>
      <c r="BN66" s="501"/>
      <c r="BO66" s="502"/>
      <c r="BP66" s="503"/>
      <c r="BQ66" s="504"/>
      <c r="BR66" s="484"/>
      <c r="BS66" s="43"/>
    </row>
    <row r="67" ht="31.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313</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329</v>
      </c>
      <c r="BH68" s="476"/>
      <c r="BI68" s="477"/>
      <c r="BJ68" s="478"/>
      <c r="BK68" s="478"/>
      <c r="BL68" s="478"/>
      <c r="BM68" s="479"/>
      <c r="BN68" s="480"/>
      <c r="BO68" s="481"/>
      <c r="BP68" s="482"/>
      <c r="BQ68" s="504"/>
      <c r="BR68" s="484"/>
      <c r="BS68" s="43"/>
    </row>
    <row r="69" ht="31.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3381</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410</v>
      </c>
      <c r="BH70" s="497"/>
      <c r="BI70" s="498"/>
      <c r="BJ70" s="499"/>
      <c r="BK70" s="499"/>
      <c r="BL70" s="499"/>
      <c r="BM70" s="500"/>
      <c r="BN70" s="501"/>
      <c r="BO70" s="502"/>
      <c r="BP70" s="503"/>
      <c r="BQ70" s="504"/>
      <c r="BR70" s="484"/>
      <c r="BS70" s="43"/>
    </row>
    <row r="71" ht="31.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38</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47</v>
      </c>
      <c r="BH72" s="476"/>
      <c r="BI72" s="477"/>
      <c r="BJ72" s="478"/>
      <c r="BK72" s="478"/>
      <c r="BL72" s="478"/>
      <c r="BM72" s="479"/>
      <c r="BN72" s="480"/>
      <c r="BO72" s="481"/>
      <c r="BP72" s="482"/>
      <c r="BQ72" s="504"/>
      <c r="BR72" s="484"/>
      <c r="BS72" s="43"/>
    </row>
    <row r="73" ht="31.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394</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484*</v>
      </c>
      <c r="BH74" s="497"/>
      <c r="BI74" s="498"/>
      <c r="BJ74" s="499"/>
      <c r="BK74" s="499"/>
      <c r="BL74" s="499"/>
      <c r="BM74" s="500"/>
      <c r="BN74" s="501"/>
      <c r="BO74" s="502"/>
      <c r="BP74" s="503"/>
      <c r="BQ74" s="504"/>
      <c r="BR74" s="484"/>
      <c r="BS74" s="43"/>
    </row>
    <row r="75" ht="31.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4</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505</v>
      </c>
      <c r="BH76" s="476"/>
      <c r="BI76" s="477"/>
      <c r="BJ76" s="478"/>
      <c r="BK76" s="478"/>
      <c r="BL76" s="478"/>
      <c r="BM76" s="479"/>
      <c r="BN76" s="480"/>
      <c r="BO76" s="481"/>
      <c r="BP76" s="482"/>
      <c r="BQ76" s="504"/>
      <c r="BR76" s="484"/>
      <c r="BS76" s="43"/>
    </row>
    <row r="77" ht="31.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602*</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75*</v>
      </c>
      <c r="BH78" s="497"/>
      <c r="BI78" s="498"/>
      <c r="BJ78" s="499"/>
      <c r="BK78" s="499"/>
      <c r="BL78" s="499"/>
      <c r="BM78" s="500"/>
      <c r="BN78" s="501"/>
      <c r="BO78" s="502"/>
      <c r="BP78" s="503"/>
      <c r="BQ78" s="504"/>
      <c r="BR78" s="484"/>
      <c r="BS78" s="43"/>
    </row>
    <row r="79" ht="31.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7</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88</v>
      </c>
      <c r="BH80" s="476"/>
      <c r="BI80" s="477"/>
      <c r="BJ80" s="478"/>
      <c r="BK80" s="478"/>
      <c r="BL80" s="478"/>
      <c r="BM80" s="479"/>
      <c r="BN80" s="480"/>
      <c r="BO80" s="481"/>
      <c r="BP80" s="482"/>
      <c r="BQ80" s="504"/>
      <c r="BR80" s="484"/>
      <c r="BS80" s="43"/>
    </row>
    <row r="81" ht="31.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76</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v>
      </c>
      <c r="BH82" s="497"/>
      <c r="BI82" s="498"/>
      <c r="BJ82" s="499"/>
      <c r="BK82" s="499"/>
      <c r="BL82" s="499"/>
      <c r="BM82" s="500"/>
      <c r="BN82" s="501"/>
      <c r="BO82" s="502"/>
      <c r="BP82" s="503"/>
      <c r="BQ82" s="504"/>
      <c r="BR82" s="484"/>
      <c r="BS82" s="43"/>
    </row>
    <row r="83" ht="31.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88</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913*</v>
      </c>
      <c r="BH84" s="476"/>
      <c r="BI84" s="477"/>
      <c r="BJ84" s="478"/>
      <c r="BK84" s="478"/>
      <c r="BL84" s="478"/>
      <c r="BM84" s="479"/>
      <c r="BN84" s="480"/>
      <c r="BO84" s="481"/>
      <c r="BP84" s="482"/>
      <c r="BQ84" s="504"/>
      <c r="BR84" s="484"/>
      <c r="BS84" s="43"/>
    </row>
    <row r="85" ht="31.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309</v>
      </c>
      <c r="B86" s="347"/>
      <c r="C86" s="347"/>
      <c r="D86" s="347"/>
      <c r="E86" s="347"/>
      <c r="F86" s="347"/>
      <c r="G86" s="347"/>
      <c r="H86" s="347"/>
      <c r="I86" s="347"/>
      <c r="J86" s="347"/>
      <c r="K86" s="347"/>
      <c r="L86" s="347"/>
      <c r="M86" s="347"/>
      <c r="N86" s="347"/>
      <c r="O86" s="347"/>
      <c r="P86" s="347"/>
      <c r="Q86" s="347"/>
      <c r="R86" s="347"/>
      <c r="S86" s="513" t="s">
        <v>306</v>
      </c>
      <c r="T86" s="514"/>
      <c r="U86" s="515"/>
      <c r="V86" s="516"/>
      <c r="W86" s="43"/>
      <c r="X86" s="496" t="str">
        <f>X42</f>
        <v>96*</v>
      </c>
      <c r="Y86" s="497"/>
      <c r="Z86" s="498"/>
      <c r="AA86" s="499"/>
      <c r="AB86" s="499"/>
      <c r="AC86" s="499"/>
      <c r="AD86" s="500"/>
      <c r="AE86" s="501"/>
      <c r="AF86" s="502"/>
      <c r="AG86" s="503"/>
      <c r="AH86" s="504"/>
      <c r="AI86" s="484"/>
      <c r="AJ86" s="512" t="s">
        <v>310</v>
      </c>
      <c r="AK86" s="347"/>
      <c r="AL86" s="347"/>
      <c r="AM86" s="347"/>
      <c r="AN86" s="347"/>
      <c r="AO86" s="347"/>
      <c r="AP86" s="347"/>
      <c r="AQ86" s="347"/>
      <c r="AR86" s="347"/>
      <c r="AS86" s="347"/>
      <c r="AT86" s="347"/>
      <c r="AU86" s="347"/>
      <c r="AV86" s="347"/>
      <c r="AW86" s="347"/>
      <c r="AX86" s="347"/>
      <c r="AY86" s="347"/>
      <c r="AZ86" s="347"/>
      <c r="BA86" s="347"/>
      <c r="BB86" s="513" t="s">
        <v>306</v>
      </c>
      <c r="BC86" s="514"/>
      <c r="BD86" s="515"/>
      <c r="BE86" s="516"/>
      <c r="BF86" s="43"/>
      <c r="BG86" s="496" t="str">
        <f>BG42</f>
        <v>999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311</v>
      </c>
      <c r="AD88" s="8"/>
      <c r="AE88" s="8"/>
      <c r="AF88" s="8"/>
      <c r="AG88" s="8"/>
      <c r="AH88" s="8"/>
      <c r="AI88" s="9"/>
      <c r="BB88" s="517"/>
      <c r="BC88" s="517"/>
      <c r="BD88" s="517"/>
      <c r="BE88" s="517"/>
      <c r="BF88" s="43"/>
      <c r="BG88" s="521"/>
      <c r="BH88" s="522"/>
      <c r="BI88" s="522"/>
      <c r="BJ88" s="522"/>
      <c r="BK88" s="522"/>
      <c r="BL88" s="523" t="s">
        <v>311</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312</v>
      </c>
    </row>
    <row r="2" ht="15.0" customHeight="1">
      <c r="A2" s="5" t="str">
        <f>IF(IGRF!B10="","PLEASE FILL IN THE IGRF TAB!",IGRF!$B$10&amp;" / "&amp;IGRF!$B$11&amp;" vs. "&amp;IGRF!$I$10&amp;" / "&amp;IGRF!$I$11&amp;IF(IGRF!$L$3="",""," Game "&amp;IGRF!$L$3))</f>
        <v>Arizona Roller Derby / All Stars vs. Elevated Roller Derby / Elevated Roller Derby All Stars Game 03</v>
      </c>
    </row>
    <row r="3" ht="15.0" customHeight="1">
      <c r="A3" s="528">
        <f>IF(IGRF!$B$7="","ENTER DATE ON IGRF TAB!",IGRF!$B$7)</f>
        <v>45128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313</v>
      </c>
      <c r="B4" s="46"/>
      <c r="C4" s="529" t="s">
        <v>314</v>
      </c>
      <c r="D4" s="45"/>
      <c r="E4" s="45"/>
      <c r="F4" s="46"/>
      <c r="G4" s="530"/>
      <c r="H4" s="531"/>
      <c r="I4" s="532"/>
      <c r="J4" s="533" t="s">
        <v>315</v>
      </c>
      <c r="K4" s="45"/>
      <c r="L4" s="45"/>
      <c r="M4" s="45"/>
      <c r="N4" s="45"/>
      <c r="O4" s="45"/>
      <c r="P4" s="46"/>
      <c r="Q4" s="532"/>
      <c r="R4" s="533" t="s">
        <v>316</v>
      </c>
      <c r="S4" s="45"/>
      <c r="T4" s="45"/>
      <c r="U4" s="45"/>
      <c r="V4" s="45"/>
      <c r="W4" s="45"/>
      <c r="X4" s="45"/>
      <c r="Y4" s="45"/>
      <c r="Z4" s="45"/>
      <c r="AA4" s="45"/>
      <c r="AB4" s="45"/>
      <c r="AC4" s="46"/>
      <c r="AD4" s="533" t="s">
        <v>317</v>
      </c>
      <c r="AE4" s="45"/>
      <c r="AF4" s="45"/>
      <c r="AG4" s="45"/>
      <c r="AH4" s="45"/>
      <c r="AI4" s="45"/>
      <c r="AJ4" s="45"/>
      <c r="AK4" s="46"/>
      <c r="AL4" s="533" t="s">
        <v>318</v>
      </c>
      <c r="AM4" s="46"/>
    </row>
    <row r="5" ht="63.75" customHeight="1">
      <c r="A5" s="534" t="s">
        <v>237</v>
      </c>
      <c r="B5" s="535" t="str">
        <f>Score!$A$1</f>
        <v>Arizona Roller Derby / All Stars</v>
      </c>
      <c r="C5" s="536" t="s">
        <v>319</v>
      </c>
      <c r="D5" s="537" t="s">
        <v>320</v>
      </c>
      <c r="E5" s="537" t="s">
        <v>321</v>
      </c>
      <c r="F5" s="538" t="s">
        <v>240</v>
      </c>
      <c r="G5" s="539" t="s">
        <v>322</v>
      </c>
      <c r="H5" s="540" t="s">
        <v>323</v>
      </c>
      <c r="I5" s="541" t="s">
        <v>324</v>
      </c>
      <c r="J5" s="542" t="s">
        <v>214</v>
      </c>
      <c r="K5" s="543" t="s">
        <v>215</v>
      </c>
      <c r="L5" s="543" t="s">
        <v>325</v>
      </c>
      <c r="M5" s="543" t="s">
        <v>326</v>
      </c>
      <c r="N5" s="543" t="s">
        <v>327</v>
      </c>
      <c r="O5" s="543" t="s">
        <v>328</v>
      </c>
      <c r="P5" s="543" t="s">
        <v>329</v>
      </c>
      <c r="Q5" s="544" t="s">
        <v>330</v>
      </c>
      <c r="R5" s="536" t="s">
        <v>331</v>
      </c>
      <c r="S5" s="543" t="s">
        <v>332</v>
      </c>
      <c r="T5" s="540" t="s">
        <v>333</v>
      </c>
      <c r="U5" s="536" t="s">
        <v>334</v>
      </c>
      <c r="V5" s="536" t="s">
        <v>335</v>
      </c>
      <c r="W5" s="545" t="s">
        <v>336</v>
      </c>
      <c r="X5" s="537" t="s">
        <v>337</v>
      </c>
      <c r="Y5" s="546" t="s">
        <v>338</v>
      </c>
      <c r="Z5" s="537" t="s">
        <v>339</v>
      </c>
      <c r="AA5" s="546" t="s">
        <v>340</v>
      </c>
      <c r="AB5" s="537" t="s">
        <v>341</v>
      </c>
      <c r="AC5" s="547" t="s">
        <v>342</v>
      </c>
      <c r="AD5" s="548" t="s">
        <v>343</v>
      </c>
      <c r="AE5" s="548" t="s">
        <v>344</v>
      </c>
      <c r="AF5" s="549" t="s">
        <v>345</v>
      </c>
      <c r="AG5" s="550" t="s">
        <v>346</v>
      </c>
      <c r="AH5" s="550" t="s">
        <v>347</v>
      </c>
      <c r="AI5" s="550" t="s">
        <v>348</v>
      </c>
      <c r="AJ5" s="550" t="s">
        <v>349</v>
      </c>
      <c r="AK5" s="551" t="s">
        <v>350</v>
      </c>
      <c r="AL5" s="552" t="s">
        <v>351</v>
      </c>
      <c r="AM5" s="46"/>
    </row>
    <row r="6" ht="19.5" customHeight="1">
      <c r="A6" s="553" t="str">
        <f>IF(ISBLANK(IGRF!$B14),"",IGRF!$B14)</f>
        <v>01</v>
      </c>
      <c r="B6" s="554" t="str">
        <f>IF(ISBLANK(IGRF!$C14),"",IGRF!$C14)</f>
        <v>Goldy Knocks</v>
      </c>
      <c r="C6" s="555">
        <f>IF(A6="","",SUM(LU!O9,LU!O108))</f>
        <v>0</v>
      </c>
      <c r="D6" s="555">
        <f>IF(A6="","",SUM(LU!D9,LU!D108))</f>
        <v>9</v>
      </c>
      <c r="E6" s="555">
        <f>IF(A6="","",SUM(LU!J9,LU!J108))</f>
        <v>9</v>
      </c>
      <c r="F6" s="556">
        <f>IF(A6="","",(SUM(C6:E6)-(SUMPRODUCT(--(Lineups!C$4:C$41=A6),--(Lineups!A$4:A$41="SP"))+SUMPRODUCT(--(Lineups!G$4:G$41=A6),--(Lineups!A$4:A$41="SP"))+SUMPRODUCT(--(Lineups!C$46:C$83=A6),--(Lineups!A$46:A$83="SP"))+SUMPRODUCT(--(Lineups!G$46:G$83=A6),--(Lineups!A$46:A$83="SP")))))</f>
        <v>18</v>
      </c>
      <c r="G6" s="557">
        <f>IF(OR(A6="",F6=0,LU!D$3+LU!D$102=0),"",F6/(LU!D$3+LU!D$102))</f>
        <v>0.4615384615</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164</v>
      </c>
      <c r="S6" s="555">
        <f>IF(OR(A6="",F6=0),"",SUM(LU!Q78,LU!Q177))</f>
        <v>45</v>
      </c>
      <c r="T6" s="558">
        <f>IF(OR(A6="",F6=0),"",SUM(LU!Q32,LU!Q131))</f>
        <v>119</v>
      </c>
      <c r="U6" s="555" t="str">
        <f>IF(OR(A6="",C6=0),"",SUM(LU!O32,LU!O131))</f>
        <v/>
      </c>
      <c r="V6" s="567" t="str">
        <f t="shared" ref="V6:V25" si="3">IF(OR(A6="",C6=0),"",U6/C6)</f>
        <v/>
      </c>
      <c r="W6" s="568">
        <f>IF(OR(A6="",D6=0),"",SUM(LU!D32,LU!D131))</f>
        <v>56</v>
      </c>
      <c r="X6" s="567">
        <f t="shared" ref="X6:X25" si="4">IF(OR(A6="",D6=0),"",W6/D6)</f>
        <v>6.222222222</v>
      </c>
      <c r="Y6" s="568">
        <f>IF(OR(A6="",E6=0),"",SUM(LU!J32,LU!J131))</f>
        <v>63</v>
      </c>
      <c r="Z6" s="567">
        <f t="shared" ref="Z6:Z25" si="5">IF(OR(A6="",E6=0),"",Y6/E6)</f>
        <v>7</v>
      </c>
      <c r="AA6" s="569">
        <f>IF(OR(A6="",AND(D6=0, E6=0)),"",SUM(LU!L32,LU!L131))</f>
        <v>119</v>
      </c>
      <c r="AB6" s="570">
        <f t="shared" ref="AB6:AB25" si="6">IF(OR(A6="",AND(D6=0, E6=0)),"",AA6/(D6+E6))</f>
        <v>6.611111111</v>
      </c>
      <c r="AC6" s="565">
        <f>IF(OR(A6="",F6=0),"",T6/F6)</f>
        <v>6.611111111</v>
      </c>
      <c r="AD6" s="571">
        <f>IF(OR(A6="",F6=0,R$26="-",LU!$D$5=0),"",R6-R$26)</f>
        <v>69</v>
      </c>
      <c r="AE6" s="572">
        <f>IF(OR(A6="",F6=0,S$26="-",LU!$D$5=0),"",S6-S$26)</f>
        <v>20.66666667</v>
      </c>
      <c r="AF6" s="573">
        <f t="shared" ref="AF6:AF25" si="7">IF(OR(A6="",F6=0,AD6=""),"",AD6-AE6)</f>
        <v>48.33333333</v>
      </c>
      <c r="AG6" s="574" t="str">
        <f t="shared" ref="AG6:AG25" si="8">IF(OR($A6="",C6=0),"",V6-V$26)</f>
        <v/>
      </c>
      <c r="AH6" s="574">
        <f t="shared" ref="AH6:AH25" si="9">IF(OR($A6="",D6=0),"",X6-X$26)</f>
        <v>1.240530303</v>
      </c>
      <c r="AI6" s="575">
        <f t="shared" ref="AI6:AI25" si="10">IF(OR($A6="",E6=0),"",Z6-Z$26)</f>
        <v>1.291489066</v>
      </c>
      <c r="AJ6" s="576">
        <f t="shared" ref="AJ6:AJ25" si="11">IF(OR($A6="",AND(D6=0, E6=0)),"",AB6-AB$26)</f>
        <v>1.146142494</v>
      </c>
      <c r="AK6" s="577">
        <f>IF(OR($A6="",AC6="",AC$26="-",LU!$D$5=0),"",AC6-AC$26)</f>
        <v>1.126295741</v>
      </c>
      <c r="AL6" s="578">
        <f>IF(OR(A6="",F6=0),"",SUM(PT!U3,PT!U4))</f>
        <v>2</v>
      </c>
      <c r="AM6" s="50"/>
    </row>
    <row r="7" ht="19.5" customHeight="1">
      <c r="A7" s="579" t="str">
        <f>IF(ISBLANK(IGRF!$B15),"",IGRF!$B15)</f>
        <v>024</v>
      </c>
      <c r="B7" s="580" t="str">
        <f>IF(ISBLANK(IGRF!$C15),"",IGRF!$C15)</f>
        <v>Cutty</v>
      </c>
      <c r="C7" s="581">
        <f>IF(A7="","",SUM(LU!O10,LU!O109))</f>
        <v>1</v>
      </c>
      <c r="D7" s="581">
        <f>IF(A7="","",SUM(LU!D10,LU!D109))</f>
        <v>11</v>
      </c>
      <c r="E7" s="582">
        <f>IF(A7="","",SUM(LU!J10,LU!J109))</f>
        <v>0</v>
      </c>
      <c r="F7" s="583">
        <f>IF(A7="","",(SUM(C7:E7)-(SUMPRODUCT(--(Lineups!C$4:C$41=A7),--(Lineups!A$4:A$41="SP"))+SUMPRODUCT(--(Lineups!G$4:G$41=A7),--(Lineups!A$4:A$41="SP"))+SUMPRODUCT(--(Lineups!C$46:C$83=A7),--(Lineups!A$46:A$83="SP"))+SUMPRODUCT(--(Lineups!G$46:G$83=A7),--(Lineups!A$46:A$83="SP")))))</f>
        <v>12</v>
      </c>
      <c r="G7" s="584">
        <f>IF(OR(A7="",F7=0,LU!D$3+LU!D$102=0),"",F7/(LU!D$3+LU!D$102))</f>
        <v>0.3076923077</v>
      </c>
      <c r="H7" s="585">
        <f>IF(OR(C7=0,A7=""),"",SK!D177)</f>
        <v>4</v>
      </c>
      <c r="I7" s="586">
        <f>IF(OR(A7="",SK!E177="",SK!E177=0),"",H7/SK!E177)</f>
        <v>4</v>
      </c>
      <c r="J7" s="587">
        <f>IF(OR(A7="",C7=0),"",SK!G177)</f>
        <v>0</v>
      </c>
      <c r="K7" s="588">
        <f>IF(OR(A7="",C7=0),"",SK!H177)</f>
        <v>1</v>
      </c>
      <c r="L7" s="589">
        <f>IF(OR(A7="",C7=0),"",SK!J177)</f>
        <v>1</v>
      </c>
      <c r="M7" s="589">
        <f>IF(OR(A7="",C7=0),"",SK!L177)</f>
        <v>0</v>
      </c>
      <c r="N7" s="589">
        <f>IF(OR(A7="",C7=0),"",SUMPRODUCT(--(Lineups!$A$4:$A$41="SP"),--(Lineups!$C$4:$C$41=A7))+SUMPRODUCT(--(Lineups!$A$46:$A$83="SP"),--(Lineups!$C$46:$C$83=A7)))</f>
        <v>0</v>
      </c>
      <c r="O7" s="590">
        <f t="shared" si="1"/>
        <v>1</v>
      </c>
      <c r="P7" s="591">
        <f>IF(OR(A7="",C7=0),"",SK!I177)</f>
        <v>4</v>
      </c>
      <c r="Q7" s="592">
        <f t="shared" si="2"/>
        <v>4</v>
      </c>
      <c r="R7" s="593">
        <f>IF(OR(A7="",F7=0),"",SUM(LU!Q56,LU!Q155))</f>
        <v>84</v>
      </c>
      <c r="S7" s="581">
        <f>IF(OR(A7="",F7=0),"",SUM(LU!Q79,LU!Q178))</f>
        <v>20</v>
      </c>
      <c r="T7" s="585">
        <f>IF(OR(A7="",F7=0),"",SUM(LU!Q33,LU!Q132))</f>
        <v>64</v>
      </c>
      <c r="U7" s="581">
        <f>IF(OR(A7="",C7=0),"",SUM(LU!O33,LU!O132))</f>
        <v>4</v>
      </c>
      <c r="V7" s="594">
        <f t="shared" si="3"/>
        <v>4</v>
      </c>
      <c r="W7" s="595">
        <f>IF(OR(A7="",D7=0),"",SUM(LU!D33,LU!D132))</f>
        <v>60</v>
      </c>
      <c r="X7" s="594">
        <f t="shared" si="4"/>
        <v>5.454545455</v>
      </c>
      <c r="Y7" s="595" t="str">
        <f>IF(OR(A7="",E7=0),"",SUM(LU!J33,LU!J132))</f>
        <v/>
      </c>
      <c r="Z7" s="596" t="str">
        <f t="shared" si="5"/>
        <v/>
      </c>
      <c r="AA7" s="595">
        <f>IF(OR(A7="",AND(D7=0, E7=0)),"",SUM(LU!L33,LU!L132))</f>
        <v>60</v>
      </c>
      <c r="AB7" s="594">
        <f t="shared" si="6"/>
        <v>5.454545455</v>
      </c>
      <c r="AC7" s="597">
        <f t="shared" ref="AC7:AC25" si="12">IF(OR(A7="",F7="",F7=0),"",T7/F7)</f>
        <v>5.333333333</v>
      </c>
      <c r="AD7" s="598">
        <f>IF(OR(A7="",F7=0,R$26="-",LU!$D$5=0),"",R7-R$26)</f>
        <v>-11</v>
      </c>
      <c r="AE7" s="599">
        <f>IF(OR(A7="",F7=0,S$26="-",LU!$D$5=0),"",S7-S$26)</f>
        <v>-4.333333333</v>
      </c>
      <c r="AF7" s="600">
        <f t="shared" si="7"/>
        <v>-6.666666667</v>
      </c>
      <c r="AG7" s="601">
        <f t="shared" si="8"/>
        <v>0.2291666667</v>
      </c>
      <c r="AH7" s="601">
        <f t="shared" si="9"/>
        <v>0.4728535354</v>
      </c>
      <c r="AI7" s="602" t="str">
        <f t="shared" si="10"/>
        <v/>
      </c>
      <c r="AJ7" s="601">
        <f t="shared" si="11"/>
        <v>-0.0104231627</v>
      </c>
      <c r="AK7" s="603">
        <f>IF(OR($A7="",AC7="",AC$26="-",LU!$D$5=0),"",AC7-AC$26)</f>
        <v>-0.1514820365</v>
      </c>
      <c r="AL7" s="604">
        <f>IF(OR(A7="",F7=0),"",SUM(PT!U5,PT!U6))</f>
        <v>2</v>
      </c>
      <c r="AM7" s="87"/>
    </row>
    <row r="8" ht="19.5" customHeight="1">
      <c r="A8" s="579" t="str">
        <f>IF(ISBLANK(IGRF!$B16),"",IGRF!$B16)</f>
        <v>10</v>
      </c>
      <c r="B8" s="580" t="str">
        <f>IF(ISBLANK(IGRF!$C16),"",IGRF!$C16)</f>
        <v>Frida</v>
      </c>
      <c r="C8" s="581">
        <f>IF(A8="","",SUM(LU!O11,LU!O110))</f>
        <v>9</v>
      </c>
      <c r="D8" s="581">
        <f>IF(A8="","",SUM(LU!D11,LU!D110))</f>
        <v>0</v>
      </c>
      <c r="E8" s="582">
        <f>IF(A8="","",SUM(LU!J11,LU!J110))</f>
        <v>0</v>
      </c>
      <c r="F8" s="583">
        <f>IF(A8="","",(SUM(C8:E8)-(SUMPRODUCT(--(Lineups!C$4:C$41=A8),--(Lineups!A$4:A$41="SP"))+SUMPRODUCT(--(Lineups!G$4:G$41=A8),--(Lineups!A$4:A$41="SP"))+SUMPRODUCT(--(Lineups!C$46:C$83=A8),--(Lineups!A$46:A$83="SP"))+SUMPRODUCT(--(Lineups!G$46:G$83=A8),--(Lineups!A$46:A$83="SP")))))</f>
        <v>9</v>
      </c>
      <c r="G8" s="584">
        <f>IF(OR(A8="",F8=0,LU!D$3+LU!D$102=0),"",F8/(LU!D$3+LU!D$102))</f>
        <v>0.2307692308</v>
      </c>
      <c r="H8" s="585">
        <f>IF(OR(C8=0,A8=""),"",SK!D180)</f>
        <v>59</v>
      </c>
      <c r="I8" s="586">
        <f>IF(OR(A8="",SK!E180="",SK!E180=0),"",H8/SK!E180)</f>
        <v>6.555555556</v>
      </c>
      <c r="J8" s="587">
        <f>IF(OR(A8="",C8=0),"",SK!G180)</f>
        <v>1</v>
      </c>
      <c r="K8" s="588">
        <f>IF(OR(A8="",C8=0),"",SK!H180)</f>
        <v>6</v>
      </c>
      <c r="L8" s="589">
        <f>IF(OR(A8="",C8=0),"",SK!J180)</f>
        <v>6</v>
      </c>
      <c r="M8" s="589">
        <f>IF(OR(A8="",C8=0),"",SK!L180)</f>
        <v>0</v>
      </c>
      <c r="N8" s="589">
        <f>IF(OR(A8="",C8=0),"",SUMPRODUCT(--(Lineups!$A$4:$A$41="SP"),--(Lineups!$C$4:$C$41=A8))+SUMPRODUCT(--(Lineups!$A$46:$A$83="SP"),--(Lineups!$C$46:$C$83=A8)))</f>
        <v>0</v>
      </c>
      <c r="O8" s="590">
        <f t="shared" si="1"/>
        <v>0.6666666667</v>
      </c>
      <c r="P8" s="591">
        <f>IF(OR(A8="",C8=0),"",SK!I180)</f>
        <v>36</v>
      </c>
      <c r="Q8" s="592">
        <f t="shared" si="2"/>
        <v>6</v>
      </c>
      <c r="R8" s="593">
        <f>IF(OR(A8="",F8=0),"",SUM(LU!Q57,LU!Q156))</f>
        <v>59</v>
      </c>
      <c r="S8" s="581">
        <f>IF(OR(A8="",F8=0),"",SUM(LU!Q80,LU!Q179))</f>
        <v>17</v>
      </c>
      <c r="T8" s="585">
        <f>IF(OR(A8="",F8=0),"",SUM(LU!Q34,LU!Q133))</f>
        <v>42</v>
      </c>
      <c r="U8" s="581">
        <f>IF(OR(A8="",C8=0),"",SUM(LU!O34,LU!O133))</f>
        <v>42</v>
      </c>
      <c r="V8" s="594">
        <f t="shared" si="3"/>
        <v>4.666666667</v>
      </c>
      <c r="W8" s="595" t="str">
        <f>IF(OR(A8="",D8=0),"",SUM(LU!D34,LU!D133))</f>
        <v/>
      </c>
      <c r="X8" s="594" t="str">
        <f t="shared" si="4"/>
        <v/>
      </c>
      <c r="Y8" s="595" t="str">
        <f>IF(OR(A8="",E8=0),"",SUM(LU!J34,LU!J133))</f>
        <v/>
      </c>
      <c r="Z8" s="594" t="str">
        <f t="shared" si="5"/>
        <v/>
      </c>
      <c r="AA8" s="595" t="str">
        <f>IF(OR(A8="",AND(D8=0, E8=0)),"",SUM(LU!L34,LU!L133))</f>
        <v/>
      </c>
      <c r="AB8" s="594" t="str">
        <f t="shared" si="6"/>
        <v/>
      </c>
      <c r="AC8" s="592">
        <f t="shared" si="12"/>
        <v>4.666666667</v>
      </c>
      <c r="AD8" s="598">
        <f>IF(OR(A8="",F8=0,R$26="-",LU!$D$5=0),"",R8-R$26)</f>
        <v>-36</v>
      </c>
      <c r="AE8" s="599">
        <f>IF(OR(A8="",F8=0,S$26="-",LU!$D$5=0),"",S8-S$26)</f>
        <v>-7.333333333</v>
      </c>
      <c r="AF8" s="600">
        <f t="shared" si="7"/>
        <v>-28.66666667</v>
      </c>
      <c r="AG8" s="601">
        <f t="shared" si="8"/>
        <v>0.8958333333</v>
      </c>
      <c r="AH8" s="601" t="str">
        <f t="shared" si="9"/>
        <v/>
      </c>
      <c r="AI8" s="602" t="str">
        <f t="shared" si="10"/>
        <v/>
      </c>
      <c r="AJ8" s="601" t="str">
        <f t="shared" si="11"/>
        <v/>
      </c>
      <c r="AK8" s="605">
        <f>IF(OR($A8="",AC8="",AC$26="-",LU!$D$5=0),"",AC8-AC$26)</f>
        <v>-0.8181487031</v>
      </c>
      <c r="AL8" s="604">
        <f>IF(OR(A8="",F8=0),"",SUM(PT!U7,PT!U8))</f>
        <v>1</v>
      </c>
      <c r="AM8" s="87"/>
    </row>
    <row r="9" ht="19.5" customHeight="1">
      <c r="A9" s="579" t="str">
        <f>IF(ISBLANK(IGRF!$B17),"",IGRF!$B17)</f>
        <v>16*</v>
      </c>
      <c r="B9" s="580" t="str">
        <f>IF(ISBLANK(IGRF!$C17),"",IGRF!$C17)</f>
        <v>Just Monroe</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22*</v>
      </c>
      <c r="B10" s="580" t="str">
        <f>IF(ISBLANK(IGRF!$C18),"",IGRF!$C18)</f>
        <v>Meche</v>
      </c>
      <c r="C10" s="581">
        <f>IF(A10="","",SUM(LU!O13,LU!O112))</f>
        <v>0</v>
      </c>
      <c r="D10" s="581">
        <f>IF(A10="","",SUM(LU!D13,LU!D112))</f>
        <v>0</v>
      </c>
      <c r="E10" s="582">
        <f>IF(A10="","",SUM(LU!J13,LU!J112))</f>
        <v>0</v>
      </c>
      <c r="F10" s="583">
        <f>IF(A10="","",(SUM(C10:E10)-(SUMPRODUCT(--(Lineups!C$4:C$41=A10),--(Lineups!A$4:A$41="SP"))+SUMPRODUCT(--(Lineups!G$4:G$41=A10),--(Lineups!A$4:A$41="SP"))+SUMPRODUCT(--(Lineups!C$46:C$83=A10),--(Lineups!A$46:A$83="SP"))+SUMPRODUCT(--(Lineups!G$46:G$83=A10),--(Lineups!A$46:A$83="SP")))))</f>
        <v>0</v>
      </c>
      <c r="G10" s="584" t="str">
        <f>IF(OR(A10="",F10=0,LU!D$3+LU!D$102=0),"",F10/(LU!D$3+LU!D$102))</f>
        <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t="str">
        <f>IF(OR(A10="",F10=0),"",SUM(LU!Q59,LU!Q158))</f>
        <v/>
      </c>
      <c r="S10" s="581" t="str">
        <f>IF(OR(A10="",F10=0),"",SUM(LU!Q82,LU!Q181))</f>
        <v/>
      </c>
      <c r="T10" s="585" t="str">
        <f>IF(OR(A10="",F10=0),"",SUM(LU!Q36,LU!Q135))</f>
        <v/>
      </c>
      <c r="U10" s="581" t="str">
        <f>IF(OR(A10="",C10=0),"",SUM(LU!O36,LU!O135))</f>
        <v/>
      </c>
      <c r="V10" s="594" t="str">
        <f t="shared" si="3"/>
        <v/>
      </c>
      <c r="W10" s="595" t="str">
        <f>IF(OR(A10="",D10=0),"",SUM(LU!D36,LU!D135))</f>
        <v/>
      </c>
      <c r="X10" s="594" t="str">
        <f t="shared" si="4"/>
        <v/>
      </c>
      <c r="Y10" s="595" t="str">
        <f>IF(OR(A10="",E10=0),"",SUM(LU!J36,LU!J135))</f>
        <v/>
      </c>
      <c r="Z10" s="594" t="str">
        <f t="shared" si="5"/>
        <v/>
      </c>
      <c r="AA10" s="595" t="str">
        <f>IF(OR(A10="",AND(D10=0, E10=0)),"",SUM(LU!L36,LU!L135))</f>
        <v/>
      </c>
      <c r="AB10" s="594" t="str">
        <f t="shared" si="6"/>
        <v/>
      </c>
      <c r="AC10" s="592" t="str">
        <f t="shared" si="12"/>
        <v/>
      </c>
      <c r="AD10" s="598" t="str">
        <f>IF(OR(A10="",F10=0,R$26="-",LU!$D$5=0),"",R10-R$26)</f>
        <v/>
      </c>
      <c r="AE10" s="599" t="str">
        <f>IF(OR(A10="",F10=0,S$26="-",LU!$D$5=0),"",S10-S$26)</f>
        <v/>
      </c>
      <c r="AF10" s="600" t="str">
        <f t="shared" si="7"/>
        <v/>
      </c>
      <c r="AG10" s="601" t="str">
        <f t="shared" si="8"/>
        <v/>
      </c>
      <c r="AH10" s="601" t="str">
        <f t="shared" si="9"/>
        <v/>
      </c>
      <c r="AI10" s="602" t="str">
        <f t="shared" si="10"/>
        <v/>
      </c>
      <c r="AJ10" s="601" t="str">
        <f t="shared" si="11"/>
        <v/>
      </c>
      <c r="AK10" s="605" t="str">
        <f>IF(OR($A10="",AC10="",AC$26="-",LU!$D$5=0),"",AC10-AC$26)</f>
        <v/>
      </c>
      <c r="AL10" s="604" t="str">
        <f>IF(OR(A10="",F10=0),"",SUM(PT!U11,PT!U12))</f>
        <v/>
      </c>
      <c r="AM10" s="87"/>
    </row>
    <row r="11" ht="19.5" customHeight="1">
      <c r="A11" s="579" t="str">
        <f>IF(ISBLANK(IGRF!$B19),"",IGRF!$B19)</f>
        <v>24</v>
      </c>
      <c r="B11" s="580" t="str">
        <f>IF(ISBLANK(IGRF!$C19),"",IGRF!$C19)</f>
        <v>Ima BlowBya</v>
      </c>
      <c r="C11" s="581">
        <f>IF(A11="","",SUM(LU!O14,LU!O113))</f>
        <v>0</v>
      </c>
      <c r="D11" s="581">
        <f>IF(A11="","",SUM(LU!D14,LU!D113))</f>
        <v>0</v>
      </c>
      <c r="E11" s="582">
        <f>IF(A11="","",SUM(LU!J14,LU!J113))</f>
        <v>18</v>
      </c>
      <c r="F11" s="583">
        <f>IF(A11="","",(SUM(C11:E11)-(SUMPRODUCT(--(Lineups!C$4:C$41=A11),--(Lineups!A$4:A$41="SP"))+SUMPRODUCT(--(Lineups!G$4:G$41=A11),--(Lineups!A$4:A$41="SP"))+SUMPRODUCT(--(Lineups!C$46:C$83=A11),--(Lineups!A$46:A$83="SP"))+SUMPRODUCT(--(Lineups!G$46:G$83=A11),--(Lineups!A$46:A$83="SP")))))</f>
        <v>18</v>
      </c>
      <c r="G11" s="584">
        <f>IF(OR(A11="",F11=0,LU!D$3+LU!D$102=0),"",F11/(LU!D$3+LU!D$102))</f>
        <v>0.4615384615</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97</v>
      </c>
      <c r="S11" s="581">
        <f>IF(OR(A11="",F11=0),"",SUM(LU!Q83,LU!Q182))</f>
        <v>35</v>
      </c>
      <c r="T11" s="585">
        <f>IF(OR(A11="",F11=0),"",SUM(LU!Q37,LU!Q136))</f>
        <v>62</v>
      </c>
      <c r="U11" s="581" t="str">
        <f>IF(OR(A11="",C11=0),"",SUM(LU!O37,LU!O136))</f>
        <v/>
      </c>
      <c r="V11" s="594" t="str">
        <f t="shared" si="3"/>
        <v/>
      </c>
      <c r="W11" s="595" t="str">
        <f>IF(OR(A11="",D11=0),"",SUM(LU!D37,LU!D136))</f>
        <v/>
      </c>
      <c r="X11" s="594" t="str">
        <f t="shared" si="4"/>
        <v/>
      </c>
      <c r="Y11" s="595">
        <f>IF(OR(A11="",E11=0),"",SUM(LU!J37,LU!J136))</f>
        <v>62</v>
      </c>
      <c r="Z11" s="594">
        <f t="shared" si="5"/>
        <v>3.444444444</v>
      </c>
      <c r="AA11" s="595">
        <f>IF(OR(A11="",AND(D11=0, E11=0)),"",SUM(LU!L37,LU!L136))</f>
        <v>62</v>
      </c>
      <c r="AB11" s="594">
        <f t="shared" si="6"/>
        <v>3.444444444</v>
      </c>
      <c r="AC11" s="592">
        <f t="shared" si="12"/>
        <v>3.444444444</v>
      </c>
      <c r="AD11" s="598">
        <f>IF(OR(A11="",F11=0,R$26="-",LU!$D$5=0),"",R11-R$26)</f>
        <v>2</v>
      </c>
      <c r="AE11" s="599">
        <f>IF(OR(A11="",F11=0,S$26="-",LU!$D$5=0),"",S11-S$26)</f>
        <v>10.66666667</v>
      </c>
      <c r="AF11" s="600">
        <f t="shared" si="7"/>
        <v>-8.666666667</v>
      </c>
      <c r="AG11" s="601" t="str">
        <f t="shared" si="8"/>
        <v/>
      </c>
      <c r="AH11" s="601" t="str">
        <f t="shared" si="9"/>
        <v/>
      </c>
      <c r="AI11" s="602">
        <f t="shared" si="10"/>
        <v>-2.264066489</v>
      </c>
      <c r="AJ11" s="601">
        <f t="shared" si="11"/>
        <v>-2.020524173</v>
      </c>
      <c r="AK11" s="605">
        <f>IF(OR($A11="",AC11="",AC$26="-",LU!$D$5=0),"",AC11-AC$26)</f>
        <v>-2.040370925</v>
      </c>
      <c r="AL11" s="604">
        <f>IF(OR(A11="",F11=0),"",SUM(PT!U13,PT!U14))</f>
        <v>2</v>
      </c>
      <c r="AM11" s="87"/>
    </row>
    <row r="12" ht="19.5" customHeight="1">
      <c r="A12" s="579" t="str">
        <f>IF(ISBLANK(IGRF!$B20),"",IGRF!$B20)</f>
        <v>264</v>
      </c>
      <c r="B12" s="580" t="str">
        <f>IF(ISBLANK(IGRF!$C20),"",IGRF!$C20)</f>
        <v>Velasco Sauce</v>
      </c>
      <c r="C12" s="581">
        <f>IF(A12="","",SUM(LU!O15,LU!O114))</f>
        <v>0</v>
      </c>
      <c r="D12" s="581">
        <f>IF(A12="","",SUM(LU!D15,LU!D114))</f>
        <v>0</v>
      </c>
      <c r="E12" s="582">
        <f>IF(A12="","",SUM(LU!J15,LU!J114))</f>
        <v>14</v>
      </c>
      <c r="F12" s="583">
        <f>IF(A12="","",(SUM(C12:E12)-(SUMPRODUCT(--(Lineups!C$4:C$41=A12),--(Lineups!A$4:A$41="SP"))+SUMPRODUCT(--(Lineups!G$4:G$41=A12),--(Lineups!A$4:A$41="SP"))+SUMPRODUCT(--(Lineups!C$46:C$83=A12),--(Lineups!A$46:A$83="SP"))+SUMPRODUCT(--(Lineups!G$46:G$83=A12),--(Lineups!A$46:A$83="SP")))))</f>
        <v>14</v>
      </c>
      <c r="G12" s="584">
        <f>IF(OR(A12="",F12=0,LU!D$3+LU!D$102=0),"",F12/(LU!D$3+LU!D$102))</f>
        <v>0.358974359</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87</v>
      </c>
      <c r="S12" s="581">
        <f>IF(OR(A12="",F12=0),"",SUM(LU!Q84,LU!Q183))</f>
        <v>31</v>
      </c>
      <c r="T12" s="585">
        <f>IF(OR(A12="",F12=0),"",SUM(LU!Q38,LU!Q137))</f>
        <v>56</v>
      </c>
      <c r="U12" s="581" t="str">
        <f>IF(OR(A12="",C12=0),"",SUM(LU!O38,LU!O137))</f>
        <v/>
      </c>
      <c r="V12" s="594" t="str">
        <f t="shared" si="3"/>
        <v/>
      </c>
      <c r="W12" s="595" t="str">
        <f>IF(OR(A12="",D12=0),"",SUM(LU!D38,LU!D137))</f>
        <v/>
      </c>
      <c r="X12" s="594" t="str">
        <f t="shared" si="4"/>
        <v/>
      </c>
      <c r="Y12" s="595">
        <f>IF(OR(A12="",E12=0),"",SUM(LU!J38,LU!J137))</f>
        <v>56</v>
      </c>
      <c r="Z12" s="594">
        <f t="shared" si="5"/>
        <v>4</v>
      </c>
      <c r="AA12" s="595">
        <f>IF(OR(A12="",AND(D12=0, E12=0)),"",SUM(LU!L38,LU!L137))</f>
        <v>56</v>
      </c>
      <c r="AB12" s="594">
        <f t="shared" si="6"/>
        <v>4</v>
      </c>
      <c r="AC12" s="592">
        <f t="shared" si="12"/>
        <v>4</v>
      </c>
      <c r="AD12" s="598">
        <f>IF(OR(A12="",F12=0,R$26="-",LU!$D$5=0),"",R12-R$26)</f>
        <v>-8</v>
      </c>
      <c r="AE12" s="599">
        <f>IF(OR(A12="",F12=0,S$26="-",LU!$D$5=0),"",S12-S$26)</f>
        <v>6.666666667</v>
      </c>
      <c r="AF12" s="600">
        <f t="shared" si="7"/>
        <v>-14.66666667</v>
      </c>
      <c r="AG12" s="601" t="str">
        <f t="shared" si="8"/>
        <v/>
      </c>
      <c r="AH12" s="601" t="str">
        <f t="shared" si="9"/>
        <v/>
      </c>
      <c r="AI12" s="602">
        <f t="shared" si="10"/>
        <v>-1.708510934</v>
      </c>
      <c r="AJ12" s="601">
        <f t="shared" si="11"/>
        <v>-1.464968617</v>
      </c>
      <c r="AK12" s="605">
        <f>IF(OR($A12="",AC12="",AC$26="-",LU!$D$5=0),"",AC12-AC$26)</f>
        <v>-1.48481537</v>
      </c>
      <c r="AL12" s="604">
        <f>IF(OR(A12="",F12=0),"",SUM(PT!U15,PT!U16))</f>
        <v>2</v>
      </c>
      <c r="AM12" s="87"/>
    </row>
    <row r="13" ht="19.5" customHeight="1">
      <c r="A13" s="579" t="str">
        <f>IF(ISBLANK(IGRF!$B21),"",IGRF!$B21)</f>
        <v>27*</v>
      </c>
      <c r="B13" s="580" t="str">
        <f>IF(ISBLANK(IGRF!$C21),"",IGRF!$C21)</f>
        <v>Babethoven</v>
      </c>
      <c r="C13" s="581">
        <f>IF(A13="","",SUM(LU!O16,LU!O115))</f>
        <v>0</v>
      </c>
      <c r="D13" s="581">
        <f>IF(A13="","",SUM(LU!D16,LU!D115))</f>
        <v>0</v>
      </c>
      <c r="E13" s="582">
        <f>IF(A13="","",SUM(LU!J16,LU!J115))</f>
        <v>0</v>
      </c>
      <c r="F13" s="583">
        <f>IF(A13="","",(SUM(C13:E13)-(SUMPRODUCT(--(Lineups!C$4:C$41=A13),--(Lineups!A$4:A$41="SP"))+SUMPRODUCT(--(Lineups!G$4:G$41=A13),--(Lineups!A$4:A$41="SP"))+SUMPRODUCT(--(Lineups!C$46:C$83=A13),--(Lineups!A$46:A$83="SP"))+SUMPRODUCT(--(Lineups!G$46:G$83=A13),--(Lineups!A$46:A$83="SP")))))</f>
        <v>0</v>
      </c>
      <c r="G13" s="584" t="str">
        <f>IF(OR(A13="",F13=0,LU!D$3+LU!D$102=0),"",F13/(LU!D$3+LU!D$102))</f>
        <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t="str">
        <f>IF(OR(A13="",F13=0),"",SUM(LU!Q62,LU!Q161))</f>
        <v/>
      </c>
      <c r="S13" s="581" t="str">
        <f>IF(OR(A13="",F13=0),"",SUM(LU!Q85,LU!Q184))</f>
        <v/>
      </c>
      <c r="T13" s="585" t="str">
        <f>IF(OR(A13="",F13=0),"",SUM(LU!Q39,LU!Q138))</f>
        <v/>
      </c>
      <c r="U13" s="581" t="str">
        <f>IF(OR(A13="",C13=0),"",SUM(LU!O39,LU!O138))</f>
        <v/>
      </c>
      <c r="V13" s="594" t="str">
        <f t="shared" si="3"/>
        <v/>
      </c>
      <c r="W13" s="595" t="str">
        <f>IF(OR(A13="",D13=0),"",SUM(LU!D39,LU!D138))</f>
        <v/>
      </c>
      <c r="X13" s="594" t="str">
        <f t="shared" si="4"/>
        <v/>
      </c>
      <c r="Y13" s="595" t="str">
        <f>IF(OR(A13="",E13=0),"",SUM(LU!J39,LU!J138))</f>
        <v/>
      </c>
      <c r="Z13" s="594" t="str">
        <f t="shared" si="5"/>
        <v/>
      </c>
      <c r="AA13" s="595" t="str">
        <f>IF(OR(A13="",AND(D13=0, E13=0)),"",SUM(LU!L39,LU!L138))</f>
        <v/>
      </c>
      <c r="AB13" s="594" t="str">
        <f t="shared" si="6"/>
        <v/>
      </c>
      <c r="AC13" s="592" t="str">
        <f t="shared" si="12"/>
        <v/>
      </c>
      <c r="AD13" s="598" t="str">
        <f>IF(OR(A13="",F13=0,R$26="-",LU!$D$5=0),"",R13-R$26)</f>
        <v/>
      </c>
      <c r="AE13" s="599" t="str">
        <f>IF(OR(A13="",F13=0,S$26="-",LU!$D$5=0),"",S13-S$26)</f>
        <v/>
      </c>
      <c r="AF13" s="600" t="str">
        <f t="shared" si="7"/>
        <v/>
      </c>
      <c r="AG13" s="601" t="str">
        <f t="shared" si="8"/>
        <v/>
      </c>
      <c r="AH13" s="601" t="str">
        <f t="shared" si="9"/>
        <v/>
      </c>
      <c r="AI13" s="602" t="str">
        <f t="shared" si="10"/>
        <v/>
      </c>
      <c r="AJ13" s="601" t="str">
        <f t="shared" si="11"/>
        <v/>
      </c>
      <c r="AK13" s="605" t="str">
        <f>IF(OR($A13="",AC13="",AC$26="-",LU!$D$5=0),"",AC13-AC$26)</f>
        <v/>
      </c>
      <c r="AL13" s="604" t="str">
        <f>IF(OR(A13="",F13=0),"",SUM(PT!U17,PT!U18))</f>
        <v/>
      </c>
      <c r="AM13" s="87"/>
    </row>
    <row r="14" ht="19.5" customHeight="1">
      <c r="A14" s="579" t="str">
        <f>IF(ISBLANK(IGRF!$B22),"",IGRF!$B22)</f>
        <v>3</v>
      </c>
      <c r="B14" s="580" t="str">
        <f>IF(ISBLANK(IGRF!$C22),"",IGRF!$C22)</f>
        <v>Alexia</v>
      </c>
      <c r="C14" s="581">
        <f>IF(A14="","",SUM(LU!O17,LU!O116))</f>
        <v>1</v>
      </c>
      <c r="D14" s="581">
        <f>IF(A14="","",SUM(LU!D17,LU!D116))</f>
        <v>0</v>
      </c>
      <c r="E14" s="582">
        <f>IF(A14="","",SUM(LU!J17,LU!J116))</f>
        <v>11</v>
      </c>
      <c r="F14" s="583">
        <f>IF(A14="","",(SUM(C14:E14)-(SUMPRODUCT(--(Lineups!C$4:C$41=A14),--(Lineups!A$4:A$41="SP"))+SUMPRODUCT(--(Lineups!G$4:G$41=A14),--(Lineups!A$4:A$41="SP"))+SUMPRODUCT(--(Lineups!C$46:C$83=A14),--(Lineups!A$46:A$83="SP"))+SUMPRODUCT(--(Lineups!G$46:G$83=A14),--(Lineups!A$46:A$83="SP")))))</f>
        <v>11</v>
      </c>
      <c r="G14" s="584">
        <f>IF(OR(A14="",F14=0,LU!D$3+LU!D$102=0),"",F14/(LU!D$3+LU!D$102))</f>
        <v>0.2820512821</v>
      </c>
      <c r="H14" s="585">
        <f>IF(OR(C14=0,A14=""),"",SK!D198)</f>
        <v>0</v>
      </c>
      <c r="I14" s="586">
        <f>IF(OR(A14="",SK!E198="",SK!E198=0),"",H14/SK!E198)</f>
        <v>0</v>
      </c>
      <c r="J14" s="587">
        <f>IF(OR(A14="",C14=0),"",SK!G198)</f>
        <v>1</v>
      </c>
      <c r="K14" s="588">
        <f>IF(OR(A14="",C14=0),"",SK!H198)</f>
        <v>0</v>
      </c>
      <c r="L14" s="589">
        <f>IF(OR(A14="",C14=0),"",SK!J198)</f>
        <v>0</v>
      </c>
      <c r="M14" s="589">
        <f>IF(OR(A14="",C14=0),"",SK!L198)</f>
        <v>1</v>
      </c>
      <c r="N14" s="589">
        <f>IF(OR(A14="",C14=0),"",SUMPRODUCT(--(Lineups!$A$4:$A$41="SP"),--(Lineups!$C$4:$C$41=A14))+SUMPRODUCT(--(Lineups!$A$46:$A$83="SP"),--(Lineups!$C$46:$C$83=A14)))</f>
        <v>0</v>
      </c>
      <c r="O14" s="590">
        <f t="shared" si="1"/>
        <v>0</v>
      </c>
      <c r="P14" s="591">
        <f>IF(OR(A14="",C14=0),"",SK!I198)</f>
        <v>0</v>
      </c>
      <c r="Q14" s="592" t="str">
        <f t="shared" si="2"/>
        <v/>
      </c>
      <c r="R14" s="593">
        <f>IF(OR(A14="",F14=0),"",SUM(LU!Q63,LU!Q162))</f>
        <v>73</v>
      </c>
      <c r="S14" s="581">
        <f>IF(OR(A14="",F14=0),"",SUM(LU!Q86,LU!Q185))</f>
        <v>22</v>
      </c>
      <c r="T14" s="585">
        <f>IF(OR(A14="",F14=0),"",SUM(LU!Q40,LU!Q139))</f>
        <v>51</v>
      </c>
      <c r="U14" s="581">
        <f>IF(OR(A14="",C14=0),"",SUM(LU!O40,LU!O139))</f>
        <v>-2</v>
      </c>
      <c r="V14" s="594">
        <f t="shared" si="3"/>
        <v>-2</v>
      </c>
      <c r="W14" s="595" t="str">
        <f>IF(OR(A14="",D14=0),"",SUM(LU!D40,LU!D139))</f>
        <v/>
      </c>
      <c r="X14" s="594" t="str">
        <f t="shared" si="4"/>
        <v/>
      </c>
      <c r="Y14" s="595">
        <f>IF(OR(A14="",E14=0),"",SUM(LU!J40,LU!J139))</f>
        <v>53</v>
      </c>
      <c r="Z14" s="594">
        <f t="shared" si="5"/>
        <v>4.818181818</v>
      </c>
      <c r="AA14" s="595">
        <f>IF(OR(A14="",AND(D14=0, E14=0)),"",SUM(LU!L40,LU!L139))</f>
        <v>53</v>
      </c>
      <c r="AB14" s="594">
        <f t="shared" si="6"/>
        <v>4.818181818</v>
      </c>
      <c r="AC14" s="592">
        <f t="shared" si="12"/>
        <v>4.636363636</v>
      </c>
      <c r="AD14" s="598">
        <f>IF(OR(A14="",F14=0,R$26="-",LU!$D$5=0),"",R14-R$26)</f>
        <v>-22</v>
      </c>
      <c r="AE14" s="599">
        <f>IF(OR(A14="",F14=0,S$26="-",LU!$D$5=0),"",S14-S$26)</f>
        <v>-2.333333333</v>
      </c>
      <c r="AF14" s="600">
        <f t="shared" si="7"/>
        <v>-19.66666667</v>
      </c>
      <c r="AG14" s="601">
        <f t="shared" si="8"/>
        <v>-5.770833333</v>
      </c>
      <c r="AH14" s="601" t="str">
        <f t="shared" si="9"/>
        <v/>
      </c>
      <c r="AI14" s="602">
        <f t="shared" si="10"/>
        <v>-0.8903291153</v>
      </c>
      <c r="AJ14" s="601">
        <f t="shared" si="11"/>
        <v>-0.6467867991</v>
      </c>
      <c r="AK14" s="605">
        <f>IF(OR($A14="",AC14="",AC$26="-",LU!$D$5=0),"",AC14-AC$26)</f>
        <v>-0.8484517335</v>
      </c>
      <c r="AL14" s="604">
        <f>IF(OR(A14="",F14=0),"",SUM(PT!U19,PT!U20))</f>
        <v>3</v>
      </c>
      <c r="AM14" s="87"/>
    </row>
    <row r="15" ht="19.5" customHeight="1">
      <c r="A15" s="579" t="str">
        <f>IF(ISBLANK(IGRF!$B23),"",IGRF!$B23)</f>
        <v>31</v>
      </c>
      <c r="B15" s="580" t="str">
        <f>IF(ISBLANK(IGRF!$C23),"",IGRF!$C23)</f>
        <v>2x Force</v>
      </c>
      <c r="C15" s="581">
        <f>IF(A15="","",SUM(LU!O18,LU!O117))</f>
        <v>0</v>
      </c>
      <c r="D15" s="581">
        <f>IF(A15="","",SUM(LU!D18,LU!D117))</f>
        <v>0</v>
      </c>
      <c r="E15" s="582">
        <f>IF(A15="","",SUM(LU!J18,LU!J117))</f>
        <v>13</v>
      </c>
      <c r="F15" s="583">
        <f>IF(A15="","",(SUM(C15:E15)-(SUMPRODUCT(--(Lineups!C$4:C$41=A15),--(Lineups!A$4:A$41="SP"))+SUMPRODUCT(--(Lineups!G$4:G$41=A15),--(Lineups!A$4:A$41="SP"))+SUMPRODUCT(--(Lineups!C$46:C$83=A15),--(Lineups!A$46:A$83="SP"))+SUMPRODUCT(--(Lineups!G$46:G$83=A15),--(Lineups!A$46:A$83="SP")))))</f>
        <v>13</v>
      </c>
      <c r="G15" s="584">
        <f>IF(OR(A15="",F15=0,LU!D$3+LU!D$102=0),"",F15/(LU!D$3+LU!D$102))</f>
        <v>0.3333333333</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132</v>
      </c>
      <c r="S15" s="581">
        <f>IF(OR(A15="",F15=0),"",SUM(LU!Q87,LU!Q186))</f>
        <v>24</v>
      </c>
      <c r="T15" s="585">
        <f>IF(OR(A15="",F15=0),"",SUM(LU!Q41,LU!Q140))</f>
        <v>108</v>
      </c>
      <c r="U15" s="581" t="str">
        <f>IF(OR(A15="",C15=0),"",SUM(LU!O41,LU!O140))</f>
        <v/>
      </c>
      <c r="V15" s="594" t="str">
        <f t="shared" si="3"/>
        <v/>
      </c>
      <c r="W15" s="595" t="str">
        <f>IF(OR(A15="",D15=0),"",SUM(LU!D41,LU!D140))</f>
        <v/>
      </c>
      <c r="X15" s="594" t="str">
        <f t="shared" si="4"/>
        <v/>
      </c>
      <c r="Y15" s="595">
        <f>IF(OR(A15="",E15=0),"",SUM(LU!J41,LU!J140))</f>
        <v>108</v>
      </c>
      <c r="Z15" s="594">
        <f t="shared" si="5"/>
        <v>8.307692308</v>
      </c>
      <c r="AA15" s="595">
        <f>IF(OR(A15="",AND(D15=0, E15=0)),"",SUM(LU!L41,LU!L140))</f>
        <v>108</v>
      </c>
      <c r="AB15" s="594">
        <f t="shared" si="6"/>
        <v>8.307692308</v>
      </c>
      <c r="AC15" s="592">
        <f t="shared" si="12"/>
        <v>8.307692308</v>
      </c>
      <c r="AD15" s="598">
        <f>IF(OR(A15="",F15=0,R$26="-",LU!$D$5=0),"",R15-R$26)</f>
        <v>37</v>
      </c>
      <c r="AE15" s="599">
        <f>IF(OR(A15="",F15=0,S$26="-",LU!$D$5=0),"",S15-S$26)</f>
        <v>-0.3333333333</v>
      </c>
      <c r="AF15" s="600">
        <f t="shared" si="7"/>
        <v>37.33333333</v>
      </c>
      <c r="AG15" s="601" t="str">
        <f t="shared" si="8"/>
        <v/>
      </c>
      <c r="AH15" s="601" t="str">
        <f t="shared" si="9"/>
        <v/>
      </c>
      <c r="AI15" s="602">
        <f t="shared" si="10"/>
        <v>2.599181374</v>
      </c>
      <c r="AJ15" s="601">
        <f t="shared" si="11"/>
        <v>2.84272369</v>
      </c>
      <c r="AK15" s="605">
        <f>IF(OR($A15="",AC15="",AC$26="-",LU!$D$5=0),"",AC15-AC$26)</f>
        <v>2.822876938</v>
      </c>
      <c r="AL15" s="604">
        <f>IF(OR(A15="",F15=0),"",SUM(PT!U21,PT!U22))</f>
        <v>1</v>
      </c>
      <c r="AM15" s="87"/>
    </row>
    <row r="16" ht="19.5" customHeight="1">
      <c r="A16" s="579" t="str">
        <f>IF(ISBLANK(IGRF!$B24),"",IGRF!$B24)</f>
        <v>313</v>
      </c>
      <c r="B16" s="580" t="str">
        <f>IF(ISBLANK(IGRF!$C24),"",IGRF!$C24)</f>
        <v>WestCoast MaFia</v>
      </c>
      <c r="C16" s="581">
        <f>IF(A16="","",SUM(LU!O19,LU!O118))</f>
        <v>9</v>
      </c>
      <c r="D16" s="581">
        <f>IF(A16="","",SUM(LU!D19,LU!D118))</f>
        <v>0</v>
      </c>
      <c r="E16" s="582">
        <f>IF(A16="","",SUM(LU!J19,LU!J118))</f>
        <v>0</v>
      </c>
      <c r="F16" s="583">
        <f>IF(A16="","",(SUM(C16:E16)-(SUMPRODUCT(--(Lineups!C$4:C$41=A16),--(Lineups!A$4:A$41="SP"))+SUMPRODUCT(--(Lineups!G$4:G$41=A16),--(Lineups!A$4:A$41="SP"))+SUMPRODUCT(--(Lineups!C$46:C$83=A16),--(Lineups!A$46:A$83="SP"))+SUMPRODUCT(--(Lineups!G$46:G$83=A16),--(Lineups!A$46:A$83="SP")))))</f>
        <v>9</v>
      </c>
      <c r="G16" s="584">
        <f>IF(OR(A16="",F16=0,LU!D$3+LU!D$102=0),"",F16/(LU!D$3+LU!D$102))</f>
        <v>0.2307692308</v>
      </c>
      <c r="H16" s="585">
        <f>IF(OR(C16=0,A16=""),"",SK!D204)</f>
        <v>92</v>
      </c>
      <c r="I16" s="586">
        <f>IF(OR(A16="",SK!E204="",SK!E204=0),"",H16/SK!E204)</f>
        <v>10.22222222</v>
      </c>
      <c r="J16" s="587">
        <f>IF(OR(A16="",C16=0),"",SK!G204)</f>
        <v>1</v>
      </c>
      <c r="K16" s="588">
        <f>IF(OR(A16="",C16=0),"",SK!H204)</f>
        <v>8</v>
      </c>
      <c r="L16" s="589">
        <f>IF(OR(A16="",C16=0),"",SK!J204)</f>
        <v>8</v>
      </c>
      <c r="M16" s="589">
        <f>IF(OR(A16="",C16=0),"",SK!L204)</f>
        <v>0</v>
      </c>
      <c r="N16" s="589">
        <f>IF(OR(A16="",C16=0),"",SUMPRODUCT(--(Lineups!$A$4:$A$41="SP"),--(Lineups!$C$4:$C$41=A16))+SUMPRODUCT(--(Lineups!$A$46:$A$83="SP"),--(Lineups!$C$46:$C$83=A16)))</f>
        <v>0</v>
      </c>
      <c r="O16" s="590">
        <f t="shared" si="1"/>
        <v>0.8888888889</v>
      </c>
      <c r="P16" s="591">
        <f>IF(OR(A16="",C16=0),"",SK!I204)</f>
        <v>74</v>
      </c>
      <c r="Q16" s="592">
        <f t="shared" si="2"/>
        <v>9.25</v>
      </c>
      <c r="R16" s="593">
        <f>IF(OR(A16="",F16=0),"",SUM(LU!Q65,LU!Q164))</f>
        <v>92</v>
      </c>
      <c r="S16" s="581">
        <f>IF(OR(A16="",F16=0),"",SUM(LU!Q88,LU!Q187))</f>
        <v>11</v>
      </c>
      <c r="T16" s="585">
        <f>IF(OR(A16="",F16=0),"",SUM(LU!Q42,LU!Q141))</f>
        <v>81</v>
      </c>
      <c r="U16" s="581">
        <f>IF(OR(A16="",C16=0),"",SUM(LU!O42,LU!O141))</f>
        <v>81</v>
      </c>
      <c r="V16" s="594">
        <f t="shared" si="3"/>
        <v>9</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9</v>
      </c>
      <c r="AD16" s="598">
        <f>IF(OR(A16="",F16=0,R$26="-",LU!$D$5=0),"",R16-R$26)</f>
        <v>-3</v>
      </c>
      <c r="AE16" s="599">
        <f>IF(OR(A16="",F16=0,S$26="-",LU!$D$5=0),"",S16-S$26)</f>
        <v>-13.33333333</v>
      </c>
      <c r="AF16" s="600">
        <f t="shared" si="7"/>
        <v>10.33333333</v>
      </c>
      <c r="AG16" s="601">
        <f t="shared" si="8"/>
        <v>5.229166667</v>
      </c>
      <c r="AH16" s="601" t="str">
        <f t="shared" si="9"/>
        <v/>
      </c>
      <c r="AI16" s="602" t="str">
        <f t="shared" si="10"/>
        <v/>
      </c>
      <c r="AJ16" s="601" t="str">
        <f t="shared" si="11"/>
        <v/>
      </c>
      <c r="AK16" s="605">
        <f>IF(OR($A16="",AC16="",AC$26="-",LU!$D$5=0),"",AC16-AC$26)</f>
        <v>3.51518463</v>
      </c>
      <c r="AL16" s="604">
        <f>IF(OR(A16="",F16=0),"",SUM(PT!U23,PT!U24))</f>
        <v>1</v>
      </c>
      <c r="AM16" s="87"/>
    </row>
    <row r="17" ht="19.5" customHeight="1">
      <c r="A17" s="579" t="str">
        <f>IF(ISBLANK(IGRF!$B25),"",IGRF!$B25)</f>
        <v>3381</v>
      </c>
      <c r="B17" s="580" t="str">
        <f>IF(ISBLANK(IGRF!$C25),"",IGRF!$C25)</f>
        <v>Hella Naughty</v>
      </c>
      <c r="C17" s="581">
        <f>IF(A17="","",SUM(LU!O20,LU!O119))</f>
        <v>8</v>
      </c>
      <c r="D17" s="581">
        <f>IF(A17="","",SUM(LU!D20,LU!D119))</f>
        <v>0</v>
      </c>
      <c r="E17" s="582">
        <f>IF(A17="","",SUM(LU!J20,LU!J119))</f>
        <v>0</v>
      </c>
      <c r="F17" s="583">
        <f>IF(A17="","",(SUM(C17:E17)-(SUMPRODUCT(--(Lineups!C$4:C$41=A17),--(Lineups!A$4:A$41="SP"))+SUMPRODUCT(--(Lineups!G$4:G$41=A17),--(Lineups!A$4:A$41="SP"))+SUMPRODUCT(--(Lineups!C$46:C$83=A17),--(Lineups!A$46:A$83="SP"))+SUMPRODUCT(--(Lineups!G$46:G$83=A17),--(Lineups!A$46:A$83="SP")))))</f>
        <v>8</v>
      </c>
      <c r="G17" s="584">
        <f>IF(OR(A17="",F17=0,LU!D$3+LU!D$102=0),"",F17/(LU!D$3+LU!D$102))</f>
        <v>0.2051282051</v>
      </c>
      <c r="H17" s="585">
        <f>IF(OR(C17=0,A17=""),"",SK!D207)</f>
        <v>58</v>
      </c>
      <c r="I17" s="586">
        <f>IF(OR(A17="",SK!E207="",SK!E207=0),"",H17/SK!E207)</f>
        <v>7.25</v>
      </c>
      <c r="J17" s="587">
        <f>IF(OR(A17="",C17=0),"",SK!G207)</f>
        <v>1</v>
      </c>
      <c r="K17" s="588">
        <f>IF(OR(A17="",C17=0),"",SK!H207)</f>
        <v>6</v>
      </c>
      <c r="L17" s="589">
        <f>IF(OR(A17="",C17=0),"",SK!J207)</f>
        <v>6</v>
      </c>
      <c r="M17" s="589">
        <f>IF(OR(A17="",C17=0),"",SK!L207)</f>
        <v>0</v>
      </c>
      <c r="N17" s="589">
        <f>IF(OR(A17="",C17=0),"",SUMPRODUCT(--(Lineups!$A$4:$A$41="SP"),--(Lineups!$C$4:$C$41=A17))+SUMPRODUCT(--(Lineups!$A$46:$A$83="SP"),--(Lineups!$C$46:$C$83=A17)))</f>
        <v>0</v>
      </c>
      <c r="O17" s="590">
        <f t="shared" si="1"/>
        <v>0.75</v>
      </c>
      <c r="P17" s="591">
        <f>IF(OR(A17="",C17=0),"",SK!I207)</f>
        <v>30</v>
      </c>
      <c r="Q17" s="592">
        <f t="shared" si="2"/>
        <v>5</v>
      </c>
      <c r="R17" s="593">
        <f>IF(OR(A17="",F17=0),"",SUM(LU!Q66,LU!Q165))</f>
        <v>58</v>
      </c>
      <c r="S17" s="581">
        <f>IF(OR(A17="",F17=0),"",SUM(LU!Q89,LU!Q188))</f>
        <v>26</v>
      </c>
      <c r="T17" s="585">
        <f>IF(OR(A17="",F17=0),"",SUM(LU!Q43,LU!Q142))</f>
        <v>32</v>
      </c>
      <c r="U17" s="581">
        <f>IF(OR(A17="",C17=0),"",SUM(LU!O43,LU!O142))</f>
        <v>32</v>
      </c>
      <c r="V17" s="594">
        <f t="shared" si="3"/>
        <v>4</v>
      </c>
      <c r="W17" s="595" t="str">
        <f>IF(OR(A17="",D17=0),"",SUM(LU!D43,LU!D142))</f>
        <v/>
      </c>
      <c r="X17" s="594" t="str">
        <f t="shared" si="4"/>
        <v/>
      </c>
      <c r="Y17" s="595" t="str">
        <f>IF(OR(A17="",E17=0),"",SUM(LU!J43,LU!J142))</f>
        <v/>
      </c>
      <c r="Z17" s="594" t="str">
        <f t="shared" si="5"/>
        <v/>
      </c>
      <c r="AA17" s="595" t="str">
        <f>IF(OR(A17="",AND(D17=0, E17=0)),"",SUM(LU!L43,LU!L142))</f>
        <v/>
      </c>
      <c r="AB17" s="594" t="str">
        <f t="shared" si="6"/>
        <v/>
      </c>
      <c r="AC17" s="592">
        <f t="shared" si="12"/>
        <v>4</v>
      </c>
      <c r="AD17" s="598">
        <f>IF(OR(A17="",F17=0,R$26="-",LU!$D$5=0),"",R17-R$26)</f>
        <v>-37</v>
      </c>
      <c r="AE17" s="599">
        <f>IF(OR(A17="",F17=0,S$26="-",LU!$D$5=0),"",S17-S$26)</f>
        <v>1.666666667</v>
      </c>
      <c r="AF17" s="600">
        <f t="shared" si="7"/>
        <v>-38.66666667</v>
      </c>
      <c r="AG17" s="601">
        <f t="shared" si="8"/>
        <v>0.2291666667</v>
      </c>
      <c r="AH17" s="601" t="str">
        <f t="shared" si="9"/>
        <v/>
      </c>
      <c r="AI17" s="602" t="str">
        <f t="shared" si="10"/>
        <v/>
      </c>
      <c r="AJ17" s="601" t="str">
        <f t="shared" si="11"/>
        <v/>
      </c>
      <c r="AK17" s="605">
        <f>IF(OR($A17="",AC17="",AC$26="-",LU!$D$5=0),"",AC17-AC$26)</f>
        <v>-1.48481537</v>
      </c>
      <c r="AL17" s="604">
        <f>IF(OR(A17="",F17=0),"",SUM(PT!U25,PT!U26))</f>
        <v>1</v>
      </c>
      <c r="AM17" s="87"/>
    </row>
    <row r="18" ht="19.5" customHeight="1">
      <c r="A18" s="579" t="str">
        <f>IF(ISBLANK(IGRF!$B26),"",IGRF!$B26)</f>
        <v>38</v>
      </c>
      <c r="B18" s="580" t="str">
        <f>IF(ISBLANK(IGRF!$C26),"",IGRF!$C26)</f>
        <v>Colette Razorcat</v>
      </c>
      <c r="C18" s="581">
        <f>IF(A18="","",SUM(LU!O21,LU!O120))</f>
        <v>2</v>
      </c>
      <c r="D18" s="581">
        <f>IF(A18="","",SUM(LU!D21,LU!D120))</f>
        <v>0</v>
      </c>
      <c r="E18" s="582">
        <f>IF(A18="","",SUM(LU!J21,LU!J120))</f>
        <v>11</v>
      </c>
      <c r="F18" s="583">
        <f>IF(A18="","",(SUM(C18:E18)-(SUMPRODUCT(--(Lineups!C$4:C$41=A18),--(Lineups!A$4:A$41="SP"))+SUMPRODUCT(--(Lineups!G$4:G$41=A18),--(Lineups!A$4:A$41="SP"))+SUMPRODUCT(--(Lineups!C$46:C$83=A18),--(Lineups!A$46:A$83="SP"))+SUMPRODUCT(--(Lineups!G$46:G$83=A18),--(Lineups!A$46:A$83="SP")))))</f>
        <v>13</v>
      </c>
      <c r="G18" s="584">
        <f>IF(OR(A18="",F18=0,LU!D$3+LU!D$102=0),"",F18/(LU!D$3+LU!D$102))</f>
        <v>0.3333333333</v>
      </c>
      <c r="H18" s="585">
        <f>IF(OR(C18=0,A18=""),"",SK!D210)</f>
        <v>16</v>
      </c>
      <c r="I18" s="586">
        <f>IF(OR(A18="",SK!E210="",SK!E210=0),"",H18/SK!E210)</f>
        <v>8</v>
      </c>
      <c r="J18" s="587">
        <f>IF(OR(A18="",C18=0),"",SK!G210)</f>
        <v>0</v>
      </c>
      <c r="K18" s="588">
        <f>IF(OR(A18="",C18=0),"",SK!H210)</f>
        <v>0</v>
      </c>
      <c r="L18" s="589">
        <f>IF(OR(A18="",C18=0),"",SK!J210)</f>
        <v>0</v>
      </c>
      <c r="M18" s="589">
        <f>IF(OR(A18="",C18=0),"",SK!L210)</f>
        <v>0</v>
      </c>
      <c r="N18" s="589">
        <f>IF(OR(A18="",C18=0),"",SUMPRODUCT(--(Lineups!$A$4:$A$41="SP"),--(Lineups!$C$4:$C$41=A18))+SUMPRODUCT(--(Lineups!$A$46:$A$83="SP"),--(Lineups!$C$46:$C$83=A18)))</f>
        <v>0</v>
      </c>
      <c r="O18" s="590">
        <f t="shared" si="1"/>
        <v>0</v>
      </c>
      <c r="P18" s="591">
        <f>IF(OR(A18="",C18=0),"",SK!I210)</f>
        <v>0</v>
      </c>
      <c r="Q18" s="592" t="str">
        <f t="shared" si="2"/>
        <v/>
      </c>
      <c r="R18" s="593">
        <f>IF(OR(A18="",F18=0),"",SUM(LU!Q67,LU!Q166))</f>
        <v>111</v>
      </c>
      <c r="S18" s="581">
        <f>IF(OR(A18="",F18=0),"",SUM(LU!Q90,LU!Q189))</f>
        <v>33</v>
      </c>
      <c r="T18" s="585">
        <f>IF(OR(A18="",F18=0),"",SUM(LU!Q44,LU!Q143))</f>
        <v>78</v>
      </c>
      <c r="U18" s="581">
        <f>IF(OR(A18="",C18=0),"",SUM(LU!O44,LU!O143))</f>
        <v>9</v>
      </c>
      <c r="V18" s="594">
        <f t="shared" si="3"/>
        <v>4.5</v>
      </c>
      <c r="W18" s="595" t="str">
        <f>IF(OR(A18="",D18=0),"",SUM(LU!D44,LU!D143))</f>
        <v/>
      </c>
      <c r="X18" s="594" t="str">
        <f t="shared" si="4"/>
        <v/>
      </c>
      <c r="Y18" s="595">
        <f>IF(OR(A18="",E18=0),"",SUM(LU!J44,LU!J143))</f>
        <v>69</v>
      </c>
      <c r="Z18" s="594">
        <f t="shared" si="5"/>
        <v>6.272727273</v>
      </c>
      <c r="AA18" s="595">
        <f>IF(OR(A18="",AND(D18=0, E18=0)),"",SUM(LU!L44,LU!L143))</f>
        <v>69</v>
      </c>
      <c r="AB18" s="594">
        <f t="shared" si="6"/>
        <v>6.272727273</v>
      </c>
      <c r="AC18" s="592">
        <f t="shared" si="12"/>
        <v>6</v>
      </c>
      <c r="AD18" s="598">
        <f>IF(OR(A18="",F18=0,R$26="-",LU!$D$5=0),"",R18-R$26)</f>
        <v>16</v>
      </c>
      <c r="AE18" s="599">
        <f>IF(OR(A18="",F18=0,S$26="-",LU!$D$5=0),"",S18-S$26)</f>
        <v>8.666666667</v>
      </c>
      <c r="AF18" s="600">
        <f t="shared" si="7"/>
        <v>7.333333333</v>
      </c>
      <c r="AG18" s="601">
        <f t="shared" si="8"/>
        <v>0.7291666667</v>
      </c>
      <c r="AH18" s="601" t="str">
        <f t="shared" si="9"/>
        <v/>
      </c>
      <c r="AI18" s="602">
        <f t="shared" si="10"/>
        <v>0.5642163392</v>
      </c>
      <c r="AJ18" s="601">
        <f t="shared" si="11"/>
        <v>0.8077586555</v>
      </c>
      <c r="AK18" s="605">
        <f>IF(OR($A18="",AC18="",AC$26="-",LU!$D$5=0),"",AC18-AC$26)</f>
        <v>0.5151846302</v>
      </c>
      <c r="AL18" s="604">
        <f>IF(OR(A18="",F18=0),"",SUM(PT!U27,PT!U28))</f>
        <v>0</v>
      </c>
      <c r="AM18" s="87"/>
    </row>
    <row r="19" ht="19.5" customHeight="1">
      <c r="A19" s="579" t="str">
        <f>IF(ISBLANK(IGRF!$B27),"",IGRF!$B27)</f>
        <v>394</v>
      </c>
      <c r="B19" s="580" t="str">
        <f>IF(ISBLANK(IGRF!$C27),"",IGRF!$C27)</f>
        <v>Punkie Pie</v>
      </c>
      <c r="C19" s="581">
        <f>IF(A19="","",SUM(LU!O22,LU!O121))</f>
        <v>9</v>
      </c>
      <c r="D19" s="581">
        <f>IF(A19="","",SUM(LU!D22,LU!D121))</f>
        <v>0</v>
      </c>
      <c r="E19" s="582">
        <f>IF(A19="","",SUM(LU!J22,LU!J121))</f>
        <v>0</v>
      </c>
      <c r="F19" s="583">
        <f>IF(A19="","",(SUM(C19:E19)-(SUMPRODUCT(--(Lineups!C$4:C$41=A19),--(Lineups!A$4:A$41="SP"))+SUMPRODUCT(--(Lineups!G$4:G$41=A19),--(Lineups!A$4:A$41="SP"))+SUMPRODUCT(--(Lineups!C$46:C$83=A19),--(Lineups!A$46:A$83="SP"))+SUMPRODUCT(--(Lineups!G$46:G$83=A19),--(Lineups!A$46:A$83="SP")))))</f>
        <v>9</v>
      </c>
      <c r="G19" s="584">
        <f>IF(OR(A19="",F19=0,LU!D$3+LU!D$102=0),"",F19/(LU!D$3+LU!D$102))</f>
        <v>0.2307692308</v>
      </c>
      <c r="H19" s="585">
        <f>IF(OR(C19=0,A19=""),"",SK!D213)</f>
        <v>55</v>
      </c>
      <c r="I19" s="586">
        <f>IF(OR(A19="",SK!E213="",SK!E213=0),"",H19/SK!E213)</f>
        <v>6.111111111</v>
      </c>
      <c r="J19" s="587">
        <f>IF(OR(A19="",C19=0),"",SK!G213)</f>
        <v>0</v>
      </c>
      <c r="K19" s="588">
        <f>IF(OR(A19="",C19=0),"",SK!H213)</f>
        <v>8</v>
      </c>
      <c r="L19" s="589">
        <f>IF(OR(A19="",C19=0),"",SK!J213)</f>
        <v>8</v>
      </c>
      <c r="M19" s="589">
        <f>IF(OR(A19="",C19=0),"",SK!L213)</f>
        <v>0</v>
      </c>
      <c r="N19" s="589">
        <f>IF(OR(A19="",C19=0),"",SUMPRODUCT(--(Lineups!$A$4:$A$41="SP"),--(Lineups!$C$4:$C$41=A19))+SUMPRODUCT(--(Lineups!$A$46:$A$83="SP"),--(Lineups!$C$46:$C$83=A19)))</f>
        <v>0</v>
      </c>
      <c r="O19" s="590">
        <f t="shared" si="1"/>
        <v>0.8888888889</v>
      </c>
      <c r="P19" s="591">
        <f>IF(OR(A19="",C19=0),"",SK!I213)</f>
        <v>49</v>
      </c>
      <c r="Q19" s="592">
        <f t="shared" si="2"/>
        <v>6.125</v>
      </c>
      <c r="R19" s="593">
        <f>IF(OR(A19="",F19=0),"",SUM(LU!Q68,LU!Q167))</f>
        <v>55</v>
      </c>
      <c r="S19" s="581">
        <f>IF(OR(A19="",F19=0),"",SUM(LU!Q91,LU!Q190))</f>
        <v>10</v>
      </c>
      <c r="T19" s="585">
        <f>IF(OR(A19="",F19=0),"",SUM(LU!Q45,LU!Q144))</f>
        <v>45</v>
      </c>
      <c r="U19" s="581">
        <f>IF(OR(A19="",C19=0),"",SUM(LU!O45,LU!O144))</f>
        <v>45</v>
      </c>
      <c r="V19" s="594">
        <f t="shared" si="3"/>
        <v>5</v>
      </c>
      <c r="W19" s="595" t="str">
        <f>IF(OR(A19="",D19=0),"",SUM(LU!D45,LU!D144))</f>
        <v/>
      </c>
      <c r="X19" s="594" t="str">
        <f t="shared" si="4"/>
        <v/>
      </c>
      <c r="Y19" s="595" t="str">
        <f>IF(OR(A19="",E19=0),"",SUM(LU!J45,LU!J144))</f>
        <v/>
      </c>
      <c r="Z19" s="594" t="str">
        <f t="shared" si="5"/>
        <v/>
      </c>
      <c r="AA19" s="595" t="str">
        <f>IF(OR(A19="",AND(D19=0, E19=0)),"",SUM(LU!L45,LU!L144))</f>
        <v/>
      </c>
      <c r="AB19" s="594" t="str">
        <f t="shared" si="6"/>
        <v/>
      </c>
      <c r="AC19" s="592">
        <f t="shared" si="12"/>
        <v>5</v>
      </c>
      <c r="AD19" s="598">
        <f>IF(OR(A19="",F19=0,R$26="-",LU!$D$5=0),"",R19-R$26)</f>
        <v>-40</v>
      </c>
      <c r="AE19" s="599">
        <f>IF(OR(A19="",F19=0,S$26="-",LU!$D$5=0),"",S19-S$26)</f>
        <v>-14.33333333</v>
      </c>
      <c r="AF19" s="600">
        <f t="shared" si="7"/>
        <v>-25.66666667</v>
      </c>
      <c r="AG19" s="601">
        <f t="shared" si="8"/>
        <v>1.229166667</v>
      </c>
      <c r="AH19" s="601" t="str">
        <f t="shared" si="9"/>
        <v/>
      </c>
      <c r="AI19" s="602" t="str">
        <f t="shared" si="10"/>
        <v/>
      </c>
      <c r="AJ19" s="601" t="str">
        <f t="shared" si="11"/>
        <v/>
      </c>
      <c r="AK19" s="605">
        <f>IF(OR($A19="",AC19="",AC$26="-",LU!$D$5=0),"",AC19-AC$26)</f>
        <v>-0.4848153698</v>
      </c>
      <c r="AL19" s="604">
        <f>IF(OR(A19="",F19=0),"",SUM(PT!U29,PT!U30))</f>
        <v>1</v>
      </c>
      <c r="AM19" s="87"/>
    </row>
    <row r="20" ht="19.5" customHeight="1">
      <c r="A20" s="579" t="str">
        <f>IF(ISBLANK(IGRF!$B28),"",IGRF!$B28)</f>
        <v>4</v>
      </c>
      <c r="B20" s="580" t="str">
        <f>IF(ISBLANK(IGRF!$C28),"",IGRF!$C28)</f>
        <v>Sure, man</v>
      </c>
      <c r="C20" s="581">
        <f>IF(A20="","",SUM(LU!O23,LU!O122))</f>
        <v>0</v>
      </c>
      <c r="D20" s="581">
        <f>IF(A20="","",SUM(LU!D23,LU!D122))</f>
        <v>0</v>
      </c>
      <c r="E20" s="582">
        <f>IF(A20="","",SUM(LU!J23,LU!J122))</f>
        <v>14</v>
      </c>
      <c r="F20" s="583">
        <f>IF(A20="","",(SUM(C20:E20)-(SUMPRODUCT(--(Lineups!C$4:C$41=A20),--(Lineups!A$4:A$41="SP"))+SUMPRODUCT(--(Lineups!G$4:G$41=A20),--(Lineups!A$4:A$41="SP"))+SUMPRODUCT(--(Lineups!C$46:C$83=A20),--(Lineups!A$46:A$83="SP"))+SUMPRODUCT(--(Lineups!G$46:G$83=A20),--(Lineups!A$46:A$83="SP")))))</f>
        <v>14</v>
      </c>
      <c r="G20" s="584">
        <f>IF(OR(A20="",F20=0,LU!D$3+LU!D$102=0),"",F20/(LU!D$3+LU!D$102))</f>
        <v>0.358974359</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107</v>
      </c>
      <c r="S20" s="581">
        <f>IF(OR(A20="",F20=0),"",SUM(LU!Q92,LU!Q191))</f>
        <v>20</v>
      </c>
      <c r="T20" s="585">
        <f>IF(OR(A20="",F20=0),"",SUM(LU!Q46,LU!Q145))</f>
        <v>87</v>
      </c>
      <c r="U20" s="581" t="str">
        <f>IF(OR(A20="",C20=0),"",SUM(LU!O46,LU!O145))</f>
        <v/>
      </c>
      <c r="V20" s="594" t="str">
        <f t="shared" si="3"/>
        <v/>
      </c>
      <c r="W20" s="595" t="str">
        <f>IF(OR(A20="",D20=0),"",SUM(LU!D46,LU!D145))</f>
        <v/>
      </c>
      <c r="X20" s="594" t="str">
        <f t="shared" si="4"/>
        <v/>
      </c>
      <c r="Y20" s="595">
        <f>IF(OR(A20="",E20=0),"",SUM(LU!J46,LU!J145))</f>
        <v>87</v>
      </c>
      <c r="Z20" s="594">
        <f t="shared" si="5"/>
        <v>6.214285714</v>
      </c>
      <c r="AA20" s="595">
        <f>IF(OR(A20="",AND(D20=0, E20=0)),"",SUM(LU!L46,LU!L145))</f>
        <v>87</v>
      </c>
      <c r="AB20" s="594">
        <f t="shared" si="6"/>
        <v>6.214285714</v>
      </c>
      <c r="AC20" s="592">
        <f t="shared" si="12"/>
        <v>6.214285714</v>
      </c>
      <c r="AD20" s="598">
        <f>IF(OR(A20="",F20=0,R$26="-",LU!$D$5=0),"",R20-R$26)</f>
        <v>12</v>
      </c>
      <c r="AE20" s="599">
        <f>IF(OR(A20="",F20=0,S$26="-",LU!$D$5=0),"",S20-S$26)</f>
        <v>-4.333333333</v>
      </c>
      <c r="AF20" s="600">
        <f t="shared" si="7"/>
        <v>16.33333333</v>
      </c>
      <c r="AG20" s="601" t="str">
        <f t="shared" si="8"/>
        <v/>
      </c>
      <c r="AH20" s="601" t="str">
        <f t="shared" si="9"/>
        <v/>
      </c>
      <c r="AI20" s="602">
        <f t="shared" si="10"/>
        <v>0.5057747808</v>
      </c>
      <c r="AJ20" s="601">
        <f t="shared" si="11"/>
        <v>0.749317097</v>
      </c>
      <c r="AK20" s="605">
        <f>IF(OR($A20="",AC20="",AC$26="-",LU!$D$5=0),"",AC20-AC$26)</f>
        <v>0.7294703445</v>
      </c>
      <c r="AL20" s="604">
        <f>IF(OR(A20="",F20=0),"",SUM(PT!U31,PT!U32))</f>
        <v>2</v>
      </c>
      <c r="AM20" s="87"/>
    </row>
    <row r="21" ht="19.5" customHeight="1">
      <c r="A21" s="579" t="str">
        <f>IF(ISBLANK(IGRF!$B29),"",IGRF!$B29)</f>
        <v>602*</v>
      </c>
      <c r="B21" s="580" t="str">
        <f>IF(ISBLANK(IGRF!$C29),"",IGRF!$C29)</f>
        <v>Feen-X</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7</v>
      </c>
      <c r="B22" s="580" t="str">
        <f>IF(ISBLANK(IGRF!$C30),"",IGRF!$C30)</f>
        <v>Skatie Katie</v>
      </c>
      <c r="C22" s="581">
        <f>IF(A22="","",SUM(LU!O25,LU!O124))</f>
        <v>0</v>
      </c>
      <c r="D22" s="581">
        <f>IF(A22="","",SUM(LU!D25,LU!D124))</f>
        <v>12</v>
      </c>
      <c r="E22" s="582">
        <f>IF(A22="","",SUM(LU!J25,LU!J124))</f>
        <v>4</v>
      </c>
      <c r="F22" s="583">
        <f>IF(A22="","",(SUM(C22:E22)-(SUMPRODUCT(--(Lineups!C$4:C$41=A22),--(Lineups!A$4:A$41="SP"))+SUMPRODUCT(--(Lineups!G$4:G$41=A22),--(Lineups!A$4:A$41="SP"))+SUMPRODUCT(--(Lineups!C$46:C$83=A22),--(Lineups!A$46:A$83="SP"))+SUMPRODUCT(--(Lineups!G$46:G$83=A22),--(Lineups!A$46:A$83="SP")))))</f>
        <v>16</v>
      </c>
      <c r="G22" s="584">
        <f>IF(OR(A22="",F22=0,LU!D$3+LU!D$102=0),"",F22/(LU!D$3+LU!D$102))</f>
        <v>0.4102564103</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92</v>
      </c>
      <c r="S22" s="581">
        <f>IF(OR(A22="",F22=0),"",SUM(LU!Q94,LU!Q193))</f>
        <v>26</v>
      </c>
      <c r="T22" s="585">
        <f>IF(OR(A22="",F22=0),"",SUM(LU!Q48,LU!Q147))</f>
        <v>66</v>
      </c>
      <c r="U22" s="581" t="str">
        <f>IF(OR(A22="",C22=0),"",SUM(LU!O48,LU!O147))</f>
        <v/>
      </c>
      <c r="V22" s="594" t="str">
        <f t="shared" si="3"/>
        <v/>
      </c>
      <c r="W22" s="595">
        <f>IF(OR(A22="",D22=0),"",SUM(LU!D48,LU!D147))</f>
        <v>45</v>
      </c>
      <c r="X22" s="594">
        <f t="shared" si="4"/>
        <v>3.75</v>
      </c>
      <c r="Y22" s="595">
        <f>IF(OR(A22="",E22=0),"",SUM(LU!J48,LU!J147))</f>
        <v>21</v>
      </c>
      <c r="Z22" s="594">
        <f t="shared" si="5"/>
        <v>5.25</v>
      </c>
      <c r="AA22" s="595">
        <f>IF(OR(A22="",AND(D22=0, E22=0)),"",SUM(LU!L48,LU!L147))</f>
        <v>66</v>
      </c>
      <c r="AB22" s="594">
        <f t="shared" si="6"/>
        <v>4.125</v>
      </c>
      <c r="AC22" s="592">
        <f t="shared" si="12"/>
        <v>4.125</v>
      </c>
      <c r="AD22" s="598">
        <f>IF(OR(A22="",F22=0,R$26="-",LU!$D$5=0),"",R22-R$26)</f>
        <v>-3</v>
      </c>
      <c r="AE22" s="599">
        <f>IF(OR(A22="",F22=0,S$26="-",LU!$D$5=0),"",S22-S$26)</f>
        <v>1.666666667</v>
      </c>
      <c r="AF22" s="600">
        <f t="shared" si="7"/>
        <v>-4.666666667</v>
      </c>
      <c r="AG22" s="601" t="str">
        <f t="shared" si="8"/>
        <v/>
      </c>
      <c r="AH22" s="601">
        <f t="shared" si="9"/>
        <v>-1.231691919</v>
      </c>
      <c r="AI22" s="602">
        <f t="shared" si="10"/>
        <v>-0.4585109335</v>
      </c>
      <c r="AJ22" s="601">
        <f t="shared" si="11"/>
        <v>-1.339968617</v>
      </c>
      <c r="AK22" s="605">
        <f>IF(OR($A22="",AC22="",AC$26="-",LU!$D$5=0),"",AC22-AC$26)</f>
        <v>-1.35981537</v>
      </c>
      <c r="AL22" s="604">
        <f>IF(OR(A22="",F22=0),"",SUM(PT!U35,PT!U36))</f>
        <v>0</v>
      </c>
      <c r="AM22" s="87"/>
    </row>
    <row r="23" ht="19.5" customHeight="1">
      <c r="A23" s="579" t="str">
        <f>IF(ISBLANK(IGRF!$B31),"",IGRF!$B31)</f>
        <v>76</v>
      </c>
      <c r="B23" s="580" t="str">
        <f>IF(ISBLANK(IGRF!$C31),"",IGRF!$C31)</f>
        <v>Queen Loseyateefa</v>
      </c>
      <c r="C23" s="581">
        <f>IF(A23="","",SUM(LU!O26,LU!O125))</f>
        <v>0</v>
      </c>
      <c r="D23" s="581">
        <f>IF(A23="","",SUM(LU!D26,LU!D125))</f>
        <v>0</v>
      </c>
      <c r="E23" s="582">
        <f>IF(A23="","",SUM(LU!J26,LU!J125))</f>
        <v>16</v>
      </c>
      <c r="F23" s="583">
        <f>IF(A23="","",(SUM(C23:E23)-(SUMPRODUCT(--(Lineups!C$4:C$41=A23),--(Lineups!A$4:A$41="SP"))+SUMPRODUCT(--(Lineups!G$4:G$41=A23),--(Lineups!A$4:A$41="SP"))+SUMPRODUCT(--(Lineups!C$46:C$83=A23),--(Lineups!A$46:A$83="SP"))+SUMPRODUCT(--(Lineups!G$46:G$83=A23),--(Lineups!A$46:A$83="SP")))))</f>
        <v>16</v>
      </c>
      <c r="G23" s="584">
        <f>IF(OR(A23="",F23=0,LU!D$3+LU!D$102=0),"",F23/(LU!D$3+LU!D$102))</f>
        <v>0.4102564103</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107</v>
      </c>
      <c r="S23" s="581">
        <f>IF(OR(A23="",F23=0),"",SUM(LU!Q95,LU!Q194))</f>
        <v>27</v>
      </c>
      <c r="T23" s="585">
        <f>IF(OR(A23="",F23=0),"",SUM(LU!Q49,LU!Q148))</f>
        <v>80</v>
      </c>
      <c r="U23" s="581" t="str">
        <f>IF(OR(A23="",C23=0),"",SUM(LU!O49,LU!O148))</f>
        <v/>
      </c>
      <c r="V23" s="594" t="str">
        <f t="shared" si="3"/>
        <v/>
      </c>
      <c r="W23" s="595" t="str">
        <f>IF(OR(A23="",D23=0),"",SUM(LU!D49,LU!D148))</f>
        <v/>
      </c>
      <c r="X23" s="594" t="str">
        <f t="shared" si="4"/>
        <v/>
      </c>
      <c r="Y23" s="595">
        <f>IF(OR(A23="",E23=0),"",SUM(LU!J49,LU!J148))</f>
        <v>80</v>
      </c>
      <c r="Z23" s="594">
        <f t="shared" si="5"/>
        <v>5</v>
      </c>
      <c r="AA23" s="595">
        <f>IF(OR(A23="",AND(D23=0, E23=0)),"",SUM(LU!L49,LU!L148))</f>
        <v>80</v>
      </c>
      <c r="AB23" s="594">
        <f t="shared" si="6"/>
        <v>5</v>
      </c>
      <c r="AC23" s="592">
        <f t="shared" si="12"/>
        <v>5</v>
      </c>
      <c r="AD23" s="598">
        <f>IF(OR(A23="",F23=0,R$26="-",LU!$D$5=0),"",R23-R$26)</f>
        <v>12</v>
      </c>
      <c r="AE23" s="599">
        <f>IF(OR(A23="",F23=0,S$26="-",LU!$D$5=0),"",S23-S$26)</f>
        <v>2.666666667</v>
      </c>
      <c r="AF23" s="600">
        <f t="shared" si="7"/>
        <v>9.333333333</v>
      </c>
      <c r="AG23" s="601" t="str">
        <f t="shared" si="8"/>
        <v/>
      </c>
      <c r="AH23" s="601" t="str">
        <f t="shared" si="9"/>
        <v/>
      </c>
      <c r="AI23" s="602">
        <f t="shared" si="10"/>
        <v>-0.7085109335</v>
      </c>
      <c r="AJ23" s="601">
        <f t="shared" si="11"/>
        <v>-0.4649686172</v>
      </c>
      <c r="AK23" s="605">
        <f>IF(OR($A23="",AC23="",AC$26="-",LU!$D$5=0),"",AC23-AC$26)</f>
        <v>-0.4848153698</v>
      </c>
      <c r="AL23" s="604">
        <f>IF(OR(A23="",F23=0),"",SUM(PT!U37,PT!U38))</f>
        <v>1</v>
      </c>
      <c r="AM23" s="87"/>
    </row>
    <row r="24" ht="19.5" customHeight="1">
      <c r="A24" s="579" t="str">
        <f>IF(ISBLANK(IGRF!$B32),"",IGRF!$B32)</f>
        <v>88</v>
      </c>
      <c r="B24" s="580" t="str">
        <f>IF(ISBLANK(IGRF!$C32),"",IGRF!$C32)</f>
        <v>MsMURDR</v>
      </c>
      <c r="C24" s="581">
        <f>IF(A24="","",SUM(LU!O27,LU!O126))</f>
        <v>1</v>
      </c>
      <c r="D24" s="581">
        <f>IF(A24="","",SUM(LU!D27,LU!D126))</f>
        <v>6</v>
      </c>
      <c r="E24" s="582">
        <f>IF(A24="","",SUM(LU!J27,LU!J126))</f>
        <v>9</v>
      </c>
      <c r="F24" s="583">
        <f>IF(A24="","",(SUM(C24:E24)-(SUMPRODUCT(--(Lineups!C$4:C$41=A24),--(Lineups!A$4:A$41="SP"))+SUMPRODUCT(--(Lineups!G$4:G$41=A24),--(Lineups!A$4:A$41="SP"))+SUMPRODUCT(--(Lineups!C$46:C$83=A24),--(Lineups!A$46:A$83="SP"))+SUMPRODUCT(--(Lineups!G$46:G$83=A24),--(Lineups!A$46:A$83="SP")))))</f>
        <v>15</v>
      </c>
      <c r="G24" s="584">
        <f>IF(OR(A24="",F24=0,LU!D$3+LU!D$102=0),"",F24/(LU!D$3+LU!D$102))</f>
        <v>0.3846153846</v>
      </c>
      <c r="H24" s="585">
        <f>IF(OR(C24=0,A24=""),"",SK!D228)</f>
        <v>1</v>
      </c>
      <c r="I24" s="586">
        <f>IF(OR(A24="",SK!E228="",SK!E228=0),"",H24/SK!E228)</f>
        <v>1</v>
      </c>
      <c r="J24" s="587">
        <f>IF(OR(A24="",C24=0),"",SK!G228)</f>
        <v>0</v>
      </c>
      <c r="K24" s="588">
        <f>IF(OR(A24="",C24=0),"",SK!H228)</f>
        <v>0</v>
      </c>
      <c r="L24" s="589">
        <f>IF(OR(A24="",C24=0),"",SK!J228)</f>
        <v>0</v>
      </c>
      <c r="M24" s="589">
        <f>IF(OR(A24="",C24=0),"",SK!L228)</f>
        <v>0</v>
      </c>
      <c r="N24" s="589">
        <f>IF(OR(A24="",C24=0),"",SUMPRODUCT(--(Lineups!$A$4:$A$41="SP"),--(Lineups!$C$4:$C$41=A24))+SUMPRODUCT(--(Lineups!$A$46:$A$83="SP"),--(Lineups!$C$46:$C$83=A24)))</f>
        <v>1</v>
      </c>
      <c r="O24" s="590" t="str">
        <f t="shared" si="1"/>
        <v/>
      </c>
      <c r="P24" s="591">
        <f>IF(OR(A24="",C24=0),"",SK!I228)</f>
        <v>0</v>
      </c>
      <c r="Q24" s="592" t="str">
        <f t="shared" si="2"/>
        <v/>
      </c>
      <c r="R24" s="593">
        <f>IF(OR(A24="",F24=0),"",SUM(LU!Q73,LU!Q172))</f>
        <v>107</v>
      </c>
      <c r="S24" s="581">
        <f>IF(OR(A24="",F24=0),"",SUM(LU!Q96,LU!Q195))</f>
        <v>18</v>
      </c>
      <c r="T24" s="585">
        <f>IF(OR(A24="",F24=0),"",SUM(LU!Q50,LU!Q149))</f>
        <v>89</v>
      </c>
      <c r="U24" s="581">
        <f>IF(OR(A24="",C24=0),"",SUM(LU!O50,LU!O149))</f>
        <v>1</v>
      </c>
      <c r="V24" s="594">
        <f t="shared" si="3"/>
        <v>1</v>
      </c>
      <c r="W24" s="595">
        <f>IF(OR(A24="",D24=0),"",SUM(LU!D50,LU!D149))</f>
        <v>27</v>
      </c>
      <c r="X24" s="594">
        <f t="shared" si="4"/>
        <v>4.5</v>
      </c>
      <c r="Y24" s="595">
        <f>IF(OR(A24="",E24=0),"",SUM(LU!J50,LU!J149))</f>
        <v>61</v>
      </c>
      <c r="Z24" s="594">
        <f t="shared" si="5"/>
        <v>6.777777778</v>
      </c>
      <c r="AA24" s="595">
        <f>IF(OR(A24="",AND(D24=0, E24=0)),"",SUM(LU!L50,LU!L149))</f>
        <v>88</v>
      </c>
      <c r="AB24" s="594">
        <f t="shared" si="6"/>
        <v>5.866666667</v>
      </c>
      <c r="AC24" s="592">
        <f t="shared" si="12"/>
        <v>5.933333333</v>
      </c>
      <c r="AD24" s="598">
        <f>IF(OR(A24="",F24=0,R$26="-",LU!$D$5=0),"",R24-R$26)</f>
        <v>12</v>
      </c>
      <c r="AE24" s="599">
        <f>IF(OR(A24="",F24=0,S$26="-",LU!$D$5=0),"",S24-S$26)</f>
        <v>-6.333333333</v>
      </c>
      <c r="AF24" s="600">
        <f t="shared" si="7"/>
        <v>18.33333333</v>
      </c>
      <c r="AG24" s="601">
        <f t="shared" si="8"/>
        <v>-2.770833333</v>
      </c>
      <c r="AH24" s="601">
        <f t="shared" si="9"/>
        <v>-0.4816919192</v>
      </c>
      <c r="AI24" s="602">
        <f t="shared" si="10"/>
        <v>1.069266844</v>
      </c>
      <c r="AJ24" s="601">
        <f t="shared" si="11"/>
        <v>0.4016980494</v>
      </c>
      <c r="AK24" s="605">
        <f>IF(OR($A24="",AC24="",AC$26="-",LU!$D$5=0),"",AC24-AC$26)</f>
        <v>0.4485179635</v>
      </c>
      <c r="AL24" s="604">
        <f>IF(OR(A24="",F24=0),"",SUM(PT!U39,PT!U40))</f>
        <v>1</v>
      </c>
      <c r="AM24" s="87"/>
    </row>
    <row r="25" ht="19.5" customHeight="1">
      <c r="A25" s="579" t="str">
        <f>IF(ISBLANK(IGRF!$B33),"",IGRF!$B33)</f>
        <v>96*</v>
      </c>
      <c r="B25" s="580" t="str">
        <f>IF(ISBLANK(IGRF!$C33),"",IGRF!$C33)</f>
        <v>Weird Flex</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352</v>
      </c>
      <c r="B26" s="431"/>
      <c r="C26" s="613">
        <f t="shared" ref="C26:F26" si="13">SUM(C6:C25)</f>
        <v>40</v>
      </c>
      <c r="D26" s="613">
        <f t="shared" si="13"/>
        <v>38</v>
      </c>
      <c r="E26" s="613">
        <f t="shared" si="13"/>
        <v>119</v>
      </c>
      <c r="F26" s="613">
        <f t="shared" si="13"/>
        <v>195</v>
      </c>
      <c r="G26" s="614">
        <f>IF(COUNT(G6:G25)=0,"-",AVERAGE(G6:G25))</f>
        <v>0.3333333333</v>
      </c>
      <c r="H26" s="613">
        <f>SUM(H6:H25)</f>
        <v>285</v>
      </c>
      <c r="I26" s="615">
        <f>IF(LU!D3+LU!D102=0,"-",H26/(LU!D3+LU!D102))</f>
        <v>7.307692308</v>
      </c>
      <c r="J26" s="616">
        <f t="shared" ref="J26:N26" si="14">SUM(J6:J25)</f>
        <v>4</v>
      </c>
      <c r="K26" s="613">
        <f t="shared" si="14"/>
        <v>29</v>
      </c>
      <c r="L26" s="613">
        <f t="shared" si="14"/>
        <v>29</v>
      </c>
      <c r="M26" s="613">
        <f t="shared" si="14"/>
        <v>1</v>
      </c>
      <c r="N26" s="613">
        <f t="shared" si="14"/>
        <v>1</v>
      </c>
      <c r="O26" s="617">
        <f>IF(C26=0,"-",K26/(C26-N26))</f>
        <v>0.7435897436</v>
      </c>
      <c r="P26" s="618">
        <f>SUM(P6:P25)</f>
        <v>193</v>
      </c>
      <c r="Q26" s="619">
        <f t="shared" ref="Q26:AC26" si="15">IF(COUNT(Q6:Q25)=0,"-",AVERAGE(Q6:Q25))</f>
        <v>6.075</v>
      </c>
      <c r="R26" s="620">
        <f t="shared" si="15"/>
        <v>95</v>
      </c>
      <c r="S26" s="621">
        <f t="shared" si="15"/>
        <v>24.33333333</v>
      </c>
      <c r="T26" s="618">
        <f t="shared" si="15"/>
        <v>70.66666667</v>
      </c>
      <c r="U26" s="618">
        <f t="shared" si="15"/>
        <v>26.5</v>
      </c>
      <c r="V26" s="618">
        <f t="shared" si="15"/>
        <v>3.770833333</v>
      </c>
      <c r="W26" s="618">
        <f t="shared" si="15"/>
        <v>47</v>
      </c>
      <c r="X26" s="618">
        <f t="shared" si="15"/>
        <v>4.981691919</v>
      </c>
      <c r="Y26" s="618">
        <f t="shared" si="15"/>
        <v>66</v>
      </c>
      <c r="Z26" s="618">
        <f t="shared" si="15"/>
        <v>5.708510934</v>
      </c>
      <c r="AA26" s="618">
        <f t="shared" si="15"/>
        <v>77.09090909</v>
      </c>
      <c r="AB26" s="618">
        <f t="shared" si="15"/>
        <v>5.464968617</v>
      </c>
      <c r="AC26" s="618">
        <f t="shared" si="15"/>
        <v>5.48481537</v>
      </c>
      <c r="AD26" s="622" t="s">
        <v>353</v>
      </c>
      <c r="AE26" s="623" t="s">
        <v>353</v>
      </c>
      <c r="AF26" s="623" t="s">
        <v>353</v>
      </c>
      <c r="AG26" s="622" t="s">
        <v>353</v>
      </c>
      <c r="AH26" s="623" t="s">
        <v>353</v>
      </c>
      <c r="AI26" s="623" t="s">
        <v>353</v>
      </c>
      <c r="AJ26" s="623" t="s">
        <v>353</v>
      </c>
      <c r="AK26" s="624" t="s">
        <v>353</v>
      </c>
      <c r="AL26" s="612">
        <f>SUM(AL6:AM25)</f>
        <v>20</v>
      </c>
      <c r="AM26" s="46"/>
    </row>
    <row r="27" ht="63.75" customHeight="1">
      <c r="A27" s="534" t="s">
        <v>237</v>
      </c>
      <c r="B27" s="535" t="str">
        <f>Score!$T$1</f>
        <v>Elevated Roller Derby / Elevated Roller Derby All Stars</v>
      </c>
      <c r="C27" s="536" t="s">
        <v>319</v>
      </c>
      <c r="D27" s="537" t="s">
        <v>320</v>
      </c>
      <c r="E27" s="537" t="s">
        <v>321</v>
      </c>
      <c r="F27" s="538" t="s">
        <v>240</v>
      </c>
      <c r="G27" s="539" t="s">
        <v>322</v>
      </c>
      <c r="H27" s="540" t="s">
        <v>323</v>
      </c>
      <c r="I27" s="541" t="s">
        <v>324</v>
      </c>
      <c r="J27" s="542" t="s">
        <v>214</v>
      </c>
      <c r="K27" s="543" t="s">
        <v>215</v>
      </c>
      <c r="L27" s="543" t="s">
        <v>325</v>
      </c>
      <c r="M27" s="543" t="s">
        <v>326</v>
      </c>
      <c r="N27" s="543" t="s">
        <v>327</v>
      </c>
      <c r="O27" s="543" t="s">
        <v>328</v>
      </c>
      <c r="P27" s="543" t="s">
        <v>329</v>
      </c>
      <c r="Q27" s="544" t="s">
        <v>330</v>
      </c>
      <c r="R27" s="536" t="s">
        <v>331</v>
      </c>
      <c r="S27" s="543" t="s">
        <v>332</v>
      </c>
      <c r="T27" s="540" t="s">
        <v>333</v>
      </c>
      <c r="U27" s="536" t="s">
        <v>334</v>
      </c>
      <c r="V27" s="536" t="s">
        <v>335</v>
      </c>
      <c r="W27" s="545" t="s">
        <v>336</v>
      </c>
      <c r="X27" s="537" t="s">
        <v>337</v>
      </c>
      <c r="Y27" s="546" t="s">
        <v>338</v>
      </c>
      <c r="Z27" s="537" t="s">
        <v>339</v>
      </c>
      <c r="AA27" s="546" t="s">
        <v>340</v>
      </c>
      <c r="AB27" s="537" t="s">
        <v>341</v>
      </c>
      <c r="AC27" s="547" t="s">
        <v>342</v>
      </c>
      <c r="AD27" s="548" t="s">
        <v>343</v>
      </c>
      <c r="AE27" s="548" t="s">
        <v>344</v>
      </c>
      <c r="AF27" s="549" t="s">
        <v>345</v>
      </c>
      <c r="AG27" s="550" t="s">
        <v>346</v>
      </c>
      <c r="AH27" s="550" t="s">
        <v>347</v>
      </c>
      <c r="AI27" s="550" t="s">
        <v>348</v>
      </c>
      <c r="AJ27" s="550" t="s">
        <v>349</v>
      </c>
      <c r="AK27" s="551" t="s">
        <v>350</v>
      </c>
      <c r="AL27" s="552" t="s">
        <v>351</v>
      </c>
      <c r="AM27" s="46"/>
    </row>
    <row r="28" ht="19.5" customHeight="1">
      <c r="A28" s="553" t="str">
        <f>IF(ISBLANK(IGRF!$I14),"",IGRF!$I14)</f>
        <v>10*</v>
      </c>
      <c r="B28" s="554" t="str">
        <f>IF(ISBLANK(IGRF!$J14),"",IGRF!$J14)</f>
        <v>BAMPF!</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11</v>
      </c>
      <c r="B29" s="580" t="str">
        <f>IF(ISBLANK(IGRF!$J15),"",IGRF!$J15)</f>
        <v>Killer Queen</v>
      </c>
      <c r="C29" s="581">
        <f>IF(A29="","",SUM(LU!AH10,LU!AH109))</f>
        <v>0</v>
      </c>
      <c r="D29" s="581">
        <f>IF(A29="","",SUM(LU!W10,LU!W109))</f>
        <v>0</v>
      </c>
      <c r="E29" s="582">
        <f>IF(A29="","",SUM(LU!AC10,LU!AC109))</f>
        <v>20</v>
      </c>
      <c r="F29" s="583">
        <f>IF(A29="","",(SUM(C29:E29)-(SUMPRODUCT(--(Lineups!AC$4:AC$41=A29),--(Lineups!AA$4:AA$41="SP"))+SUMPRODUCT(--(Lineups!AG$4:AG$41=A29),--(Lineups!AA$4:AA$41="SP"))+SUMPRODUCT(--(Lineups!AC$46:AC$83=A29),--(Lineups!AA$46:AA$83="SP"))+SUMPRODUCT(--(Lineups!AG$46:AG$83=A29),--(Lineups!AA$46:AA$83="SP")))))</f>
        <v>20</v>
      </c>
      <c r="G29" s="584">
        <f>IF(OR(A29="",F29=0,LU!D$3+LU!D$102=0),"",F29/(LU!D$3+LU!D$102))</f>
        <v>0.5128205128</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51</v>
      </c>
      <c r="S29" s="581">
        <f>IF(OR(A29="",F29=0),"",SUM(LU!AJ79,LU!AJ178))</f>
        <v>131</v>
      </c>
      <c r="T29" s="585">
        <f>IF(OR(A29="",F29=0),"",SUM(LU!AJ33,LU!AJ132))</f>
        <v>-80</v>
      </c>
      <c r="U29" s="581" t="str">
        <f>IF(OR(A29="",C29=0),"",SUM(LU!AH33,LU!AH132))</f>
        <v/>
      </c>
      <c r="V29" s="594" t="str">
        <f t="shared" si="18"/>
        <v/>
      </c>
      <c r="W29" s="595" t="str">
        <f>IF(OR(A29="",D29=0),"",SUM(LU!W33,LU!W132))</f>
        <v/>
      </c>
      <c r="X29" s="594" t="str">
        <f t="shared" si="19"/>
        <v/>
      </c>
      <c r="Y29" s="595">
        <f>IF(OR(A29="",E29=0),"",SUM(LU!AC33,LU!AC132))</f>
        <v>-80</v>
      </c>
      <c r="Z29" s="594">
        <f t="shared" si="20"/>
        <v>-4</v>
      </c>
      <c r="AA29" s="595">
        <f>IF(OR(A29="",AND(D29=0, E29=0)),"",SUM(LU!AE33,LU!AE132))</f>
        <v>-80</v>
      </c>
      <c r="AB29" s="594">
        <f t="shared" si="21"/>
        <v>-4</v>
      </c>
      <c r="AC29" s="592">
        <f t="shared" si="22"/>
        <v>-4</v>
      </c>
      <c r="AD29" s="598">
        <f>IF(OR(A29="",F29=0,R$48="-",LU!$W$5=0),"",R29-R$48)</f>
        <v>22.92307692</v>
      </c>
      <c r="AE29" s="599">
        <f>IF(OR(A29="",F29=0,S$48="-",LU!$W$5=0),"",S29-S$48)</f>
        <v>22</v>
      </c>
      <c r="AF29" s="600">
        <f t="shared" si="23"/>
        <v>0.9230769231</v>
      </c>
      <c r="AG29" s="601" t="str">
        <f t="shared" si="24"/>
        <v/>
      </c>
      <c r="AH29" s="601" t="str">
        <f t="shared" si="25"/>
        <v/>
      </c>
      <c r="AI29" s="602">
        <f t="shared" si="26"/>
        <v>0.4402677445</v>
      </c>
      <c r="AJ29" s="601">
        <f t="shared" si="27"/>
        <v>-0.1834775476</v>
      </c>
      <c r="AK29" s="605">
        <f>IF(OR($A29="",AC29="",AC$48="-",LU!$W$5=0),"",AC29-AC$48)</f>
        <v>1.576973405</v>
      </c>
      <c r="AL29" s="604">
        <f>IF(OR(A29="",F29=0),"",SUM(PT!U58,PT!U59))</f>
        <v>5</v>
      </c>
      <c r="AM29" s="87"/>
    </row>
    <row r="30" ht="19.5" customHeight="1">
      <c r="A30" s="579" t="str">
        <f>IF(ISBLANK(IGRF!$I16),"",IGRF!$I16)</f>
        <v>120</v>
      </c>
      <c r="B30" s="580" t="str">
        <f>IF(ISBLANK(IGRF!$J16),"",IGRF!$J16)</f>
        <v>Nikki Nail 'er</v>
      </c>
      <c r="C30" s="581">
        <f>IF(A30="","",SUM(LU!AH11,LU!AH110))</f>
        <v>0</v>
      </c>
      <c r="D30" s="581">
        <f>IF(A30="","",SUM(LU!W11,LU!W110))</f>
        <v>0</v>
      </c>
      <c r="E30" s="582">
        <f>IF(A30="","",SUM(LU!AC11,LU!AC110))</f>
        <v>17</v>
      </c>
      <c r="F30" s="583">
        <f>IF(A30="","",(SUM(C30:E30)-(SUMPRODUCT(--(Lineups!AC$4:AC$41=A30),--(Lineups!AA$4:AA$41="SP"))+SUMPRODUCT(--(Lineups!AG$4:AG$41=A30),--(Lineups!AA$4:AA$41="SP"))+SUMPRODUCT(--(Lineups!AC$46:AC$83=A30),--(Lineups!AA$46:AA$83="SP"))+SUMPRODUCT(--(Lineups!AG$46:AG$83=A30),--(Lineups!AA$46:AA$83="SP")))))</f>
        <v>17</v>
      </c>
      <c r="G30" s="584">
        <f>IF(OR(A30="",F30=0,LU!D$3+LU!D$102=0),"",F30/(LU!D$3+LU!D$102))</f>
        <v>0.4358974359</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45</v>
      </c>
      <c r="S30" s="581">
        <f>IF(OR(A30="",F30=0),"",SUM(LU!AJ80,LU!AJ179))</f>
        <v>105</v>
      </c>
      <c r="T30" s="585">
        <f>IF(OR(A30="",F30=0),"",SUM(LU!AJ34,LU!AJ133))</f>
        <v>-60</v>
      </c>
      <c r="U30" s="581" t="str">
        <f>IF(OR(A30="",C30=0),"",SUM(LU!AH34,LU!AH133))</f>
        <v/>
      </c>
      <c r="V30" s="594" t="str">
        <f t="shared" si="18"/>
        <v/>
      </c>
      <c r="W30" s="595" t="str">
        <f>IF(OR(A30="",D30=0),"",SUM(LU!W34,LU!W133))</f>
        <v/>
      </c>
      <c r="X30" s="594" t="str">
        <f t="shared" si="19"/>
        <v/>
      </c>
      <c r="Y30" s="595">
        <f>IF(OR(A30="",E30=0),"",SUM(LU!AC34,LU!AC133))</f>
        <v>-60</v>
      </c>
      <c r="Z30" s="594">
        <f t="shared" si="20"/>
        <v>-3.529411765</v>
      </c>
      <c r="AA30" s="595">
        <f>IF(OR(A30="",AND(D30=0, E30=0)),"",SUM(LU!AE34,LU!AE133))</f>
        <v>-60</v>
      </c>
      <c r="AB30" s="594">
        <f t="shared" si="21"/>
        <v>-3.529411765</v>
      </c>
      <c r="AC30" s="592">
        <f t="shared" si="22"/>
        <v>-3.529411765</v>
      </c>
      <c r="AD30" s="598">
        <f>IF(OR(A30="",F30=0,R$48="-",LU!$W$5=0),"",R30-R$48)</f>
        <v>16.92307692</v>
      </c>
      <c r="AE30" s="599">
        <f>IF(OR(A30="",F30=0,S$48="-",LU!$W$5=0),"",S30-S$48)</f>
        <v>-4</v>
      </c>
      <c r="AF30" s="600">
        <f t="shared" si="23"/>
        <v>20.92307692</v>
      </c>
      <c r="AG30" s="601" t="str">
        <f t="shared" si="24"/>
        <v/>
      </c>
      <c r="AH30" s="601" t="str">
        <f t="shared" si="25"/>
        <v/>
      </c>
      <c r="AI30" s="602">
        <f t="shared" si="26"/>
        <v>0.9108559798</v>
      </c>
      <c r="AJ30" s="601">
        <f t="shared" si="27"/>
        <v>0.2871106877</v>
      </c>
      <c r="AK30" s="605">
        <f>IF(OR($A30="",AC30="",AC$48="-",LU!$W$5=0),"",AC30-AC$48)</f>
        <v>2.04756164</v>
      </c>
      <c r="AL30" s="604">
        <f>IF(OR(A30="",F30=0),"",SUM(PT!U60,PT!U61))</f>
        <v>0</v>
      </c>
      <c r="AM30" s="87"/>
    </row>
    <row r="31" ht="19.5" customHeight="1">
      <c r="A31" s="579" t="str">
        <f>IF(ISBLANK(IGRF!$I17),"",IGRF!$I17)</f>
        <v>13</v>
      </c>
      <c r="B31" s="580" t="str">
        <f>IF(ISBLANK(IGRF!$J17),"",IGRF!$J17)</f>
        <v>Libido Loca</v>
      </c>
      <c r="C31" s="581">
        <f>IF(A31="","",SUM(LU!AH12,LU!AH111))</f>
        <v>0</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t="str">
        <f>IF(OR(A31="",F31=0),"",SUM(LU!AJ58,LU!AJ157))</f>
        <v/>
      </c>
      <c r="S31" s="581" t="str">
        <f>IF(OR(A31="",F31=0),"",SUM(LU!AJ81,LU!AJ180))</f>
        <v/>
      </c>
      <c r="T31" s="585" t="str">
        <f>IF(OR(A31="",F31=0),"",SUM(LU!AJ35,LU!AJ134))</f>
        <v/>
      </c>
      <c r="U31" s="581" t="str">
        <f>IF(OR(A31="",C31=0),"",SUM(LU!AH35,LU!AH134))</f>
        <v/>
      </c>
      <c r="V31" s="594" t="str">
        <f t="shared" si="18"/>
        <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t="str">
        <f t="shared" si="24"/>
        <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15</v>
      </c>
      <c r="B32" s="580" t="str">
        <f>IF(ISBLANK(IGRF!$J18),"",IGRF!$J18)</f>
        <v>Harley Darlin</v>
      </c>
      <c r="C32" s="581">
        <f>IF(A32="","",SUM(LU!AH13,LU!AH112))</f>
        <v>11</v>
      </c>
      <c r="D32" s="581">
        <f>IF(A32="","",SUM(LU!W13,LU!W112))</f>
        <v>0</v>
      </c>
      <c r="E32" s="582">
        <f>IF(A32="","",SUM(LU!AC13,LU!AC112))</f>
        <v>1</v>
      </c>
      <c r="F32" s="583">
        <f>IF(A32="","",(SUM(C32:E32)-(SUMPRODUCT(--(Lineups!AC$4:AC$41=A32),--(Lineups!AA$4:AA$41="SP"))+SUMPRODUCT(--(Lineups!AG$4:AG$41=A32),--(Lineups!AA$4:AA$41="SP"))+SUMPRODUCT(--(Lineups!AC$46:AC$83=A32),--(Lineups!AA$46:AA$83="SP"))+SUMPRODUCT(--(Lineups!AG$46:AG$83=A32),--(Lineups!AA$46:AA$83="SP")))))</f>
        <v>11</v>
      </c>
      <c r="G32" s="584">
        <f>IF(OR(A32="",F32=0,LU!D$3+LU!D$102=0),"",F32/(LU!D$3+LU!D$102))</f>
        <v>0.2820512821</v>
      </c>
      <c r="H32" s="585">
        <f>IF(OR(C32=0,A32=""),"",SK!T186)</f>
        <v>19</v>
      </c>
      <c r="I32" s="586">
        <f>IF(OR(A32="",SK!U186="",SK!U186=0),"",H32/SK!U186)</f>
        <v>1.727272727</v>
      </c>
      <c r="J32" s="587">
        <f>IF(OR(C32=0,A32=""),"",SK!W186)</f>
        <v>2</v>
      </c>
      <c r="K32" s="588">
        <f>IF(OR(C32=0,A32=""),"",SK!X186)</f>
        <v>3</v>
      </c>
      <c r="L32" s="589">
        <f>IF(OR(C32=0,A32=""),"",SK!Z186)</f>
        <v>1</v>
      </c>
      <c r="M32" s="589">
        <f>IF(OR(C32=0,A32=""),"",SK!AB186)</f>
        <v>3</v>
      </c>
      <c r="N32" s="589">
        <f>IF(OR(A32="",C32=0),"",SUMPRODUCT(--(Lineups!$AA$4:$AA$41="SP"),--(Lineups!$AC$4:$AC$41=A32))+SUMPRODUCT(--(Lineups!$AA$46:$AA$83="SP"),--(Lineups!$AC$46:$AC$83=A32)))</f>
        <v>0</v>
      </c>
      <c r="O32" s="590">
        <f t="shared" si="16"/>
        <v>0.2727272727</v>
      </c>
      <c r="P32" s="591">
        <f>IF(OR(A32="",C32=0),"",SK!Y186)</f>
        <v>-2</v>
      </c>
      <c r="Q32" s="592">
        <f t="shared" si="17"/>
        <v>-0.6666666667</v>
      </c>
      <c r="R32" s="593">
        <f>IF(OR(A32="",F32=0),"",SUM(LU!AJ59,LU!AJ158))</f>
        <v>19</v>
      </c>
      <c r="S32" s="581">
        <f>IF(OR(A32="",F32=0),"",SUM(LU!AJ82,LU!AJ181))</f>
        <v>63</v>
      </c>
      <c r="T32" s="585">
        <f>IF(OR(A32="",F32=0),"",SUM(LU!AJ36,LU!AJ135))</f>
        <v>-44</v>
      </c>
      <c r="U32" s="581">
        <f>IF(OR(A32="",C32=0),"",SUM(LU!AH36,LU!AH135))</f>
        <v>-44</v>
      </c>
      <c r="V32" s="594">
        <f t="shared" si="18"/>
        <v>-4</v>
      </c>
      <c r="W32" s="595" t="str">
        <f>IF(OR(A32="",D32=0),"",SUM(LU!W36,LU!W135))</f>
        <v/>
      </c>
      <c r="X32" s="594" t="str">
        <f t="shared" si="19"/>
        <v/>
      </c>
      <c r="Y32" s="595">
        <f>IF(OR(A32="",E32=0),"",SUM(LU!AC36,LU!AC135))</f>
        <v>0</v>
      </c>
      <c r="Z32" s="594">
        <f t="shared" si="20"/>
        <v>0</v>
      </c>
      <c r="AA32" s="595">
        <f>IF(OR(A32="",AND(D32=0, E32=0)),"",SUM(LU!AE36,LU!AE135))</f>
        <v>0</v>
      </c>
      <c r="AB32" s="594">
        <f t="shared" si="21"/>
        <v>0</v>
      </c>
      <c r="AC32" s="592">
        <f t="shared" si="22"/>
        <v>-4</v>
      </c>
      <c r="AD32" s="598">
        <f>IF(OR(A32="",F32=0,R$48="-",LU!$W$5=0),"",R32-R$48)</f>
        <v>-9.076923077</v>
      </c>
      <c r="AE32" s="599">
        <f>IF(OR(A32="",F32=0,S$48="-",LU!$W$5=0),"",S32-S$48)</f>
        <v>-46</v>
      </c>
      <c r="AF32" s="600">
        <f t="shared" si="23"/>
        <v>36.92307692</v>
      </c>
      <c r="AG32" s="601">
        <f t="shared" si="24"/>
        <v>-0.1572871573</v>
      </c>
      <c r="AH32" s="601" t="str">
        <f t="shared" si="25"/>
        <v/>
      </c>
      <c r="AI32" s="602">
        <f t="shared" si="26"/>
        <v>4.440267745</v>
      </c>
      <c r="AJ32" s="601">
        <f t="shared" si="27"/>
        <v>3.816522452</v>
      </c>
      <c r="AK32" s="605">
        <f>IF(OR($A32="",AC32="",AC$48="-",LU!$W$5=0),"",AC32-AC$48)</f>
        <v>1.576973405</v>
      </c>
      <c r="AL32" s="604">
        <f>IF(OR(A32="",F32=0),"",SUM(PT!U64,PT!U65))</f>
        <v>2</v>
      </c>
      <c r="AM32" s="87"/>
    </row>
    <row r="33" ht="19.5" customHeight="1">
      <c r="A33" s="579" t="str">
        <f>IF(ISBLANK(IGRF!$I19),"",IGRF!$I19)</f>
        <v>21*</v>
      </c>
      <c r="B33" s="580" t="str">
        <f>IF(ISBLANK(IGRF!$J19),"",IGRF!$J19)</f>
        <v>Agatha KrisB</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213</v>
      </c>
      <c r="B34" s="580" t="str">
        <f>IF(ISBLANK(IGRF!$J20),"",IGRF!$J20)</f>
        <v>IceBox</v>
      </c>
      <c r="C34" s="581">
        <f>IF(A34="","",SUM(LU!AH15,LU!AH114))</f>
        <v>0</v>
      </c>
      <c r="D34" s="581">
        <f>IF(A34="","",SUM(LU!W15,LU!W114))</f>
        <v>0</v>
      </c>
      <c r="E34" s="582">
        <f>IF(A34="","",SUM(LU!AC15,LU!AC114))</f>
        <v>20</v>
      </c>
      <c r="F34" s="583">
        <f>IF(A34="","",(SUM(C34:E34)-(SUMPRODUCT(--(Lineups!AC$4:AC$41=A34),--(Lineups!AA$4:AA$41="SP"))+SUMPRODUCT(--(Lineups!AG$4:AG$41=A34),--(Lineups!AA$4:AA$41="SP"))+SUMPRODUCT(--(Lineups!AC$46:AC$83=A34),--(Lineups!AA$46:AA$83="SP"))+SUMPRODUCT(--(Lineups!AG$46:AG$83=A34),--(Lineups!AA$46:AA$83="SP")))))</f>
        <v>20</v>
      </c>
      <c r="G34" s="584">
        <f>IF(OR(A34="",F34=0,LU!D$3+LU!D$102=0),"",F34/(LU!D$3+LU!D$102))</f>
        <v>0.5128205128</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28</v>
      </c>
      <c r="S34" s="581">
        <f>IF(OR(A34="",F34=0),"",SUM(LU!AJ84,LU!AJ183))</f>
        <v>165</v>
      </c>
      <c r="T34" s="585">
        <f>IF(OR(A34="",F34=0),"",SUM(LU!AJ38,LU!AJ137))</f>
        <v>-137</v>
      </c>
      <c r="U34" s="581" t="str">
        <f>IF(OR(A34="",C34=0),"",SUM(LU!AH38,LU!AH137))</f>
        <v/>
      </c>
      <c r="V34" s="594" t="str">
        <f t="shared" si="18"/>
        <v/>
      </c>
      <c r="W34" s="595" t="str">
        <f>IF(OR(A34="",D34=0),"",SUM(LU!W38,LU!W137))</f>
        <v/>
      </c>
      <c r="X34" s="594" t="str">
        <f t="shared" si="19"/>
        <v/>
      </c>
      <c r="Y34" s="595">
        <f>IF(OR(A34="",E34=0),"",SUM(LU!AC38,LU!AC137))</f>
        <v>-137</v>
      </c>
      <c r="Z34" s="594">
        <f t="shared" si="20"/>
        <v>-6.85</v>
      </c>
      <c r="AA34" s="595">
        <f>IF(OR(A34="",AND(D34=0, E34=0)),"",SUM(LU!AE38,LU!AE137))</f>
        <v>-137</v>
      </c>
      <c r="AB34" s="594">
        <f t="shared" si="21"/>
        <v>-6.85</v>
      </c>
      <c r="AC34" s="592">
        <f t="shared" si="22"/>
        <v>-6.85</v>
      </c>
      <c r="AD34" s="598">
        <f>IF(OR(A34="",F34=0,R$48="-",LU!$W$5=0),"",R34-R$48)</f>
        <v>-0.07692307692</v>
      </c>
      <c r="AE34" s="599">
        <f>IF(OR(A34="",F34=0,S$48="-",LU!$W$5=0),"",S34-S$48)</f>
        <v>56</v>
      </c>
      <c r="AF34" s="600">
        <f t="shared" si="23"/>
        <v>-56.07692308</v>
      </c>
      <c r="AG34" s="601" t="str">
        <f t="shared" si="24"/>
        <v/>
      </c>
      <c r="AH34" s="601" t="str">
        <f t="shared" si="25"/>
        <v/>
      </c>
      <c r="AI34" s="602">
        <f t="shared" si="26"/>
        <v>-2.409732255</v>
      </c>
      <c r="AJ34" s="601">
        <f t="shared" si="27"/>
        <v>-3.033477548</v>
      </c>
      <c r="AK34" s="605">
        <f>IF(OR($A34="",AC34="",AC$48="-",LU!$W$5=0),"",AC34-AC$48)</f>
        <v>-1.273026595</v>
      </c>
      <c r="AL34" s="604">
        <f>IF(OR(A34="",F34=0),"",SUM(PT!U68,PT!U69))</f>
        <v>2</v>
      </c>
      <c r="AM34" s="87"/>
    </row>
    <row r="35" ht="19.5" customHeight="1">
      <c r="A35" s="579" t="str">
        <f>IF(ISBLANK(IGRF!$I21),"",IGRF!$I21)</f>
        <v>221</v>
      </c>
      <c r="B35" s="580" t="str">
        <f>IF(ISBLANK(IGRF!$J21),"",IGRF!$J21)</f>
        <v>Syann</v>
      </c>
      <c r="C35" s="581">
        <f>IF(A35="","",SUM(LU!AH16,LU!AH115))</f>
        <v>4</v>
      </c>
      <c r="D35" s="581">
        <f>IF(A35="","",SUM(LU!W16,LU!W115))</f>
        <v>0</v>
      </c>
      <c r="E35" s="582">
        <f>IF(A35="","",SUM(LU!AC16,LU!AC115))</f>
        <v>2</v>
      </c>
      <c r="F35" s="583">
        <f>IF(A35="","",(SUM(C35:E35)-(SUMPRODUCT(--(Lineups!AC$4:AC$41=A35),--(Lineups!AA$4:AA$41="SP"))+SUMPRODUCT(--(Lineups!AG$4:AG$41=A35),--(Lineups!AA$4:AA$41="SP"))+SUMPRODUCT(--(Lineups!AC$46:AC$83=A35),--(Lineups!AA$46:AA$83="SP"))+SUMPRODUCT(--(Lineups!AG$46:AG$83=A35),--(Lineups!AA$46:AA$83="SP")))))</f>
        <v>4</v>
      </c>
      <c r="G35" s="584">
        <f>IF(OR(A35="",F35=0,LU!D$3+LU!D$102=0),"",F35/(LU!D$3+LU!D$102))</f>
        <v>0.1025641026</v>
      </c>
      <c r="H35" s="585">
        <f>IF(OR(C35=0,A35=""),"",SK!T195)</f>
        <v>4</v>
      </c>
      <c r="I35" s="586">
        <f>IF(OR(A35="",SK!U195="",SK!U195=0),"",H35/SK!U195)</f>
        <v>1</v>
      </c>
      <c r="J35" s="587">
        <f>IF(OR(C35=0,A35=""),"",SK!W195)</f>
        <v>0</v>
      </c>
      <c r="K35" s="588">
        <f>IF(OR(C35=0,A35=""),"",SK!X195)</f>
        <v>0</v>
      </c>
      <c r="L35" s="589">
        <f>IF(OR(C35=0,A35=""),"",SK!Z195)</f>
        <v>0</v>
      </c>
      <c r="M35" s="589">
        <f>IF(OR(C35=0,A35=""),"",SK!AB195)</f>
        <v>3</v>
      </c>
      <c r="N35" s="589">
        <f>IF(OR(A35="",C35=0),"",SUMPRODUCT(--(Lineups!$AA$4:$AA$41="SP"),--(Lineups!$AC$4:$AC$41=A35))+SUMPRODUCT(--(Lineups!$AA$46:$AA$83="SP"),--(Lineups!$AC$46:$AC$83=A35)))</f>
        <v>0</v>
      </c>
      <c r="O35" s="590">
        <f t="shared" si="16"/>
        <v>0</v>
      </c>
      <c r="P35" s="591">
        <f>IF(OR(A35="",C35=0),"",SK!Y195)</f>
        <v>0</v>
      </c>
      <c r="Q35" s="592" t="str">
        <f t="shared" si="17"/>
        <v/>
      </c>
      <c r="R35" s="593">
        <f>IF(OR(A35="",F35=0),"",SUM(LU!AJ62,LU!AJ161))</f>
        <v>4</v>
      </c>
      <c r="S35" s="581">
        <f>IF(OR(A35="",F35=0),"",SUM(LU!AJ85,LU!AJ184))</f>
        <v>31</v>
      </c>
      <c r="T35" s="585">
        <f>IF(OR(A35="",F35=0),"",SUM(LU!AJ39,LU!AJ138))</f>
        <v>-27</v>
      </c>
      <c r="U35" s="581">
        <f>IF(OR(A35="",C35=0),"",SUM(LU!AH39,LU!AH138))</f>
        <v>-27</v>
      </c>
      <c r="V35" s="594">
        <f t="shared" si="18"/>
        <v>-6.75</v>
      </c>
      <c r="W35" s="595" t="str">
        <f>IF(OR(A35="",D35=0),"",SUM(LU!W39,LU!W138))</f>
        <v/>
      </c>
      <c r="X35" s="594" t="str">
        <f t="shared" si="19"/>
        <v/>
      </c>
      <c r="Y35" s="595">
        <f>IF(OR(A35="",E35=0),"",SUM(LU!AC39,LU!AC138))</f>
        <v>0</v>
      </c>
      <c r="Z35" s="594">
        <f t="shared" si="20"/>
        <v>0</v>
      </c>
      <c r="AA35" s="595">
        <f>IF(OR(A35="",AND(D35=0, E35=0)),"",SUM(LU!AE39,LU!AE138))</f>
        <v>0</v>
      </c>
      <c r="AB35" s="594">
        <f t="shared" si="21"/>
        <v>0</v>
      </c>
      <c r="AC35" s="592">
        <f t="shared" si="22"/>
        <v>-6.75</v>
      </c>
      <c r="AD35" s="598">
        <f>IF(OR(A35="",F35=0,R$48="-",LU!$W$5=0),"",R35-R$48)</f>
        <v>-24.07692308</v>
      </c>
      <c r="AE35" s="599">
        <f>IF(OR(A35="",F35=0,S$48="-",LU!$W$5=0),"",S35-S$48)</f>
        <v>-78</v>
      </c>
      <c r="AF35" s="600">
        <f t="shared" si="23"/>
        <v>53.92307692</v>
      </c>
      <c r="AG35" s="601">
        <f t="shared" si="24"/>
        <v>-2.907287157</v>
      </c>
      <c r="AH35" s="601" t="str">
        <f t="shared" si="25"/>
        <v/>
      </c>
      <c r="AI35" s="602">
        <f t="shared" si="26"/>
        <v>4.440267745</v>
      </c>
      <c r="AJ35" s="601">
        <f t="shared" si="27"/>
        <v>3.816522452</v>
      </c>
      <c r="AK35" s="605">
        <f>IF(OR($A35="",AC35="",AC$48="-",LU!$W$5=0),"",AC35-AC$48)</f>
        <v>-1.173026595</v>
      </c>
      <c r="AL35" s="604">
        <f>IF(OR(A35="",F35=0),"",SUM(PT!U70,PT!U71))</f>
        <v>1</v>
      </c>
      <c r="AM35" s="87"/>
    </row>
    <row r="36" ht="19.5" customHeight="1">
      <c r="A36" s="579" t="str">
        <f>IF(ISBLANK(IGRF!$I22),"",IGRF!$I22)</f>
        <v>28</v>
      </c>
      <c r="B36" s="580" t="str">
        <f>IF(ISBLANK(IGRF!$J22),"",IGRF!$J22)</f>
        <v>Hot Box</v>
      </c>
      <c r="C36" s="581">
        <f>IF(A36="","",SUM(LU!AH17,LU!AH116))</f>
        <v>6</v>
      </c>
      <c r="D36" s="581">
        <f>IF(A36="","",SUM(LU!W17,LU!W116))</f>
        <v>18</v>
      </c>
      <c r="E36" s="582">
        <f>IF(A36="","",SUM(LU!AC17,LU!AC116))</f>
        <v>1</v>
      </c>
      <c r="F36" s="583">
        <f>IF(A36="","",(SUM(C36:E36)-(SUMPRODUCT(--(Lineups!AC$4:AC$41=A36),--(Lineups!AA$4:AA$41="SP"))+SUMPRODUCT(--(Lineups!AG$4:AG$41=A36),--(Lineups!AA$4:AA$41="SP"))+SUMPRODUCT(--(Lineups!AC$46:AC$83=A36),--(Lineups!AA$46:AA$83="SP"))+SUMPRODUCT(--(Lineups!AG$46:AG$83=A36),--(Lineups!AA$46:AA$83="SP")))))</f>
        <v>19</v>
      </c>
      <c r="G36" s="584">
        <f>IF(OR(A36="",F36=0,LU!D$3+LU!D$102=0),"",F36/(LU!D$3+LU!D$102))</f>
        <v>0.4871794872</v>
      </c>
      <c r="H36" s="585">
        <f>IF(OR(C36=0,A36=""),"",SK!T198)</f>
        <v>2</v>
      </c>
      <c r="I36" s="586">
        <f>IF(OR(A36="",SK!U198="",SK!U198=0),"",H36/SK!U198)</f>
        <v>0.3333333333</v>
      </c>
      <c r="J36" s="587">
        <f>IF(OR(C36=0,A36=""),"",SK!W198)</f>
        <v>0</v>
      </c>
      <c r="K36" s="588">
        <f>IF(OR(C36=0,A36=""),"",SK!X198)</f>
        <v>0</v>
      </c>
      <c r="L36" s="589">
        <f>IF(OR(C36=0,A36=""),"",SK!Z198)</f>
        <v>0</v>
      </c>
      <c r="M36" s="589">
        <f>IF(OR(C36=0,A36=""),"",SK!AB198)</f>
        <v>3</v>
      </c>
      <c r="N36" s="589">
        <f>IF(OR(A36="",C36=0),"",SUMPRODUCT(--(Lineups!$AA$4:$AA$41="SP"),--(Lineups!$AC$4:$AC$41=A36))+SUMPRODUCT(--(Lineups!$AA$46:$AA$83="SP"),--(Lineups!$AC$46:$AC$83=A36)))</f>
        <v>6</v>
      </c>
      <c r="O36" s="590" t="str">
        <f t="shared" si="16"/>
        <v/>
      </c>
      <c r="P36" s="591">
        <f>IF(OR(A36="",C36=0),"",SK!Y198)</f>
        <v>0</v>
      </c>
      <c r="Q36" s="592" t="str">
        <f t="shared" si="17"/>
        <v/>
      </c>
      <c r="R36" s="593">
        <f>IF(OR(A36="",F36=0),"",SUM(LU!AJ63,LU!AJ162))</f>
        <v>45</v>
      </c>
      <c r="S36" s="581">
        <f>IF(OR(A36="",F36=0),"",SUM(LU!AJ86,LU!AJ185))</f>
        <v>124</v>
      </c>
      <c r="T36" s="585">
        <f>IF(OR(A36="",F36=0),"",SUM(LU!AJ40,LU!AJ139))</f>
        <v>-79</v>
      </c>
      <c r="U36" s="581">
        <f>IF(OR(A36="",C36=0),"",SUM(LU!AH40,LU!AH139))</f>
        <v>2</v>
      </c>
      <c r="V36" s="594">
        <f t="shared" si="18"/>
        <v>0.3333333333</v>
      </c>
      <c r="W36" s="595">
        <f>IF(OR(A36="",D36=0),"",SUM(LU!W40,LU!W139))</f>
        <v>-66</v>
      </c>
      <c r="X36" s="594">
        <f t="shared" si="19"/>
        <v>-3.666666667</v>
      </c>
      <c r="Y36" s="595">
        <f>IF(OR(A36="",E36=0),"",SUM(LU!AC40,LU!AC139))</f>
        <v>-15</v>
      </c>
      <c r="Z36" s="594">
        <f t="shared" si="20"/>
        <v>-15</v>
      </c>
      <c r="AA36" s="595">
        <f>IF(OR(A36="",AND(D36=0, E36=0)),"",SUM(LU!AE40,LU!AE139))</f>
        <v>-81</v>
      </c>
      <c r="AB36" s="594">
        <f t="shared" si="21"/>
        <v>-4.263157895</v>
      </c>
      <c r="AC36" s="592">
        <f t="shared" si="22"/>
        <v>-4.157894737</v>
      </c>
      <c r="AD36" s="598">
        <f>IF(OR(A36="",F36=0,R$48="-",LU!$W$5=0),"",R36-R$48)</f>
        <v>16.92307692</v>
      </c>
      <c r="AE36" s="599">
        <f>IF(OR(A36="",F36=0,S$48="-",LU!$W$5=0),"",S36-S$48)</f>
        <v>15</v>
      </c>
      <c r="AF36" s="600">
        <f t="shared" si="23"/>
        <v>1.923076923</v>
      </c>
      <c r="AG36" s="601">
        <f t="shared" si="24"/>
        <v>4.176046176</v>
      </c>
      <c r="AH36" s="601">
        <f t="shared" si="25"/>
        <v>2.238888889</v>
      </c>
      <c r="AI36" s="602">
        <f t="shared" si="26"/>
        <v>-10.55973226</v>
      </c>
      <c r="AJ36" s="601">
        <f t="shared" si="27"/>
        <v>-0.4466354423</v>
      </c>
      <c r="AK36" s="605">
        <f>IF(OR($A36="",AC36="",AC$48="-",LU!$W$5=0),"",AC36-AC$48)</f>
        <v>1.419078668</v>
      </c>
      <c r="AL36" s="604">
        <f>IF(OR(A36="",F36=0),"",SUM(PT!U72,PT!U73))</f>
        <v>0</v>
      </c>
      <c r="AM36" s="87"/>
    </row>
    <row r="37" ht="19.5" customHeight="1">
      <c r="A37" s="579" t="str">
        <f>IF(ISBLANK(IGRF!$I23),"",IGRF!$I23)</f>
        <v>321</v>
      </c>
      <c r="B37" s="580" t="str">
        <f>IF(ISBLANK(IGRF!$J23),"",IGRF!$J23)</f>
        <v>Rockit</v>
      </c>
      <c r="C37" s="581">
        <f>IF(A37="","",SUM(LU!AH18,LU!AH117))</f>
        <v>0</v>
      </c>
      <c r="D37" s="581">
        <f>IF(A37="","",SUM(LU!W18,LU!W117))</f>
        <v>0</v>
      </c>
      <c r="E37" s="582">
        <f>IF(A37="","",SUM(LU!AC18,LU!AC117))</f>
        <v>20</v>
      </c>
      <c r="F37" s="583">
        <f>IF(A37="","",(SUM(C37:E37)-(SUMPRODUCT(--(Lineups!AC$4:AC$41=A37),--(Lineups!AA$4:AA$41="SP"))+SUMPRODUCT(--(Lineups!AG$4:AG$41=A37),--(Lineups!AA$4:AA$41="SP"))+SUMPRODUCT(--(Lineups!AC$46:AC$83=A37),--(Lineups!AA$46:AA$83="SP"))+SUMPRODUCT(--(Lineups!AG$46:AG$83=A37),--(Lineups!AA$46:AA$83="SP")))))</f>
        <v>20</v>
      </c>
      <c r="G37" s="584">
        <f>IF(OR(A37="",F37=0,LU!D$3+LU!D$102=0),"",F37/(LU!D$3+LU!D$102))</f>
        <v>0.5128205128</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45</v>
      </c>
      <c r="S37" s="581">
        <f>IF(OR(A37="",F37=0),"",SUM(LU!AJ87,LU!AJ186))</f>
        <v>136</v>
      </c>
      <c r="T37" s="585">
        <f>IF(OR(A37="",F37=0),"",SUM(LU!AJ41,LU!AJ140))</f>
        <v>-91</v>
      </c>
      <c r="U37" s="581" t="str">
        <f>IF(OR(A37="",C37=0),"",SUM(LU!AH41,LU!AH140))</f>
        <v/>
      </c>
      <c r="V37" s="594" t="str">
        <f t="shared" si="18"/>
        <v/>
      </c>
      <c r="W37" s="595" t="str">
        <f>IF(OR(A37="",D37=0),"",SUM(LU!W41,LU!W140))</f>
        <v/>
      </c>
      <c r="X37" s="594" t="str">
        <f t="shared" si="19"/>
        <v/>
      </c>
      <c r="Y37" s="595">
        <f>IF(OR(A37="",E37=0),"",SUM(LU!AC41,LU!AC140))</f>
        <v>-91</v>
      </c>
      <c r="Z37" s="594">
        <f t="shared" si="20"/>
        <v>-4.55</v>
      </c>
      <c r="AA37" s="595">
        <f>IF(OR(A37="",AND(D37=0, E37=0)),"",SUM(LU!AE41,LU!AE140))</f>
        <v>-91</v>
      </c>
      <c r="AB37" s="594">
        <f t="shared" si="21"/>
        <v>-4.55</v>
      </c>
      <c r="AC37" s="592">
        <f t="shared" si="22"/>
        <v>-4.55</v>
      </c>
      <c r="AD37" s="598">
        <f>IF(OR(A37="",F37=0,R$48="-",LU!$W$5=0),"",R37-R$48)</f>
        <v>16.92307692</v>
      </c>
      <c r="AE37" s="599">
        <f>IF(OR(A37="",F37=0,S$48="-",LU!$W$5=0),"",S37-S$48)</f>
        <v>27</v>
      </c>
      <c r="AF37" s="600">
        <f t="shared" si="23"/>
        <v>-10.07692308</v>
      </c>
      <c r="AG37" s="601" t="str">
        <f t="shared" si="24"/>
        <v/>
      </c>
      <c r="AH37" s="601" t="str">
        <f t="shared" si="25"/>
        <v/>
      </c>
      <c r="AI37" s="602">
        <f t="shared" si="26"/>
        <v>-0.1097322555</v>
      </c>
      <c r="AJ37" s="601">
        <f t="shared" si="27"/>
        <v>-0.7334775476</v>
      </c>
      <c r="AK37" s="605">
        <f>IF(OR($A37="",AC37="",AC$48="-",LU!$W$5=0),"",AC37-AC$48)</f>
        <v>1.026973405</v>
      </c>
      <c r="AL37" s="604">
        <f>IF(OR(A37="",F37=0),"",SUM(PT!U74,PT!U75))</f>
        <v>0</v>
      </c>
      <c r="AM37" s="87"/>
    </row>
    <row r="38" ht="19.5" customHeight="1">
      <c r="A38" s="579" t="str">
        <f>IF(ISBLANK(IGRF!$I24),"",IGRF!$I24)</f>
        <v>329</v>
      </c>
      <c r="B38" s="580" t="str">
        <f>IF(ISBLANK(IGRF!$J24),"",IGRF!$J24)</f>
        <v>Triple Axel Rose</v>
      </c>
      <c r="C38" s="581">
        <f>IF(A38="","",SUM(LU!AH19,LU!AH118))</f>
        <v>12</v>
      </c>
      <c r="D38" s="581">
        <f>IF(A38="","",SUM(LU!W19,LU!W118))</f>
        <v>0</v>
      </c>
      <c r="E38" s="582">
        <f>IF(A38="","",SUM(LU!AC19,LU!AC118))</f>
        <v>5</v>
      </c>
      <c r="F38" s="583">
        <f>IF(A38="","",(SUM(C38:E38)-(SUMPRODUCT(--(Lineups!AC$4:AC$41=A38),--(Lineups!AA$4:AA$41="SP"))+SUMPRODUCT(--(Lineups!AG$4:AG$41=A38),--(Lineups!AA$4:AA$41="SP"))+SUMPRODUCT(--(Lineups!AC$46:AC$83=A38),--(Lineups!AA$46:AA$83="SP"))+SUMPRODUCT(--(Lineups!AG$46:AG$83=A38),--(Lineups!AA$46:AA$83="SP")))))</f>
        <v>12</v>
      </c>
      <c r="G38" s="584">
        <f>IF(OR(A38="",F38=0,LU!D$3+LU!D$102=0),"",F38/(LU!D$3+LU!D$102))</f>
        <v>0.3076923077</v>
      </c>
      <c r="H38" s="585">
        <f>IF(OR(C38=0,A38=""),"",SK!T204)</f>
        <v>30</v>
      </c>
      <c r="I38" s="586">
        <f>IF(OR(A38="",SK!U204="",SK!U204=0),"",H38/SK!U204)</f>
        <v>2.5</v>
      </c>
      <c r="J38" s="587">
        <f>IF(OR(C38=0,A38=""),"",SK!W204)</f>
        <v>2</v>
      </c>
      <c r="K38" s="588">
        <f>IF(OR(C38=0,A38=""),"",SK!X204)</f>
        <v>2</v>
      </c>
      <c r="L38" s="589">
        <f>IF(OR(C38=0,A38=""),"",SK!Z204)</f>
        <v>0</v>
      </c>
      <c r="M38" s="589">
        <f>IF(OR(C38=0,A38=""),"",SK!AB204)</f>
        <v>7</v>
      </c>
      <c r="N38" s="589">
        <f>IF(OR(A38="",C38=0),"",SUMPRODUCT(--(Lineups!$AA$4:$AA$41="SP"),--(Lineups!$AC$4:$AC$41=A38))+SUMPRODUCT(--(Lineups!$AA$46:$AA$83="SP"),--(Lineups!$AC$46:$AC$83=A38)))</f>
        <v>0</v>
      </c>
      <c r="O38" s="590">
        <f t="shared" si="16"/>
        <v>0.1666666667</v>
      </c>
      <c r="P38" s="591">
        <f>IF(OR(A38="",C38=0),"",SK!Y204)</f>
        <v>-3</v>
      </c>
      <c r="Q38" s="592">
        <f t="shared" si="17"/>
        <v>-1.5</v>
      </c>
      <c r="R38" s="593">
        <f>IF(OR(A38="",F38=0),"",SUM(LU!AJ65,LU!AJ164))</f>
        <v>30</v>
      </c>
      <c r="S38" s="581">
        <f>IF(OR(A38="",F38=0),"",SUM(LU!AJ88,LU!AJ187))</f>
        <v>105</v>
      </c>
      <c r="T38" s="585">
        <f>IF(OR(A38="",F38=0),"",SUM(LU!AJ42,LU!AJ141))</f>
        <v>-75</v>
      </c>
      <c r="U38" s="581">
        <f>IF(OR(A38="",C38=0),"",SUM(LU!AH42,LU!AH141))</f>
        <v>-75</v>
      </c>
      <c r="V38" s="594">
        <f t="shared" si="18"/>
        <v>-6.25</v>
      </c>
      <c r="W38" s="595" t="str">
        <f>IF(OR(A38="",D38=0),"",SUM(LU!W42,LU!W141))</f>
        <v/>
      </c>
      <c r="X38" s="594" t="str">
        <f t="shared" si="19"/>
        <v/>
      </c>
      <c r="Y38" s="595">
        <f>IF(OR(A38="",E38=0),"",SUM(LU!AC42,LU!AC141))</f>
        <v>0</v>
      </c>
      <c r="Z38" s="594">
        <f t="shared" si="20"/>
        <v>0</v>
      </c>
      <c r="AA38" s="595">
        <f>IF(OR(A38="",AND(D38=0, E38=0)),"",SUM(LU!AE42,LU!AE141))</f>
        <v>0</v>
      </c>
      <c r="AB38" s="594">
        <f t="shared" si="21"/>
        <v>0</v>
      </c>
      <c r="AC38" s="592">
        <f t="shared" si="22"/>
        <v>-6.25</v>
      </c>
      <c r="AD38" s="598">
        <f>IF(OR(A38="",F38=0,R$48="-",LU!$W$5=0),"",R38-R$48)</f>
        <v>1.923076923</v>
      </c>
      <c r="AE38" s="599">
        <f>IF(OR(A38="",F38=0,S$48="-",LU!$W$5=0),"",S38-S$48)</f>
        <v>-4</v>
      </c>
      <c r="AF38" s="600">
        <f t="shared" si="23"/>
        <v>5.923076923</v>
      </c>
      <c r="AG38" s="601">
        <f t="shared" si="24"/>
        <v>-2.407287157</v>
      </c>
      <c r="AH38" s="601" t="str">
        <f t="shared" si="25"/>
        <v/>
      </c>
      <c r="AI38" s="602">
        <f t="shared" si="26"/>
        <v>4.440267745</v>
      </c>
      <c r="AJ38" s="601">
        <f t="shared" si="27"/>
        <v>3.816522452</v>
      </c>
      <c r="AK38" s="605">
        <f>IF(OR($A38="",AC38="",AC$48="-",LU!$W$5=0),"",AC38-AC$48)</f>
        <v>-0.673026595</v>
      </c>
      <c r="AL38" s="604">
        <f>IF(OR(A38="",F38=0),"",SUM(PT!U76,PT!U77))</f>
        <v>2</v>
      </c>
      <c r="AM38" s="87"/>
    </row>
    <row r="39" ht="19.5" customHeight="1">
      <c r="A39" s="579" t="str">
        <f>IF(ISBLANK(IGRF!$I25),"",IGRF!$I25)</f>
        <v>410</v>
      </c>
      <c r="B39" s="580" t="str">
        <f>IF(ISBLANK(IGRF!$J25),"",IGRF!$J25)</f>
        <v>Ricketts</v>
      </c>
      <c r="C39" s="581">
        <f>IF(A39="","",SUM(LU!AH20,LU!AH119))</f>
        <v>0</v>
      </c>
      <c r="D39" s="581">
        <f>IF(A39="","",SUM(LU!W20,LU!W119))</f>
        <v>0</v>
      </c>
      <c r="E39" s="582">
        <f>IF(A39="","",SUM(LU!AC20,LU!AC119))</f>
        <v>18</v>
      </c>
      <c r="F39" s="583">
        <f>IF(A39="","",(SUM(C39:E39)-(SUMPRODUCT(--(Lineups!AC$4:AC$41=A39),--(Lineups!AA$4:AA$41="SP"))+SUMPRODUCT(--(Lineups!AG$4:AG$41=A39),--(Lineups!AA$4:AA$41="SP"))+SUMPRODUCT(--(Lineups!AC$46:AC$83=A39),--(Lineups!AA$46:AA$83="SP"))+SUMPRODUCT(--(Lineups!AG$46:AG$83=A39),--(Lineups!AA$46:AA$83="SP")))))</f>
        <v>18</v>
      </c>
      <c r="G39" s="584">
        <f>IF(OR(A39="",F39=0,LU!D$3+LU!D$102=0),"",F39/(LU!D$3+LU!D$102))</f>
        <v>0.4615384615</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22</v>
      </c>
      <c r="S39" s="581">
        <f>IF(OR(A39="",F39=0),"",SUM(LU!AJ89,LU!AJ188))</f>
        <v>134</v>
      </c>
      <c r="T39" s="585">
        <f>IF(OR(A39="",F39=0),"",SUM(LU!AJ43,LU!AJ142))</f>
        <v>-112</v>
      </c>
      <c r="U39" s="581" t="str">
        <f>IF(OR(A39="",C39=0),"",SUM(LU!AH43,LU!AH142))</f>
        <v/>
      </c>
      <c r="V39" s="594" t="str">
        <f t="shared" si="18"/>
        <v/>
      </c>
      <c r="W39" s="595" t="str">
        <f>IF(OR(A39="",D39=0),"",SUM(LU!W43,LU!W142))</f>
        <v/>
      </c>
      <c r="X39" s="594" t="str">
        <f t="shared" si="19"/>
        <v/>
      </c>
      <c r="Y39" s="595">
        <f>IF(OR(A39="",E39=0),"",SUM(LU!AC43,LU!AC142))</f>
        <v>-112</v>
      </c>
      <c r="Z39" s="594">
        <f t="shared" si="20"/>
        <v>-6.222222222</v>
      </c>
      <c r="AA39" s="595">
        <f>IF(OR(A39="",AND(D39=0, E39=0)),"",SUM(LU!AE43,LU!AE142))</f>
        <v>-112</v>
      </c>
      <c r="AB39" s="594">
        <f t="shared" si="21"/>
        <v>-6.222222222</v>
      </c>
      <c r="AC39" s="592">
        <f t="shared" si="22"/>
        <v>-6.222222222</v>
      </c>
      <c r="AD39" s="598">
        <f>IF(OR(A39="",F39=0,R$48="-",LU!$W$5=0),"",R39-R$48)</f>
        <v>-6.076923077</v>
      </c>
      <c r="AE39" s="599">
        <f>IF(OR(A39="",F39=0,S$48="-",LU!$W$5=0),"",S39-S$48)</f>
        <v>25</v>
      </c>
      <c r="AF39" s="600">
        <f t="shared" si="23"/>
        <v>-31.07692308</v>
      </c>
      <c r="AG39" s="601" t="str">
        <f t="shared" si="24"/>
        <v/>
      </c>
      <c r="AH39" s="601" t="str">
        <f t="shared" si="25"/>
        <v/>
      </c>
      <c r="AI39" s="602">
        <f t="shared" si="26"/>
        <v>-1.781954478</v>
      </c>
      <c r="AJ39" s="601">
        <f t="shared" si="27"/>
        <v>-2.40569977</v>
      </c>
      <c r="AK39" s="605">
        <f>IF(OR($A39="",AC39="",AC$48="-",LU!$W$5=0),"",AC39-AC$48)</f>
        <v>-0.6452488172</v>
      </c>
      <c r="AL39" s="604">
        <f>IF(OR(A39="",F39=0),"",SUM(PT!U78,PT!U79))</f>
        <v>4</v>
      </c>
      <c r="AM39" s="87"/>
    </row>
    <row r="40" ht="19.5" customHeight="1">
      <c r="A40" s="579" t="str">
        <f>IF(ISBLANK(IGRF!$I26),"",IGRF!$I26)</f>
        <v>47</v>
      </c>
      <c r="B40" s="580" t="str">
        <f>IF(ISBLANK(IGRF!$J26),"",IGRF!$J26)</f>
        <v>Author of Pain</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484*</v>
      </c>
      <c r="B41" s="580" t="str">
        <f>IF(ISBLANK(IGRF!$J27),"",IGRF!$J27)</f>
        <v>Gemineye</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505</v>
      </c>
      <c r="B42" s="580" t="str">
        <f>IF(ISBLANK(IGRF!$J28),"",IGRF!$J28)</f>
        <v>Swearin' Marie</v>
      </c>
      <c r="C42" s="581">
        <f>IF(A42="","",SUM(LU!AH23,LU!AH122))</f>
        <v>7</v>
      </c>
      <c r="D42" s="581">
        <f>IF(A42="","",SUM(LU!W23,LU!W122))</f>
        <v>20</v>
      </c>
      <c r="E42" s="582">
        <f>IF(A42="","",SUM(LU!AC23,LU!AC122))</f>
        <v>0</v>
      </c>
      <c r="F42" s="583">
        <f>IF(A42="","",(SUM(C42:E42)-(SUMPRODUCT(--(Lineups!AC$4:AC$41=A42),--(Lineups!AA$4:AA$41="SP"))+SUMPRODUCT(--(Lineups!AG$4:AG$41=A42),--(Lineups!AA$4:AA$41="SP"))+SUMPRODUCT(--(Lineups!AC$46:AC$83=A42),--(Lineups!AA$46:AA$83="SP"))+SUMPRODUCT(--(Lineups!AG$46:AG$83=A42),--(Lineups!AA$46:AA$83="SP")))))</f>
        <v>21</v>
      </c>
      <c r="G42" s="584">
        <f>IF(OR(A42="",F42=0,LU!D$3+LU!D$102=0),"",F42/(LU!D$3+LU!D$102))</f>
        <v>0.5384615385</v>
      </c>
      <c r="H42" s="585">
        <f>IF(OR(C42=0,A42=""),"",SK!T216)</f>
        <v>0</v>
      </c>
      <c r="I42" s="586">
        <f>IF(OR(A42="",SK!U216="",SK!U216=0),"",H42/SK!U216)</f>
        <v>0</v>
      </c>
      <c r="J42" s="587">
        <f>IF(OR(C42=0,A42=""),"",SK!W216)</f>
        <v>0</v>
      </c>
      <c r="K42" s="588">
        <f>IF(OR(C42=0,A42=""),"",SK!X216)</f>
        <v>0</v>
      </c>
      <c r="L42" s="589">
        <f>IF(OR(C42=0,A42=""),"",SK!Z216)</f>
        <v>0</v>
      </c>
      <c r="M42" s="589">
        <f>IF(OR(C42=0,A42=""),"",SK!AB216)</f>
        <v>1</v>
      </c>
      <c r="N42" s="589">
        <f>IF(OR(A42="",C42=0),"",SUMPRODUCT(--(Lineups!$AA$4:$AA$41="SP"),--(Lineups!$AC$4:$AC$41=A42))+SUMPRODUCT(--(Lineups!$AA$46:$AA$83="SP"),--(Lineups!$AC$46:$AC$83=A42)))</f>
        <v>6</v>
      </c>
      <c r="O42" s="590">
        <f t="shared" si="16"/>
        <v>0</v>
      </c>
      <c r="P42" s="591">
        <f>IF(OR(A42="",C42=0),"",SK!Y216)</f>
        <v>0</v>
      </c>
      <c r="Q42" s="592" t="str">
        <f t="shared" si="17"/>
        <v/>
      </c>
      <c r="R42" s="593">
        <f>IF(OR(A42="",F42=0),"",SUM(LU!AJ69,LU!AJ168))</f>
        <v>23</v>
      </c>
      <c r="S42" s="581">
        <f>IF(OR(A42="",F42=0),"",SUM(LU!AJ92,LU!AJ191))</f>
        <v>168</v>
      </c>
      <c r="T42" s="585">
        <f>IF(OR(A42="",F42=0),"",SUM(LU!AJ46,LU!AJ145))</f>
        <v>-145</v>
      </c>
      <c r="U42" s="581">
        <f>IF(OR(A42="",C42=0),"",SUM(LU!AH46,LU!AH145))</f>
        <v>-4</v>
      </c>
      <c r="V42" s="594">
        <f t="shared" si="18"/>
        <v>-0.5714285714</v>
      </c>
      <c r="W42" s="595">
        <f>IF(OR(A42="",D42=0),"",SUM(LU!W46,LU!W145))</f>
        <v>-141</v>
      </c>
      <c r="X42" s="594">
        <f t="shared" si="19"/>
        <v>-7.05</v>
      </c>
      <c r="Y42" s="595" t="str">
        <f>IF(OR(A42="",E42=0),"",SUM(LU!AC46,LU!AC145))</f>
        <v/>
      </c>
      <c r="Z42" s="594" t="str">
        <f t="shared" si="20"/>
        <v/>
      </c>
      <c r="AA42" s="595">
        <f>IF(OR(A42="",AND(D42=0, E42=0)),"",SUM(LU!AE46,LU!AE145))</f>
        <v>-141</v>
      </c>
      <c r="AB42" s="594">
        <f t="shared" si="21"/>
        <v>-7.05</v>
      </c>
      <c r="AC42" s="592">
        <f t="shared" si="22"/>
        <v>-6.904761905</v>
      </c>
      <c r="AD42" s="598">
        <f>IF(OR(A42="",F42=0,R$48="-",LU!$W$5=0),"",R42-R$48)</f>
        <v>-5.076923077</v>
      </c>
      <c r="AE42" s="599">
        <f>IF(OR(A42="",F42=0,S$48="-",LU!$W$5=0),"",S42-S$48)</f>
        <v>59</v>
      </c>
      <c r="AF42" s="600">
        <f t="shared" si="23"/>
        <v>-64.07692308</v>
      </c>
      <c r="AG42" s="601">
        <f t="shared" si="24"/>
        <v>3.271284271</v>
      </c>
      <c r="AH42" s="601">
        <f t="shared" si="25"/>
        <v>-1.144444444</v>
      </c>
      <c r="AI42" s="602" t="str">
        <f t="shared" si="26"/>
        <v/>
      </c>
      <c r="AJ42" s="601">
        <f t="shared" si="27"/>
        <v>-3.233477548</v>
      </c>
      <c r="AK42" s="605">
        <f>IF(OR($A42="",AC42="",AC$48="-",LU!$W$5=0),"",AC42-AC$48)</f>
        <v>-1.3277885</v>
      </c>
      <c r="AL42" s="604">
        <f>IF(OR(A42="",F42=0),"",SUM(PT!U84,PT!U85))</f>
        <v>4</v>
      </c>
      <c r="AM42" s="87"/>
    </row>
    <row r="43" ht="19.5" customHeight="1">
      <c r="A43" s="579" t="str">
        <f>IF(ISBLANK(IGRF!$I29),"",IGRF!$I29)</f>
        <v>75*</v>
      </c>
      <c r="B43" s="580" t="str">
        <f>IF(ISBLANK(IGRF!$J29),"",IGRF!$J29)</f>
        <v>TamTrum</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88</v>
      </c>
      <c r="B44" s="580" t="str">
        <f>IF(ISBLANK(IGRF!$J30),"",IGRF!$J30)</f>
        <v>Rocktopus</v>
      </c>
      <c r="C44" s="581">
        <f>IF(A44="","",SUM(LU!AH25,LU!AH124))</f>
        <v>0</v>
      </c>
      <c r="D44" s="581">
        <f>IF(A44="","",SUM(LU!W25,LU!W124))</f>
        <v>0</v>
      </c>
      <c r="E44" s="582">
        <f>IF(A44="","",SUM(LU!AC25,LU!AC124))</f>
        <v>1</v>
      </c>
      <c r="F44" s="583">
        <f>IF(A44="","",(SUM(C44:E44)-(SUMPRODUCT(--(Lineups!AC$4:AC$41=A44),--(Lineups!AA$4:AA$41="SP"))+SUMPRODUCT(--(Lineups!AG$4:AG$41=A44),--(Lineups!AA$4:AA$41="SP"))+SUMPRODUCT(--(Lineups!AC$46:AC$83=A44),--(Lineups!AA$46:AA$83="SP"))+SUMPRODUCT(--(Lineups!AG$46:AG$83=A44),--(Lineups!AA$46:AA$83="SP")))))</f>
        <v>1</v>
      </c>
      <c r="G44" s="584">
        <f>IF(OR(A44="",F44=0,LU!D$3+LU!D$102=0),"",F44/(LU!D$3+LU!D$102))</f>
        <v>0.02564102564</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5</v>
      </c>
      <c r="S44" s="581">
        <f>IF(OR(A44="",F44=0),"",SUM(LU!AJ94,LU!AJ193))</f>
        <v>12</v>
      </c>
      <c r="T44" s="585">
        <f>IF(OR(A44="",F44=0),"",SUM(LU!AJ48,LU!AJ147))</f>
        <v>-7</v>
      </c>
      <c r="U44" s="581" t="str">
        <f>IF(OR(A44="",C44=0),"",SUM(LU!AH48,LU!AH147))</f>
        <v/>
      </c>
      <c r="V44" s="594" t="str">
        <f t="shared" si="18"/>
        <v/>
      </c>
      <c r="W44" s="595" t="str">
        <f>IF(OR(A44="",D44=0),"",SUM(LU!W48,LU!W147))</f>
        <v/>
      </c>
      <c r="X44" s="594" t="str">
        <f t="shared" si="19"/>
        <v/>
      </c>
      <c r="Y44" s="595">
        <f>IF(OR(A44="",E44=0),"",SUM(LU!AC48,LU!AC147))</f>
        <v>-7</v>
      </c>
      <c r="Z44" s="594">
        <f t="shared" si="20"/>
        <v>-7</v>
      </c>
      <c r="AA44" s="595">
        <f>IF(OR(A44="",AND(D44=0, E44=0)),"",SUM(LU!AE48,LU!AE147))</f>
        <v>-7</v>
      </c>
      <c r="AB44" s="594">
        <f t="shared" si="21"/>
        <v>-7</v>
      </c>
      <c r="AC44" s="592">
        <f t="shared" si="22"/>
        <v>-7</v>
      </c>
      <c r="AD44" s="598">
        <f>IF(OR(A44="",F44=0,R$48="-",LU!$W$5=0),"",R44-R$48)</f>
        <v>-23.07692308</v>
      </c>
      <c r="AE44" s="599">
        <f>IF(OR(A44="",F44=0,S$48="-",LU!$W$5=0),"",S44-S$48)</f>
        <v>-97</v>
      </c>
      <c r="AF44" s="600">
        <f t="shared" si="23"/>
        <v>73.92307692</v>
      </c>
      <c r="AG44" s="601" t="str">
        <f t="shared" si="24"/>
        <v/>
      </c>
      <c r="AH44" s="601" t="str">
        <f t="shared" si="25"/>
        <v/>
      </c>
      <c r="AI44" s="602">
        <f t="shared" si="26"/>
        <v>-2.559732255</v>
      </c>
      <c r="AJ44" s="601">
        <f t="shared" si="27"/>
        <v>-3.183477548</v>
      </c>
      <c r="AK44" s="605">
        <f>IF(OR($A44="",AC44="",AC$48="-",LU!$W$5=0),"",AC44-AC$48)</f>
        <v>-1.423026595</v>
      </c>
      <c r="AL44" s="604">
        <f>IF(OR(A44="",F44=0),"",SUM(PT!U88,PT!U89))</f>
        <v>0</v>
      </c>
      <c r="AM44" s="87"/>
    </row>
    <row r="45" ht="19.5" customHeight="1">
      <c r="A45" s="579" t="str">
        <f>IF(ISBLANK(IGRF!$I31),"",IGRF!$I31)</f>
        <v>9</v>
      </c>
      <c r="B45" s="580" t="str">
        <f>IF(ISBLANK(IGRF!$J31),"",IGRF!$J31)</f>
        <v>Kell's Inferno</v>
      </c>
      <c r="C45" s="581">
        <f>IF(A45="","",SUM(LU!AH26,LU!AH125))</f>
        <v>11</v>
      </c>
      <c r="D45" s="581">
        <f>IF(A45="","",SUM(LU!W26,LU!W125))</f>
        <v>0</v>
      </c>
      <c r="E45" s="582">
        <f>IF(A45="","",SUM(LU!AC26,LU!AC125))</f>
        <v>4</v>
      </c>
      <c r="F45" s="583">
        <f>IF(A45="","",(SUM(C45:E45)-(SUMPRODUCT(--(Lineups!AC$4:AC$41=A45),--(Lineups!AA$4:AA$41="SP"))+SUMPRODUCT(--(Lineups!AG$4:AG$41=A45),--(Lineups!AA$4:AA$41="SP"))+SUMPRODUCT(--(Lineups!AC$46:AC$83=A45),--(Lineups!AA$46:AA$83="SP"))+SUMPRODUCT(--(Lineups!AG$46:AG$83=A45),--(Lineups!AA$46:AA$83="SP")))))</f>
        <v>11</v>
      </c>
      <c r="G45" s="584">
        <f>IF(OR(A45="",F45=0,LU!D$3+LU!D$102=0),"",F45/(LU!D$3+LU!D$102))</f>
        <v>0.2820512821</v>
      </c>
      <c r="H45" s="585">
        <f>IF(OR(C45=0,A45=""),"",SK!T225)</f>
        <v>18</v>
      </c>
      <c r="I45" s="586">
        <f>IF(OR(A45="",SK!U225="",SK!U225=0),"",H45/SK!U225)</f>
        <v>1.636363636</v>
      </c>
      <c r="J45" s="587">
        <f>IF(OR(C45=0,A45=""),"",SK!W225)</f>
        <v>1</v>
      </c>
      <c r="K45" s="588">
        <f>IF(OR(C45=0,A45=""),"",SK!X225)</f>
        <v>3</v>
      </c>
      <c r="L45" s="589">
        <f>IF(OR(C45=0,A45=""),"",SK!Z225)</f>
        <v>3</v>
      </c>
      <c r="M45" s="589">
        <f>IF(OR(C45=0,A45=""),"",SK!AB225)</f>
        <v>5</v>
      </c>
      <c r="N45" s="589">
        <f>IF(OR(A45="",C45=0),"",SUMPRODUCT(--(Lineups!$AA$4:$AA$41="SP"),--(Lineups!$AC$4:$AC$41=A45))+SUMPRODUCT(--(Lineups!$AA$46:$AA$83="SP"),--(Lineups!$AC$46:$AC$83=A45)))</f>
        <v>0</v>
      </c>
      <c r="O45" s="590">
        <f t="shared" si="16"/>
        <v>0.2727272727</v>
      </c>
      <c r="P45" s="591">
        <f>IF(OR(A45="",C45=0),"",SK!Y225)</f>
        <v>5</v>
      </c>
      <c r="Q45" s="592">
        <f t="shared" si="17"/>
        <v>1.666666667</v>
      </c>
      <c r="R45" s="593">
        <f>IF(OR(A45="",F45=0),"",SUM(LU!AJ72,LU!AJ171))</f>
        <v>20</v>
      </c>
      <c r="S45" s="581">
        <f>IF(OR(A45="",F45=0),"",SUM(LU!AJ95,LU!AJ194))</f>
        <v>82</v>
      </c>
      <c r="T45" s="585">
        <f>IF(OR(A45="",F45=0),"",SUM(LU!AJ49,LU!AJ148))</f>
        <v>-62</v>
      </c>
      <c r="U45" s="581">
        <f>IF(OR(A45="",C45=0),"",SUM(LU!AH49,LU!AH148))</f>
        <v>-64</v>
      </c>
      <c r="V45" s="594">
        <f t="shared" si="18"/>
        <v>-5.818181818</v>
      </c>
      <c r="W45" s="595" t="str">
        <f>IF(OR(A45="",D45=0),"",SUM(LU!W49,LU!W148))</f>
        <v/>
      </c>
      <c r="X45" s="594" t="str">
        <f t="shared" si="19"/>
        <v/>
      </c>
      <c r="Y45" s="595">
        <f>IF(OR(A45="",E45=0),"",SUM(LU!AC49,LU!AC148))</f>
        <v>2</v>
      </c>
      <c r="Z45" s="594">
        <f t="shared" si="20"/>
        <v>0.5</v>
      </c>
      <c r="AA45" s="595">
        <f>IF(OR(A45="",AND(D45=0, E45=0)),"",SUM(LU!AE49,LU!AE148))</f>
        <v>2</v>
      </c>
      <c r="AB45" s="594">
        <f t="shared" si="21"/>
        <v>0.5</v>
      </c>
      <c r="AC45" s="592">
        <f t="shared" si="22"/>
        <v>-5.636363636</v>
      </c>
      <c r="AD45" s="598">
        <f>IF(OR(A45="",F45=0,R$48="-",LU!$W$5=0),"",R45-R$48)</f>
        <v>-8.076923077</v>
      </c>
      <c r="AE45" s="599">
        <f>IF(OR(A45="",F45=0,S$48="-",LU!$W$5=0),"",S45-S$48)</f>
        <v>-27</v>
      </c>
      <c r="AF45" s="600">
        <f t="shared" si="23"/>
        <v>18.92307692</v>
      </c>
      <c r="AG45" s="601">
        <f t="shared" si="24"/>
        <v>-1.975468975</v>
      </c>
      <c r="AH45" s="601" t="str">
        <f t="shared" si="25"/>
        <v/>
      </c>
      <c r="AI45" s="602">
        <f t="shared" si="26"/>
        <v>4.940267745</v>
      </c>
      <c r="AJ45" s="601">
        <f t="shared" si="27"/>
        <v>4.316522452</v>
      </c>
      <c r="AK45" s="605">
        <f>IF(OR($A45="",AC45="",AC$48="-",LU!$W$5=0),"",AC45-AC$48)</f>
        <v>-0.05939023137</v>
      </c>
      <c r="AL45" s="604">
        <f>IF(OR(A45="",F45=0),"",SUM(PT!U90,PT!U91))</f>
        <v>0</v>
      </c>
      <c r="AM45" s="87"/>
    </row>
    <row r="46" ht="19.5" customHeight="1">
      <c r="A46" s="579" t="str">
        <f>IF(ISBLANK(IGRF!$I32),"",IGRF!$I32)</f>
        <v>913*</v>
      </c>
      <c r="B46" s="580" t="str">
        <f>IF(ISBLANK(IGRF!$J32),"",IGRF!$J32)</f>
        <v>Termiskater</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999</v>
      </c>
      <c r="B47" s="580" t="str">
        <f>IF(ISBLANK(IGRF!$J33),"",IGRF!$J33)</f>
        <v>Amanda Jamitinya</v>
      </c>
      <c r="C47" s="581">
        <f>IF(A47="","",SUM(LU!AH28,LU!AH127))</f>
        <v>0</v>
      </c>
      <c r="D47" s="581">
        <f>IF(A47="","",SUM(LU!W28,LU!W127))</f>
        <v>1</v>
      </c>
      <c r="E47" s="581">
        <f>IF(A47="","",SUM(LU!AC28,LU!AC127))</f>
        <v>19</v>
      </c>
      <c r="F47" s="606">
        <f>IF(A47="","",(SUM(C47:E47)-(SUMPRODUCT(--(Lineups!AC$4:AC$41=A47),--(Lineups!AA$4:AA$41="SP"))+SUMPRODUCT(--(Lineups!AG$4:AG$41=A47),--(Lineups!AA$4:AA$41="SP"))+SUMPRODUCT(--(Lineups!AC$46:AC$83=A47),--(Lineups!AA$46:AA$83="SP"))+SUMPRODUCT(--(Lineups!AG$46:AG$83=A47),--(Lineups!AA$46:AA$83="SP")))))</f>
        <v>20</v>
      </c>
      <c r="G47" s="607">
        <f>IF(OR(A47="",F47=0,LU!D$3+LU!D$102=0),"",F47/(LU!D$3+LU!D$102))</f>
        <v>0.5128205128</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28</v>
      </c>
      <c r="S47" s="581">
        <f>IF(OR(A47="",F47=0),"",SUM(LU!AJ97,LU!AJ196))</f>
        <v>161</v>
      </c>
      <c r="T47" s="585">
        <f>IF(OR(A47="",F47=0),"",SUM(LU!AJ51,LU!AJ150))</f>
        <v>-133</v>
      </c>
      <c r="U47" s="581" t="str">
        <f>IF(OR(A47="",C47=0),"",SUM(LU!AH51,LU!AH150))</f>
        <v/>
      </c>
      <c r="V47" s="594" t="str">
        <f t="shared" si="18"/>
        <v/>
      </c>
      <c r="W47" s="595">
        <f>IF(OR(A47="",D47=0),"",SUM(LU!W51,LU!W150))</f>
        <v>-7</v>
      </c>
      <c r="X47" s="594">
        <f t="shared" si="19"/>
        <v>-7</v>
      </c>
      <c r="Y47" s="595">
        <f>IF(OR(A47="",E47=0),"",SUM(LU!AC51,LU!AC150))</f>
        <v>-126</v>
      </c>
      <c r="Z47" s="594">
        <f t="shared" si="20"/>
        <v>-6.631578947</v>
      </c>
      <c r="AA47" s="595">
        <f>IF(OR(A47="",AND(D47=0, E47=0)),"",SUM(LU!AE51,LU!AE150))</f>
        <v>-133</v>
      </c>
      <c r="AB47" s="594">
        <f t="shared" si="21"/>
        <v>-6.65</v>
      </c>
      <c r="AC47" s="610">
        <f t="shared" si="22"/>
        <v>-6.65</v>
      </c>
      <c r="AD47" s="598">
        <f>IF(OR(A47="",F47=0,R$48="-",LU!$W$5=0),"",R47-R$48)</f>
        <v>-0.07692307692</v>
      </c>
      <c r="AE47" s="599">
        <f>IF(OR(A47="",F47=0,S$48="-",LU!$W$5=0),"",S47-S$48)</f>
        <v>52</v>
      </c>
      <c r="AF47" s="600">
        <f t="shared" si="23"/>
        <v>-52.07692308</v>
      </c>
      <c r="AG47" s="601" t="str">
        <f t="shared" si="24"/>
        <v/>
      </c>
      <c r="AH47" s="601">
        <f t="shared" si="25"/>
        <v>-1.094444444</v>
      </c>
      <c r="AI47" s="602">
        <f t="shared" si="26"/>
        <v>-2.191311203</v>
      </c>
      <c r="AJ47" s="601">
        <f t="shared" si="27"/>
        <v>-2.833477548</v>
      </c>
      <c r="AK47" s="605">
        <f>IF(OR($A47="",AC47="",AC$48="-",LU!$W$5=0),"",AC47-AC$48)</f>
        <v>-1.073026595</v>
      </c>
      <c r="AL47" s="611">
        <f>IF(OR(A47="",F47=0),"",SUM(PT!U94,PT!U95))</f>
        <v>0</v>
      </c>
      <c r="AM47" s="73"/>
    </row>
    <row r="48" ht="20.25" customHeight="1">
      <c r="A48" s="612" t="s">
        <v>352</v>
      </c>
      <c r="B48" s="431"/>
      <c r="C48" s="613">
        <f t="shared" ref="C48:F48" si="28">SUM(C28:C47)</f>
        <v>51</v>
      </c>
      <c r="D48" s="613">
        <f t="shared" si="28"/>
        <v>39</v>
      </c>
      <c r="E48" s="613">
        <f t="shared" si="28"/>
        <v>128</v>
      </c>
      <c r="F48" s="613">
        <f t="shared" si="28"/>
        <v>194</v>
      </c>
      <c r="G48" s="614">
        <f>IF(COUNT(G28:G47)=0,"-",AVERAGE(G28:G47))</f>
        <v>0.382642998</v>
      </c>
      <c r="H48" s="613">
        <f>SUM(H28:H47)</f>
        <v>73</v>
      </c>
      <c r="I48" s="615">
        <f>IF(LU!W3+LU!W102=0,"-",H48/(LU!W3+LU!W102))</f>
        <v>1.871794872</v>
      </c>
      <c r="J48" s="616">
        <f t="shared" ref="J48:N48" si="29">SUM(J28:J47)</f>
        <v>5</v>
      </c>
      <c r="K48" s="613">
        <f t="shared" si="29"/>
        <v>8</v>
      </c>
      <c r="L48" s="613">
        <f t="shared" si="29"/>
        <v>4</v>
      </c>
      <c r="M48" s="613">
        <f t="shared" si="29"/>
        <v>22</v>
      </c>
      <c r="N48" s="613">
        <f t="shared" si="29"/>
        <v>12</v>
      </c>
      <c r="O48" s="617">
        <f>IF(C48=0,"-",K48/(C48-N48))</f>
        <v>0.2051282051</v>
      </c>
      <c r="P48" s="618">
        <f>SUM(P28:P47)</f>
        <v>0</v>
      </c>
      <c r="Q48" s="619">
        <f t="shared" ref="Q48:AC48" si="30">IF(COUNT(Q28:Q47)=0,"-",AVERAGE(Q28:Q47))</f>
        <v>-0.1666666667</v>
      </c>
      <c r="R48" s="620">
        <f t="shared" si="30"/>
        <v>28.07692308</v>
      </c>
      <c r="S48" s="621">
        <f t="shared" si="30"/>
        <v>109</v>
      </c>
      <c r="T48" s="618">
        <f t="shared" si="30"/>
        <v>-80.92307692</v>
      </c>
      <c r="U48" s="618">
        <f t="shared" si="30"/>
        <v>-35.33333333</v>
      </c>
      <c r="V48" s="618">
        <f t="shared" si="30"/>
        <v>-3.842712843</v>
      </c>
      <c r="W48" s="618">
        <f t="shared" si="30"/>
        <v>-71.33333333</v>
      </c>
      <c r="X48" s="618">
        <f t="shared" si="30"/>
        <v>-5.905555556</v>
      </c>
      <c r="Y48" s="618">
        <f t="shared" si="30"/>
        <v>-52.16666667</v>
      </c>
      <c r="Z48" s="618">
        <f t="shared" si="30"/>
        <v>-4.440267745</v>
      </c>
      <c r="AA48" s="618">
        <f t="shared" si="30"/>
        <v>-64.61538462</v>
      </c>
      <c r="AB48" s="618">
        <f t="shared" si="30"/>
        <v>-3.816522452</v>
      </c>
      <c r="AC48" s="618">
        <f t="shared" si="30"/>
        <v>-5.576973405</v>
      </c>
      <c r="AD48" s="622" t="s">
        <v>353</v>
      </c>
      <c r="AE48" s="623" t="s">
        <v>353</v>
      </c>
      <c r="AF48" s="623" t="s">
        <v>353</v>
      </c>
      <c r="AG48" s="622" t="s">
        <v>353</v>
      </c>
      <c r="AH48" s="623" t="s">
        <v>353</v>
      </c>
      <c r="AI48" s="623" t="s">
        <v>353</v>
      </c>
      <c r="AJ48" s="623" t="s">
        <v>353</v>
      </c>
      <c r="AK48" s="624" t="s">
        <v>353</v>
      </c>
      <c r="AL48" s="612">
        <f>SUM(AL28:AM47)</f>
        <v>20</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45128</v>
      </c>
      <c r="B1" s="45"/>
      <c r="C1" s="45"/>
      <c r="D1" s="630" t="s">
        <v>354</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Arizona Roller Derby / All Stars</v>
      </c>
      <c r="B2" s="45"/>
      <c r="C2" s="46"/>
      <c r="D2" s="633" t="s">
        <v>355</v>
      </c>
      <c r="E2" s="45"/>
      <c r="F2" s="45"/>
      <c r="G2" s="45"/>
      <c r="H2" s="45"/>
      <c r="I2" s="45"/>
      <c r="J2" s="45"/>
      <c r="K2" s="45"/>
      <c r="L2" s="45"/>
      <c r="M2" s="45"/>
      <c r="N2" s="45"/>
      <c r="O2" s="45"/>
      <c r="P2" s="45"/>
      <c r="Q2" s="45"/>
      <c r="R2" s="45"/>
      <c r="S2" s="45"/>
      <c r="T2" s="46"/>
      <c r="U2" s="634"/>
      <c r="V2" s="634"/>
      <c r="W2" s="635" t="s">
        <v>356</v>
      </c>
      <c r="X2" s="46"/>
      <c r="Y2" s="636"/>
      <c r="Z2" s="636"/>
      <c r="AA2" s="636"/>
      <c r="AB2" s="636"/>
    </row>
    <row r="3" ht="60.75" customHeight="1">
      <c r="A3" s="637" t="s">
        <v>237</v>
      </c>
      <c r="B3" s="638" t="s">
        <v>357</v>
      </c>
      <c r="C3" s="15"/>
      <c r="D3" s="639" t="s">
        <v>249</v>
      </c>
      <c r="E3" s="640" t="s">
        <v>252</v>
      </c>
      <c r="F3" s="641" t="s">
        <v>253</v>
      </c>
      <c r="G3" s="641" t="s">
        <v>255</v>
      </c>
      <c r="H3" s="641" t="s">
        <v>257</v>
      </c>
      <c r="I3" s="641" t="s">
        <v>259</v>
      </c>
      <c r="J3" s="641" t="s">
        <v>261</v>
      </c>
      <c r="K3" s="641" t="s">
        <v>263</v>
      </c>
      <c r="L3" s="641" t="s">
        <v>264</v>
      </c>
      <c r="M3" s="641" t="s">
        <v>268</v>
      </c>
      <c r="N3" s="641" t="s">
        <v>270</v>
      </c>
      <c r="O3" s="641" t="s">
        <v>276</v>
      </c>
      <c r="P3" s="641" t="s">
        <v>279</v>
      </c>
      <c r="Q3" s="642" t="s">
        <v>281</v>
      </c>
      <c r="R3" s="642"/>
      <c r="S3" s="642"/>
      <c r="T3" s="643" t="s">
        <v>358</v>
      </c>
      <c r="U3" s="644" t="s">
        <v>359</v>
      </c>
      <c r="V3" s="645" t="s">
        <v>360</v>
      </c>
      <c r="W3" s="646" t="s">
        <v>361</v>
      </c>
      <c r="X3" s="647" t="s">
        <v>362</v>
      </c>
      <c r="Y3" s="43"/>
      <c r="Z3" s="43"/>
      <c r="AA3" s="43"/>
      <c r="AB3" s="43"/>
    </row>
    <row r="4" ht="24.75" customHeight="1">
      <c r="A4" s="648" t="str">
        <f>IF(IGRF!B14="","",IGRF!B14)</f>
        <v>01</v>
      </c>
      <c r="B4" s="649" t="str">
        <f>IF(IGRF!C14="","",IGRF!C14)</f>
        <v>Goldy Knocks</v>
      </c>
      <c r="C4" s="87"/>
      <c r="D4" s="650">
        <f>IF($A4="","",SUM(PT!E3,PT!E4))</f>
        <v>0</v>
      </c>
      <c r="E4" s="651">
        <f>IF($A4="","",SUM(PT!F3,PT!F4))</f>
        <v>0</v>
      </c>
      <c r="F4" s="651">
        <f>IF($A4="","",SUM(PT!G3,PT!G4))</f>
        <v>1</v>
      </c>
      <c r="G4" s="651">
        <f>IF($A4="","",SUM(PT!H3,PT!H4))</f>
        <v>0</v>
      </c>
      <c r="H4" s="651">
        <f>IF($A4="","",SUM(PT!I3,PT!I4))</f>
        <v>0</v>
      </c>
      <c r="I4" s="651">
        <f>IF($A4="","",SUM(PT!J3,PT!J4))</f>
        <v>1</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2</v>
      </c>
      <c r="U4" s="653">
        <f>IF($A4="","",SUM(PT!U3,PT!U4))</f>
        <v>2</v>
      </c>
      <c r="V4" s="654" t="str">
        <f>IF($A4="","",PT!AJ4)</f>
        <v/>
      </c>
      <c r="W4" s="655">
        <f>'Game Summary'!F6</f>
        <v>18</v>
      </c>
      <c r="X4" s="656">
        <f t="shared" ref="X4:X23" si="2">IF(OR(W4="",W4=0),"",U4/W4)</f>
        <v>0.1111111111</v>
      </c>
      <c r="Y4" s="43"/>
      <c r="Z4" s="43"/>
      <c r="AA4" s="43"/>
      <c r="AB4" s="43"/>
    </row>
    <row r="5" ht="24.75" customHeight="1">
      <c r="A5" s="657" t="str">
        <f>IF(IGRF!B15="","",IGRF!B15)</f>
        <v>024</v>
      </c>
      <c r="B5" s="658" t="str">
        <f>IF(IGRF!C15="","",IGRF!C15)</f>
        <v>Cutty</v>
      </c>
      <c r="C5" s="87"/>
      <c r="D5" s="659">
        <f>IF($A5="","",SUM(PT!E5,PT!E6))</f>
        <v>0</v>
      </c>
      <c r="E5" s="660">
        <f>IF($A5="","",SUM(PT!F5,PT!F6))</f>
        <v>0</v>
      </c>
      <c r="F5" s="660">
        <f>IF($A5="","",SUM(PT!G5,PT!G6))</f>
        <v>0</v>
      </c>
      <c r="G5" s="660">
        <f>IF($A5="","",SUM(PT!H5,PT!H6))</f>
        <v>0</v>
      </c>
      <c r="H5" s="660">
        <f>IF($A5="","",SUM(PT!I5,PT!I6))</f>
        <v>0</v>
      </c>
      <c r="I5" s="660">
        <f>IF($A5="","",SUM(PT!J5,PT!J6))</f>
        <v>1</v>
      </c>
      <c r="J5" s="660">
        <f>IF($A5="","",SUM(PT!K5,PT!K6))</f>
        <v>0</v>
      </c>
      <c r="K5" s="660">
        <f>IF($A5="","",SUM(PT!L5,PT!L6))</f>
        <v>0</v>
      </c>
      <c r="L5" s="660">
        <f>IF($A5="","",SUM(PT!M5,PT!M6))</f>
        <v>0</v>
      </c>
      <c r="M5" s="660">
        <f>IF($A5="","",SUM(PT!N5,PT!N6))</f>
        <v>0</v>
      </c>
      <c r="N5" s="660">
        <f>IF($A5="","",SUM(PT!O5,PT!O6))</f>
        <v>1</v>
      </c>
      <c r="O5" s="660">
        <f>IF($A5="","",SUM(PT!P5,PT!P6))</f>
        <v>0</v>
      </c>
      <c r="P5" s="660">
        <f>IF($A5="","",SUM(PT!Q5,PT!Q6))</f>
        <v>0</v>
      </c>
      <c r="Q5" s="660">
        <f>IF($A5="","",SUM(PT!R5,PT!R6))</f>
        <v>0</v>
      </c>
      <c r="R5" s="660"/>
      <c r="S5" s="660"/>
      <c r="T5" s="661">
        <f t="shared" si="1"/>
        <v>2</v>
      </c>
      <c r="U5" s="662">
        <f>IF($A5="","",SUM(PT!U5,PT!U6))</f>
        <v>2</v>
      </c>
      <c r="V5" s="659" t="str">
        <f>IF($A5="","",PT!AJ6)</f>
        <v/>
      </c>
      <c r="W5" s="663">
        <f>'Game Summary'!F7</f>
        <v>12</v>
      </c>
      <c r="X5" s="664">
        <f t="shared" si="2"/>
        <v>0.1666666667</v>
      </c>
      <c r="Y5" s="43"/>
      <c r="Z5" s="43"/>
      <c r="AA5" s="43"/>
      <c r="AB5" s="43"/>
    </row>
    <row r="6" ht="24.75" customHeight="1">
      <c r="A6" s="648" t="str">
        <f>IF(IGRF!B16="","",IGRF!B16)</f>
        <v>10</v>
      </c>
      <c r="B6" s="649" t="str">
        <f>IF(IGRF!C16="","",IGRF!C16)</f>
        <v>Frida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1</v>
      </c>
      <c r="P6" s="651">
        <f>IF($A6="","",SUM(PT!Q7,PT!Q8))</f>
        <v>0</v>
      </c>
      <c r="Q6" s="651">
        <f>IF($A6="","",SUM(PT!R7,PT!R8))</f>
        <v>0</v>
      </c>
      <c r="R6" s="651"/>
      <c r="S6" s="651"/>
      <c r="T6" s="652">
        <f t="shared" si="1"/>
        <v>1</v>
      </c>
      <c r="U6" s="653">
        <f>IF($A6="","",SUM(PT!U7,PT!U8))</f>
        <v>1</v>
      </c>
      <c r="V6" s="654" t="str">
        <f>IF($A6="","",PT!AJ8)</f>
        <v/>
      </c>
      <c r="W6" s="655">
        <f>'Game Summary'!F8</f>
        <v>9</v>
      </c>
      <c r="X6" s="656">
        <f t="shared" si="2"/>
        <v>0.1111111111</v>
      </c>
      <c r="Y6" s="43"/>
      <c r="Z6" s="43"/>
      <c r="AA6" s="43"/>
      <c r="AB6" s="43"/>
    </row>
    <row r="7" ht="24.75" customHeight="1">
      <c r="A7" s="657" t="str">
        <f>IF(IGRF!B17="","",IGRF!B17)</f>
        <v>16*</v>
      </c>
      <c r="B7" s="658" t="str">
        <f>IF(IGRF!C17="","",IGRF!C17)</f>
        <v>Just Monroe</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24.75" customHeight="1">
      <c r="A8" s="648" t="str">
        <f>IF(IGRF!B18="","",IGRF!B18)</f>
        <v>22*</v>
      </c>
      <c r="B8" s="649" t="str">
        <f>IF(IGRF!C18="","",IGRF!C18)</f>
        <v>Meche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0</v>
      </c>
      <c r="X8" s="656" t="str">
        <f t="shared" si="2"/>
        <v/>
      </c>
      <c r="Y8" s="43"/>
      <c r="Z8" s="43"/>
      <c r="AA8" s="43"/>
      <c r="AB8" s="43"/>
    </row>
    <row r="9" ht="24.75" customHeight="1">
      <c r="A9" s="657" t="str">
        <f>IF(IGRF!B19="","",IGRF!B19)</f>
        <v>24</v>
      </c>
      <c r="B9" s="658" t="str">
        <f>IF(IGRF!C19="","",IGRF!C19)</f>
        <v>Ima BlowBya</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2</v>
      </c>
      <c r="N9" s="660">
        <f>IF($A9="","",SUM(PT!O13,PT!O14))</f>
        <v>0</v>
      </c>
      <c r="O9" s="660">
        <f>IF($A9="","",SUM(PT!P13,PT!P14))</f>
        <v>0</v>
      </c>
      <c r="P9" s="660">
        <f>IF($A9="","",SUM(PT!Q13,PT!Q14))</f>
        <v>0</v>
      </c>
      <c r="Q9" s="660">
        <f>IF($A9="","",SUM(PT!R13,PT!R14))</f>
        <v>0</v>
      </c>
      <c r="R9" s="660"/>
      <c r="S9" s="660"/>
      <c r="T9" s="661">
        <f t="shared" si="1"/>
        <v>2</v>
      </c>
      <c r="U9" s="662">
        <f>IF($A9="","",SUM(PT!U13,PT!U14))</f>
        <v>2</v>
      </c>
      <c r="V9" s="659" t="str">
        <f>IF($A9="","",PT!AJ14)</f>
        <v/>
      </c>
      <c r="W9" s="663">
        <f>'Game Summary'!F11</f>
        <v>18</v>
      </c>
      <c r="X9" s="664">
        <f t="shared" si="2"/>
        <v>0.1111111111</v>
      </c>
      <c r="Y9" s="43"/>
      <c r="Z9" s="43"/>
      <c r="AA9" s="43"/>
      <c r="AB9" s="43"/>
    </row>
    <row r="10" ht="24.75" customHeight="1">
      <c r="A10" s="648" t="str">
        <f>IF(IGRF!B20="","",IGRF!B20)</f>
        <v>264</v>
      </c>
      <c r="B10" s="649" t="str">
        <f>IF(IGRF!C20="","",IGRF!C20)</f>
        <v>Velasco Sauce</v>
      </c>
      <c r="C10" s="87"/>
      <c r="D10" s="650">
        <f>IF($A10="","",SUM(PT!E15,PT!E16))</f>
        <v>0</v>
      </c>
      <c r="E10" s="651">
        <f>IF($A10="","",SUM(PT!F15,PT!F16))</f>
        <v>0</v>
      </c>
      <c r="F10" s="651">
        <f>IF($A10="","",SUM(PT!G15,PT!G16))</f>
        <v>0</v>
      </c>
      <c r="G10" s="651">
        <f>IF($A10="","",SUM(PT!H15,PT!H16))</f>
        <v>0</v>
      </c>
      <c r="H10" s="651">
        <f>IF($A10="","",SUM(PT!I15,PT!I16))</f>
        <v>0</v>
      </c>
      <c r="I10" s="651">
        <f>IF($A10="","",SUM(PT!J15,PT!J16))</f>
        <v>1</v>
      </c>
      <c r="J10" s="651">
        <f>IF($A10="","",SUM(PT!K15,PT!K16))</f>
        <v>0</v>
      </c>
      <c r="K10" s="651">
        <f>IF($A10="","",SUM(PT!L15,PT!L16))</f>
        <v>0</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14</v>
      </c>
      <c r="X10" s="656">
        <f t="shared" si="2"/>
        <v>0.1428571429</v>
      </c>
      <c r="Y10" s="43"/>
      <c r="Z10" s="43"/>
      <c r="AA10" s="43"/>
      <c r="AB10" s="43"/>
    </row>
    <row r="11" ht="24.75" customHeight="1">
      <c r="A11" s="657" t="str">
        <f>IF(IGRF!B21="","",IGRF!B21)</f>
        <v>27*</v>
      </c>
      <c r="B11" s="658" t="str">
        <f>IF(IGRF!C21="","",IGRF!C21)</f>
        <v>Babethoven</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0</v>
      </c>
      <c r="X11" s="664" t="str">
        <f t="shared" si="2"/>
        <v/>
      </c>
      <c r="Y11" s="43"/>
      <c r="Z11" s="43"/>
      <c r="AA11" s="43"/>
      <c r="AB11" s="43"/>
    </row>
    <row r="12" ht="24.75" customHeight="1">
      <c r="A12" s="648" t="str">
        <f>IF(IGRF!B22="","",IGRF!B22)</f>
        <v>3</v>
      </c>
      <c r="B12" s="649" t="str">
        <f>IF(IGRF!C22="","",IGRF!C22)</f>
        <v>Alexia</v>
      </c>
      <c r="C12" s="87"/>
      <c r="D12" s="650">
        <f>IF($A12="","",SUM(PT!E19,PT!E20))</f>
        <v>0</v>
      </c>
      <c r="E12" s="651">
        <f>IF($A12="","",SUM(PT!F19,PT!F20))</f>
        <v>1</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1</v>
      </c>
      <c r="O12" s="651">
        <f>IF($A12="","",SUM(PT!P19,PT!P20))</f>
        <v>1</v>
      </c>
      <c r="P12" s="651">
        <f>IF($A12="","",SUM(PT!Q19,PT!Q20))</f>
        <v>0</v>
      </c>
      <c r="Q12" s="651">
        <f>IF($A12="","",SUM(PT!R19,PT!R20))</f>
        <v>0</v>
      </c>
      <c r="R12" s="651"/>
      <c r="S12" s="651"/>
      <c r="T12" s="652">
        <f t="shared" si="1"/>
        <v>3</v>
      </c>
      <c r="U12" s="653">
        <f>IF($A12="","",SUM(PT!U19,PT!U20))</f>
        <v>3</v>
      </c>
      <c r="V12" s="654" t="str">
        <f>IF($A12="","",PT!AJ20)</f>
        <v/>
      </c>
      <c r="W12" s="655">
        <f>'Game Summary'!F14</f>
        <v>11</v>
      </c>
      <c r="X12" s="656">
        <f t="shared" si="2"/>
        <v>0.2727272727</v>
      </c>
      <c r="Y12" s="43"/>
      <c r="Z12" s="43"/>
      <c r="AA12" s="43"/>
      <c r="AB12" s="43"/>
    </row>
    <row r="13" ht="24.75" customHeight="1">
      <c r="A13" s="657" t="str">
        <f>IF(IGRF!B23="","",IGRF!B23)</f>
        <v>31</v>
      </c>
      <c r="B13" s="658" t="str">
        <f>IF(IGRF!C23="","",IGRF!C23)</f>
        <v>2x Force</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1</v>
      </c>
      <c r="O13" s="660">
        <f>IF($A13="","",SUM(PT!P21,PT!P22))</f>
        <v>0</v>
      </c>
      <c r="P13" s="660">
        <f>IF($A13="","",SUM(PT!Q21,PT!Q22))</f>
        <v>0</v>
      </c>
      <c r="Q13" s="660">
        <f>IF($A13="","",SUM(PT!R21,PT!R22))</f>
        <v>0</v>
      </c>
      <c r="R13" s="660"/>
      <c r="S13" s="660"/>
      <c r="T13" s="661">
        <f t="shared" si="1"/>
        <v>1</v>
      </c>
      <c r="U13" s="662">
        <f>IF($A13="","",SUM(PT!U21,PT!U22))</f>
        <v>1</v>
      </c>
      <c r="V13" s="659" t="str">
        <f>IF($A13="","",PT!AJ22)</f>
        <v/>
      </c>
      <c r="W13" s="663">
        <f>'Game Summary'!F15</f>
        <v>13</v>
      </c>
      <c r="X13" s="664">
        <f t="shared" si="2"/>
        <v>0.07692307692</v>
      </c>
      <c r="Y13" s="43"/>
      <c r="Z13" s="43"/>
      <c r="AA13" s="43"/>
      <c r="AB13" s="43"/>
    </row>
    <row r="14" ht="24.75" customHeight="1">
      <c r="A14" s="648" t="str">
        <f>IF(IGRF!B24="","",IGRF!B24)</f>
        <v>313</v>
      </c>
      <c r="B14" s="649" t="str">
        <f>IF(IGRF!C24="","",IGRF!C24)</f>
        <v>WestCoast MaFia</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1</v>
      </c>
      <c r="P14" s="651">
        <f>IF($A14="","",SUM(PT!Q23,PT!Q24))</f>
        <v>0</v>
      </c>
      <c r="Q14" s="651">
        <f>IF($A14="","",SUM(PT!R23,PT!R24))</f>
        <v>0</v>
      </c>
      <c r="R14" s="651"/>
      <c r="S14" s="651"/>
      <c r="T14" s="652">
        <f t="shared" si="1"/>
        <v>1</v>
      </c>
      <c r="U14" s="653">
        <f>IF($A14="","",SUM(PT!U23,PT!U24))</f>
        <v>1</v>
      </c>
      <c r="V14" s="654" t="str">
        <f>IF($A14="","",PT!AJ24)</f>
        <v/>
      </c>
      <c r="W14" s="655">
        <f>'Game Summary'!F16</f>
        <v>9</v>
      </c>
      <c r="X14" s="656">
        <f t="shared" si="2"/>
        <v>0.1111111111</v>
      </c>
      <c r="Y14" s="43"/>
      <c r="Z14" s="43"/>
      <c r="AA14" s="43"/>
      <c r="AB14" s="43"/>
    </row>
    <row r="15" ht="24.75" customHeight="1">
      <c r="A15" s="657" t="str">
        <f>IF(IGRF!B25="","",IGRF!B25)</f>
        <v>3381</v>
      </c>
      <c r="B15" s="658" t="str">
        <f>IF(IGRF!C25="","",IGRF!C25)</f>
        <v>Hella Naughty</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1</v>
      </c>
      <c r="P15" s="660">
        <f>IF($A15="","",SUM(PT!Q25,PT!Q26))</f>
        <v>0</v>
      </c>
      <c r="Q15" s="660">
        <f>IF($A15="","",SUM(PT!R25,PT!R26))</f>
        <v>0</v>
      </c>
      <c r="R15" s="660"/>
      <c r="S15" s="660"/>
      <c r="T15" s="661">
        <f t="shared" si="1"/>
        <v>1</v>
      </c>
      <c r="U15" s="662">
        <f>IF($A15="","",SUM(PT!U25,PT!U26))</f>
        <v>1</v>
      </c>
      <c r="V15" s="659" t="str">
        <f>IF($A15="","",PT!AJ26)</f>
        <v/>
      </c>
      <c r="W15" s="663">
        <f>'Game Summary'!F17</f>
        <v>8</v>
      </c>
      <c r="X15" s="664">
        <f t="shared" si="2"/>
        <v>0.125</v>
      </c>
      <c r="Y15" s="43"/>
      <c r="Z15" s="43"/>
      <c r="AA15" s="43"/>
      <c r="AB15" s="43"/>
    </row>
    <row r="16" ht="24.75" customHeight="1">
      <c r="A16" s="648" t="str">
        <f>IF(IGRF!B26="","",IGRF!B26)</f>
        <v>38</v>
      </c>
      <c r="B16" s="649" t="str">
        <f>IF(IGRF!C26="","",IGRF!C26)</f>
        <v>Colette Razorcat</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13</v>
      </c>
      <c r="X16" s="656">
        <f t="shared" si="2"/>
        <v>0</v>
      </c>
      <c r="Y16" s="43"/>
      <c r="Z16" s="43"/>
      <c r="AA16" s="43"/>
      <c r="AB16" s="43"/>
    </row>
    <row r="17" ht="24.75" customHeight="1">
      <c r="A17" s="657" t="str">
        <f>IF(IGRF!B27="","",IGRF!B27)</f>
        <v>394</v>
      </c>
      <c r="B17" s="658" t="str">
        <f>IF(IGRF!C27="","",IGRF!C27)</f>
        <v>Punkie Pie</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1</v>
      </c>
      <c r="P17" s="660">
        <f>IF($A17="","",SUM(PT!Q29,PT!Q30))</f>
        <v>0</v>
      </c>
      <c r="Q17" s="660">
        <f>IF($A17="","",SUM(PT!R29,PT!R30))</f>
        <v>0</v>
      </c>
      <c r="R17" s="660"/>
      <c r="S17" s="660"/>
      <c r="T17" s="661">
        <f t="shared" si="1"/>
        <v>1</v>
      </c>
      <c r="U17" s="662">
        <f>IF($A17="","",SUM(PT!U29,PT!U30))</f>
        <v>1</v>
      </c>
      <c r="V17" s="659" t="str">
        <f>IF($A17="","",PT!AJ30)</f>
        <v/>
      </c>
      <c r="W17" s="663">
        <f>'Game Summary'!F19</f>
        <v>9</v>
      </c>
      <c r="X17" s="664">
        <f t="shared" si="2"/>
        <v>0.1111111111</v>
      </c>
      <c r="Y17" s="43"/>
      <c r="Z17" s="43"/>
      <c r="AA17" s="43"/>
      <c r="AB17" s="43"/>
    </row>
    <row r="18" ht="24.75" customHeight="1">
      <c r="A18" s="648" t="str">
        <f>IF(IGRF!B28="","",IGRF!B28)</f>
        <v>4</v>
      </c>
      <c r="B18" s="649" t="str">
        <f>IF(IGRF!C28="","",IGRF!C28)</f>
        <v>Sure, man</v>
      </c>
      <c r="C18" s="87"/>
      <c r="D18" s="650">
        <f>IF($A18="","",SUM(PT!E31,PT!E32))</f>
        <v>0</v>
      </c>
      <c r="E18" s="651">
        <f>IF($A18="","",SUM(PT!F31,PT!F32))</f>
        <v>0</v>
      </c>
      <c r="F18" s="651">
        <f>IF($A18="","",SUM(PT!G31,PT!G32))</f>
        <v>1</v>
      </c>
      <c r="G18" s="651">
        <f>IF($A18="","",SUM(PT!H31,PT!H32))</f>
        <v>0</v>
      </c>
      <c r="H18" s="651">
        <f>IF($A18="","",SUM(PT!I31,PT!I32))</f>
        <v>0</v>
      </c>
      <c r="I18" s="651">
        <f>IF($A18="","",SUM(PT!J31,PT!J32))</f>
        <v>0</v>
      </c>
      <c r="J18" s="651">
        <f>IF($A18="","",SUM(PT!K31,PT!K32))</f>
        <v>0</v>
      </c>
      <c r="K18" s="651">
        <f>IF($A18="","",SUM(PT!L31,PT!L32))</f>
        <v>0</v>
      </c>
      <c r="L18" s="651">
        <f>IF($A18="","",SUM(PT!M31,PT!M32))</f>
        <v>1</v>
      </c>
      <c r="M18" s="651">
        <f>IF($A18="","",SUM(PT!N31,PT!N32))</f>
        <v>0</v>
      </c>
      <c r="N18" s="651">
        <f>IF($A18="","",SUM(PT!O31,PT!O32))</f>
        <v>0</v>
      </c>
      <c r="O18" s="651">
        <f>IF($A18="","",SUM(PT!P31,PT!P32))</f>
        <v>0</v>
      </c>
      <c r="P18" s="651">
        <f>IF($A18="","",SUM(PT!Q31,PT!Q32))</f>
        <v>0</v>
      </c>
      <c r="Q18" s="651">
        <f>IF($A18="","",SUM(PT!R31,PT!R32))</f>
        <v>0</v>
      </c>
      <c r="R18" s="651"/>
      <c r="S18" s="651"/>
      <c r="T18" s="652">
        <f t="shared" si="1"/>
        <v>2</v>
      </c>
      <c r="U18" s="653">
        <f>IF($A18="","",SUM(PT!U31,PT!U32))</f>
        <v>2</v>
      </c>
      <c r="V18" s="654" t="str">
        <f>IF($A18="","",PT!AJ32)</f>
        <v/>
      </c>
      <c r="W18" s="655">
        <f>'Game Summary'!F20</f>
        <v>14</v>
      </c>
      <c r="X18" s="656">
        <f t="shared" si="2"/>
        <v>0.1428571429</v>
      </c>
      <c r="Y18" s="43"/>
      <c r="Z18" s="43"/>
      <c r="AA18" s="43"/>
      <c r="AB18" s="43"/>
    </row>
    <row r="19" ht="24.75" customHeight="1">
      <c r="A19" s="657" t="str">
        <f>IF(IGRF!B29="","",IGRF!B29)</f>
        <v>602*</v>
      </c>
      <c r="B19" s="658" t="str">
        <f>IF(IGRF!C29="","",IGRF!C29)</f>
        <v>Feen-X</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24.75" customHeight="1">
      <c r="A20" s="648" t="str">
        <f>IF(IGRF!B30="","",IGRF!B30)</f>
        <v>7</v>
      </c>
      <c r="B20" s="649" t="str">
        <f>IF(IGRF!C30="","",IGRF!C30)</f>
        <v>Skatie Katie</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16</v>
      </c>
      <c r="X20" s="656">
        <f t="shared" si="2"/>
        <v>0</v>
      </c>
      <c r="Y20" s="665"/>
      <c r="Z20" s="665"/>
      <c r="AA20" s="665"/>
      <c r="AB20" s="665"/>
    </row>
    <row r="21" ht="24.75" customHeight="1">
      <c r="A21" s="657" t="str">
        <f>IF(IGRF!B31="","",IGRF!B31)</f>
        <v>76</v>
      </c>
      <c r="B21" s="658" t="str">
        <f>IF(IGRF!C31="","",IGRF!C31)</f>
        <v>Queen Loseyateefa</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1</v>
      </c>
      <c r="O21" s="660">
        <f>IF($A21="","",SUM(PT!P37,PT!P38))</f>
        <v>0</v>
      </c>
      <c r="P21" s="660">
        <f>IF($A21="","",SUM(PT!Q37,PT!Q38))</f>
        <v>0</v>
      </c>
      <c r="Q21" s="660">
        <f>IF($A21="","",SUM(PT!R37,PT!R38))</f>
        <v>0</v>
      </c>
      <c r="R21" s="660"/>
      <c r="S21" s="660"/>
      <c r="T21" s="661">
        <f t="shared" si="1"/>
        <v>1</v>
      </c>
      <c r="U21" s="662">
        <f>IF($A21="","",SUM(PT!U37,PT!U38))</f>
        <v>1</v>
      </c>
      <c r="V21" s="659" t="str">
        <f>IF($A21="","",PT!AJ38)</f>
        <v/>
      </c>
      <c r="W21" s="663">
        <f>'Game Summary'!F23</f>
        <v>16</v>
      </c>
      <c r="X21" s="664">
        <f t="shared" si="2"/>
        <v>0.0625</v>
      </c>
      <c r="Y21" s="636"/>
      <c r="Z21" s="636"/>
      <c r="AA21" s="636"/>
      <c r="AB21" s="636"/>
    </row>
    <row r="22" ht="24.75" customHeight="1">
      <c r="A22" s="648" t="str">
        <f>IF(IGRF!B32="","",IGRF!B32)</f>
        <v>88</v>
      </c>
      <c r="B22" s="649" t="str">
        <f>IF(IGRF!C32="","",IGRF!C32)</f>
        <v>MsMURDR</v>
      </c>
      <c r="C22" s="87"/>
      <c r="D22" s="650">
        <f>IF($A22="","",SUM(PT!E39,PT!E40))</f>
        <v>0</v>
      </c>
      <c r="E22" s="651">
        <f>IF($A22="","",SUM(PT!F39,PT!F40))</f>
        <v>0</v>
      </c>
      <c r="F22" s="651">
        <f>IF($A22="","",SUM(PT!G39,PT!G40))</f>
        <v>0</v>
      </c>
      <c r="G22" s="651">
        <f>IF($A22="","",SUM(PT!H39,PT!H40))</f>
        <v>0</v>
      </c>
      <c r="H22" s="651">
        <f>IF($A22="","",SUM(PT!I39,PT!I40))</f>
        <v>0</v>
      </c>
      <c r="I22" s="651">
        <f>IF($A22="","",SUM(PT!J39,PT!J40))</f>
        <v>1</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1</v>
      </c>
      <c r="U22" s="653">
        <f>IF($A22="","",SUM(PT!U39,PT!U40))</f>
        <v>1</v>
      </c>
      <c r="V22" s="654" t="str">
        <f>IF($A22="","",PT!AJ40)</f>
        <v/>
      </c>
      <c r="W22" s="655">
        <f>'Game Summary'!F24</f>
        <v>15</v>
      </c>
      <c r="X22" s="656">
        <f t="shared" si="2"/>
        <v>0.06666666667</v>
      </c>
      <c r="Y22" s="43"/>
      <c r="Z22" s="43"/>
      <c r="AA22" s="43"/>
      <c r="AB22" s="43"/>
    </row>
    <row r="23" ht="24.75" customHeight="1">
      <c r="A23" s="657" t="str">
        <f>IF(IGRF!B33="","",IGRF!B33)</f>
        <v>96*</v>
      </c>
      <c r="B23" s="666" t="str">
        <f>IF(IGRF!C33="","",IGRF!C33)</f>
        <v>Weird Flex</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363</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358</v>
      </c>
      <c r="U24" s="671"/>
      <c r="V24" s="672">
        <f>SUM(PT!X49:AI49,C24,C25)</f>
        <v>0</v>
      </c>
      <c r="W24" s="673">
        <f t="shared" ref="W24:X24" si="4">IF(COUNT(W4:W23)=0,"-",SUM(W4:W23)/COUNT(W4:W23))</f>
        <v>9.75</v>
      </c>
      <c r="X24" s="674">
        <f t="shared" si="4"/>
        <v>0.107450235</v>
      </c>
      <c r="Y24" s="43"/>
      <c r="Z24" s="43"/>
      <c r="AA24" s="43"/>
      <c r="AB24" s="43"/>
    </row>
    <row r="25" ht="20.25" customHeight="1">
      <c r="A25" s="675" t="s">
        <v>363</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364</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365</v>
      </c>
      <c r="B27" s="347"/>
      <c r="C27" s="684"/>
      <c r="D27" s="685">
        <f t="shared" ref="D27:Q27" si="5">SUM(D4:D23)</f>
        <v>0</v>
      </c>
      <c r="E27" s="685">
        <f t="shared" si="5"/>
        <v>1</v>
      </c>
      <c r="F27" s="685">
        <f t="shared" si="5"/>
        <v>2</v>
      </c>
      <c r="G27" s="685">
        <f t="shared" si="5"/>
        <v>0</v>
      </c>
      <c r="H27" s="685">
        <f t="shared" si="5"/>
        <v>0</v>
      </c>
      <c r="I27" s="685">
        <f t="shared" si="5"/>
        <v>4</v>
      </c>
      <c r="J27" s="685">
        <f t="shared" si="5"/>
        <v>0</v>
      </c>
      <c r="K27" s="685">
        <f t="shared" si="5"/>
        <v>0</v>
      </c>
      <c r="L27" s="685">
        <f t="shared" si="5"/>
        <v>1</v>
      </c>
      <c r="M27" s="685">
        <f t="shared" si="5"/>
        <v>3</v>
      </c>
      <c r="N27" s="685">
        <f t="shared" si="5"/>
        <v>4</v>
      </c>
      <c r="O27" s="685">
        <f t="shared" si="5"/>
        <v>5</v>
      </c>
      <c r="P27" s="685">
        <f t="shared" si="5"/>
        <v>0</v>
      </c>
      <c r="Q27" s="685">
        <f t="shared" si="5"/>
        <v>0</v>
      </c>
      <c r="R27" s="685"/>
      <c r="S27" s="685"/>
      <c r="T27" s="686">
        <f>SUM(T4:T23)</f>
        <v>20</v>
      </c>
      <c r="U27" s="679">
        <f>SUM(U4:U23,C24,C25)</f>
        <v>20</v>
      </c>
      <c r="V27" s="687" t="s">
        <v>366</v>
      </c>
      <c r="W27" s="45"/>
      <c r="X27" s="46"/>
      <c r="Y27" s="43"/>
      <c r="Z27" s="43"/>
      <c r="AA27" s="43"/>
      <c r="AB27" s="43"/>
    </row>
    <row r="28" ht="12.75" customHeight="1">
      <c r="A28" s="688"/>
      <c r="C28" s="689"/>
      <c r="D28" s="690" t="s">
        <v>367</v>
      </c>
      <c r="E28" s="14"/>
      <c r="F28" s="14"/>
      <c r="G28" s="14"/>
      <c r="H28" s="14"/>
      <c r="I28" s="42"/>
      <c r="J28" s="691">
        <f>IF(OR(LU!D3=0,LU!D102=0),"",T27/(LU!D3+LU!D102))</f>
        <v>0.5128205128</v>
      </c>
      <c r="K28" s="42"/>
      <c r="L28" s="692" t="s">
        <v>368</v>
      </c>
      <c r="M28" s="347"/>
      <c r="N28" s="347"/>
      <c r="O28" s="347"/>
      <c r="P28" s="684"/>
      <c r="Q28" s="693"/>
      <c r="R28" s="694">
        <f>IF(T27+T56=0,"",T27/(T27+T56))</f>
        <v>0.5</v>
      </c>
      <c r="S28" s="684"/>
      <c r="T28" s="695">
        <f t="shared" ref="T28:U28" si="6">IF(T27+T56=0,"",T27/(T27+T56))</f>
        <v>0.5</v>
      </c>
      <c r="U28" s="696">
        <f t="shared" si="6"/>
        <v>0.5</v>
      </c>
      <c r="V28" s="697" t="s">
        <v>369</v>
      </c>
      <c r="W28" s="347"/>
      <c r="X28" s="348"/>
      <c r="Y28" s="43"/>
      <c r="Z28" s="43"/>
      <c r="AA28" s="43"/>
      <c r="AB28" s="43"/>
    </row>
    <row r="29" ht="12.75" customHeight="1">
      <c r="A29" s="157"/>
      <c r="B29" s="20"/>
      <c r="C29" s="158"/>
      <c r="D29" s="698" t="s">
        <v>370</v>
      </c>
      <c r="E29" s="39"/>
      <c r="F29" s="39"/>
      <c r="G29" s="39"/>
      <c r="H29" s="39"/>
      <c r="I29" s="40"/>
      <c r="J29" s="699">
        <f>IF(OR(J28="",J57=""),"",J28-J57)</f>
        <v>0</v>
      </c>
      <c r="K29" s="40"/>
      <c r="L29" s="700"/>
      <c r="M29" s="20"/>
      <c r="N29" s="20"/>
      <c r="O29" s="20"/>
      <c r="P29" s="158"/>
      <c r="Q29" s="693"/>
      <c r="R29" s="216"/>
      <c r="S29" s="158"/>
      <c r="T29" s="417"/>
      <c r="U29" s="381"/>
      <c r="V29" s="216"/>
      <c r="W29" s="20"/>
      <c r="X29" s="21"/>
      <c r="Y29" s="43"/>
      <c r="Z29" s="43"/>
      <c r="AA29" s="43"/>
      <c r="AB29" s="43"/>
    </row>
    <row r="30" ht="20.25" customHeight="1">
      <c r="A30" s="629">
        <f>IF(IGRF!$B$7="","",IGRF!$B$7)</f>
        <v>45128</v>
      </c>
      <c r="B30" s="45"/>
      <c r="C30" s="45"/>
      <c r="D30" s="630" t="s">
        <v>354</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Elevated Roller Derby / Elevated Roller Derby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237</v>
      </c>
      <c r="B32" s="638" t="s">
        <v>357</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358</v>
      </c>
      <c r="U32" s="644" t="s">
        <v>359</v>
      </c>
      <c r="V32" s="645" t="s">
        <v>360</v>
      </c>
      <c r="W32" s="646" t="s">
        <v>361</v>
      </c>
      <c r="X32" s="647" t="s">
        <v>362</v>
      </c>
      <c r="Y32" s="43"/>
      <c r="Z32" s="43"/>
      <c r="AA32" s="43"/>
      <c r="AB32" s="43"/>
    </row>
    <row r="33" ht="24.75" customHeight="1">
      <c r="A33" s="648" t="str">
        <f>IF(IGRF!I14="","",IGRF!I14)</f>
        <v>10*</v>
      </c>
      <c r="B33" s="649" t="str">
        <f>IF(IGRF!J14="","",IGRF!J14)</f>
        <v>BAMPF!</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24.75" customHeight="1">
      <c r="A34" s="657" t="str">
        <f>IF(IGRF!I15="","",IGRF!I15)</f>
        <v>11</v>
      </c>
      <c r="B34" s="658" t="str">
        <f>IF(IGRF!J15="","",IGRF!J15)</f>
        <v>Killer Queen</v>
      </c>
      <c r="C34" s="87"/>
      <c r="D34" s="659">
        <f>IF($A34="","",SUM(PT!E58,PT!E59))</f>
        <v>0</v>
      </c>
      <c r="E34" s="660">
        <f>IF($A34="","",SUM(PT!F58,PT!F59))</f>
        <v>0</v>
      </c>
      <c r="F34" s="660">
        <f>IF($A34="","",SUM(PT!G58,PT!G59))</f>
        <v>0</v>
      </c>
      <c r="G34" s="660">
        <f>IF($A34="","",SUM(PT!H58,PT!H59))</f>
        <v>0</v>
      </c>
      <c r="H34" s="660">
        <f>IF($A34="","",SUM(PT!I58,PT!I59))</f>
        <v>0</v>
      </c>
      <c r="I34" s="660">
        <f>IF($A34="","",SUM(PT!J58,PT!J59))</f>
        <v>2</v>
      </c>
      <c r="J34" s="660">
        <f>IF($A34="","",SUM(PT!K58,PT!K59))</f>
        <v>0</v>
      </c>
      <c r="K34" s="660">
        <f>IF($A34="","",SUM(PT!L58,PT!L59))</f>
        <v>0</v>
      </c>
      <c r="L34" s="660">
        <f>IF($A34="","",SUM(PT!M58,PT!M59))</f>
        <v>0</v>
      </c>
      <c r="M34" s="660">
        <f>IF($A34="","",SUM(PT!N58,PT!N59))</f>
        <v>2</v>
      </c>
      <c r="N34" s="660">
        <f>IF($A34="","",SUM(PT!O58,PT!O59))</f>
        <v>1</v>
      </c>
      <c r="O34" s="660">
        <f>IF($A34="","",SUM(PT!P58,PT!P59))</f>
        <v>0</v>
      </c>
      <c r="P34" s="660">
        <f>IF($A34="","",SUM(PT!Q58,PT!Q59))</f>
        <v>0</v>
      </c>
      <c r="Q34" s="660">
        <f>IF($A34="","",SUM(PT!R58,PT!R59))</f>
        <v>0</v>
      </c>
      <c r="R34" s="660"/>
      <c r="S34" s="660"/>
      <c r="T34" s="661">
        <f t="shared" si="9"/>
        <v>5</v>
      </c>
      <c r="U34" s="662">
        <f>IF($A34="","",SUM(PT!U58,PT!U59))</f>
        <v>5</v>
      </c>
      <c r="V34" s="659" t="str">
        <f>IF($A34="","",PT!AJ59)</f>
        <v/>
      </c>
      <c r="W34" s="663">
        <f>'Game Summary'!F29</f>
        <v>20</v>
      </c>
      <c r="X34" s="664">
        <f t="shared" si="10"/>
        <v>0.25</v>
      </c>
      <c r="Y34" s="43"/>
      <c r="Z34" s="43"/>
      <c r="AA34" s="43"/>
      <c r="AB34" s="43"/>
    </row>
    <row r="35" ht="24.75" customHeight="1">
      <c r="A35" s="648" t="str">
        <f>IF(IGRF!I16="","",IGRF!I16)</f>
        <v>120</v>
      </c>
      <c r="B35" s="649" t="str">
        <f>IF(IGRF!J16="","",IGRF!J16)</f>
        <v>Nikki Nail 'er</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17</v>
      </c>
      <c r="X35" s="656">
        <f t="shared" si="10"/>
        <v>0</v>
      </c>
      <c r="Y35" s="43"/>
      <c r="Z35" s="43"/>
      <c r="AA35" s="43"/>
      <c r="AB35" s="43"/>
    </row>
    <row r="36" ht="24.75" customHeight="1">
      <c r="A36" s="657" t="str">
        <f>IF(IGRF!I17="","",IGRF!I17)</f>
        <v>13</v>
      </c>
      <c r="B36" s="658" t="str">
        <f>IF(IGRF!J17="","",IGRF!J17)</f>
        <v>Libido Loca</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24.75" customHeight="1">
      <c r="A37" s="648" t="str">
        <f>IF(IGRF!I18="","",IGRF!I18)</f>
        <v>15</v>
      </c>
      <c r="B37" s="649" t="str">
        <f>IF(IGRF!J18="","",IGRF!J18)</f>
        <v>Harley Darlin</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2</v>
      </c>
      <c r="P37" s="651">
        <f>IF($A37="","",SUM(PT!Q64,PT!Q65))</f>
        <v>0</v>
      </c>
      <c r="Q37" s="651">
        <f>IF($A37="","",SUM(PT!R64,PT!R65))</f>
        <v>0</v>
      </c>
      <c r="R37" s="651"/>
      <c r="S37" s="651"/>
      <c r="T37" s="652">
        <f t="shared" si="9"/>
        <v>2</v>
      </c>
      <c r="U37" s="653">
        <f>IF($A37="","",SUM(PT!U64,PT!U65))</f>
        <v>2</v>
      </c>
      <c r="V37" s="654" t="str">
        <f>IF($A37="","",PT!AJ65)</f>
        <v/>
      </c>
      <c r="W37" s="655">
        <f>'Game Summary'!F32</f>
        <v>11</v>
      </c>
      <c r="X37" s="656">
        <f t="shared" si="10"/>
        <v>0.1818181818</v>
      </c>
      <c r="Y37" s="43"/>
      <c r="Z37" s="43"/>
      <c r="AA37" s="43"/>
      <c r="AB37" s="43"/>
    </row>
    <row r="38" ht="24.75" customHeight="1">
      <c r="A38" s="657" t="str">
        <f>IF(IGRF!I19="","",IGRF!I19)</f>
        <v>21*</v>
      </c>
      <c r="B38" s="658" t="str">
        <f>IF(IGRF!J19="","",IGRF!J19)</f>
        <v>Agatha KrisB</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24.75" customHeight="1">
      <c r="A39" s="648" t="str">
        <f>IF(IGRF!I20="","",IGRF!I20)</f>
        <v>213</v>
      </c>
      <c r="B39" s="649" t="str">
        <f>IF(IGRF!J20="","",IGRF!J20)</f>
        <v>IceBox</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1</v>
      </c>
      <c r="M39" s="651">
        <f>IF($A39="","",SUM(PT!N68,PT!N69))</f>
        <v>0</v>
      </c>
      <c r="N39" s="651">
        <f>IF($A39="","",SUM(PT!O68,PT!O69))</f>
        <v>1</v>
      </c>
      <c r="O39" s="651">
        <f>IF($A39="","",SUM(PT!P68,PT!P69))</f>
        <v>0</v>
      </c>
      <c r="P39" s="651">
        <f>IF($A39="","",SUM(PT!Q68,PT!Q69))</f>
        <v>0</v>
      </c>
      <c r="Q39" s="651">
        <f>IF($A39="","",SUM(PT!R68,PT!R69))</f>
        <v>0</v>
      </c>
      <c r="R39" s="651"/>
      <c r="S39" s="651"/>
      <c r="T39" s="652">
        <f t="shared" si="9"/>
        <v>2</v>
      </c>
      <c r="U39" s="653">
        <f>IF($A39="","",SUM(PT!U68,PT!U69))</f>
        <v>2</v>
      </c>
      <c r="V39" s="654" t="str">
        <f>IF($A39="","",PT!AJ69)</f>
        <v/>
      </c>
      <c r="W39" s="655">
        <f>'Game Summary'!F34</f>
        <v>20</v>
      </c>
      <c r="X39" s="656">
        <f t="shared" si="10"/>
        <v>0.1</v>
      </c>
      <c r="Y39" s="43"/>
      <c r="Z39" s="43"/>
      <c r="AA39" s="43"/>
      <c r="AB39" s="43"/>
    </row>
    <row r="40" ht="24.75" customHeight="1">
      <c r="A40" s="657" t="str">
        <f>IF(IGRF!I21="","",IGRF!I21)</f>
        <v>221</v>
      </c>
      <c r="B40" s="658" t="str">
        <f>IF(IGRF!J21="","",IGRF!J21)</f>
        <v>Syann</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1</v>
      </c>
      <c r="P40" s="660">
        <f>IF($A40="","",SUM(PT!Q70,PT!Q71))</f>
        <v>0</v>
      </c>
      <c r="Q40" s="660">
        <f>IF($A40="","",SUM(PT!R70,PT!R71))</f>
        <v>0</v>
      </c>
      <c r="R40" s="660"/>
      <c r="S40" s="660"/>
      <c r="T40" s="661">
        <f t="shared" si="9"/>
        <v>1</v>
      </c>
      <c r="U40" s="662">
        <f>IF($A40="","",SUM(PT!U70,PT!U71))</f>
        <v>1</v>
      </c>
      <c r="V40" s="659" t="str">
        <f>IF($A40="","",PT!AJ71)</f>
        <v/>
      </c>
      <c r="W40" s="663">
        <f>'Game Summary'!F35</f>
        <v>4</v>
      </c>
      <c r="X40" s="664">
        <f t="shared" si="10"/>
        <v>0.25</v>
      </c>
      <c r="Y40" s="43"/>
      <c r="Z40" s="43"/>
      <c r="AA40" s="43"/>
      <c r="AB40" s="43"/>
    </row>
    <row r="41" ht="24.75" customHeight="1">
      <c r="A41" s="648" t="str">
        <f>IF(IGRF!I22="","",IGRF!I22)</f>
        <v>28</v>
      </c>
      <c r="B41" s="649" t="str">
        <f>IF(IGRF!J22="","",IGRF!J22)</f>
        <v>Hot Box</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19</v>
      </c>
      <c r="X41" s="656">
        <f t="shared" si="10"/>
        <v>0</v>
      </c>
      <c r="Y41" s="43"/>
      <c r="Z41" s="43"/>
      <c r="AA41" s="43"/>
      <c r="AB41" s="43"/>
    </row>
    <row r="42" ht="24.75" customHeight="1">
      <c r="A42" s="657" t="str">
        <f>IF(IGRF!I23="","",IGRF!I23)</f>
        <v>321</v>
      </c>
      <c r="B42" s="658" t="str">
        <f>IF(IGRF!J23="","",IGRF!J23)</f>
        <v>Rockit</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20</v>
      </c>
      <c r="X42" s="664">
        <f t="shared" si="10"/>
        <v>0</v>
      </c>
      <c r="Y42" s="43"/>
      <c r="Z42" s="43"/>
      <c r="AA42" s="43"/>
      <c r="AB42" s="43"/>
    </row>
    <row r="43" ht="24.75" customHeight="1">
      <c r="A43" s="648" t="str">
        <f>IF(IGRF!I24="","",IGRF!I24)</f>
        <v>329</v>
      </c>
      <c r="B43" s="649" t="str">
        <f>IF(IGRF!J24="","",IGRF!J24)</f>
        <v>Triple Axel Rose</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2</v>
      </c>
      <c r="P43" s="651">
        <f>IF($A43="","",SUM(PT!Q76,PT!Q77))</f>
        <v>0</v>
      </c>
      <c r="Q43" s="651">
        <f>IF($A43="","",SUM(PT!R76,PT!R77))</f>
        <v>0</v>
      </c>
      <c r="R43" s="651"/>
      <c r="S43" s="651"/>
      <c r="T43" s="652">
        <f t="shared" si="9"/>
        <v>2</v>
      </c>
      <c r="U43" s="653">
        <f>IF($A43="","",SUM(PT!U76,PT!U77))</f>
        <v>2</v>
      </c>
      <c r="V43" s="654" t="str">
        <f>IF($A43="","",PT!AJ77)</f>
        <v/>
      </c>
      <c r="W43" s="655">
        <f>'Game Summary'!F38</f>
        <v>12</v>
      </c>
      <c r="X43" s="656">
        <f t="shared" si="10"/>
        <v>0.1666666667</v>
      </c>
      <c r="Y43" s="43"/>
      <c r="Z43" s="43"/>
      <c r="AA43" s="43"/>
      <c r="AB43" s="43"/>
    </row>
    <row r="44" ht="24.75" customHeight="1">
      <c r="A44" s="657" t="str">
        <f>IF(IGRF!I25="","",IGRF!I25)</f>
        <v>410</v>
      </c>
      <c r="B44" s="658" t="str">
        <f>IF(IGRF!J25="","",IGRF!J25)</f>
        <v>Ricketts</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1</v>
      </c>
      <c r="P44" s="660">
        <f>IF($A44="","",SUM(PT!Q78,PT!Q79))</f>
        <v>0</v>
      </c>
      <c r="Q44" s="660">
        <f>IF($A44="","",SUM(PT!R78,PT!R79))</f>
        <v>3</v>
      </c>
      <c r="R44" s="660"/>
      <c r="S44" s="660"/>
      <c r="T44" s="661">
        <f t="shared" si="9"/>
        <v>4</v>
      </c>
      <c r="U44" s="662">
        <f>IF($A44="","",SUM(PT!U78,PT!U79))</f>
        <v>4</v>
      </c>
      <c r="V44" s="659" t="str">
        <f>IF($A44="","",PT!AJ79)</f>
        <v/>
      </c>
      <c r="W44" s="663">
        <f>'Game Summary'!F39</f>
        <v>18</v>
      </c>
      <c r="X44" s="664">
        <f t="shared" si="10"/>
        <v>0.2222222222</v>
      </c>
      <c r="Y44" s="43"/>
      <c r="Z44" s="43"/>
      <c r="AA44" s="43"/>
      <c r="AB44" s="43"/>
    </row>
    <row r="45" ht="24.75" customHeight="1">
      <c r="A45" s="648" t="str">
        <f>IF(IGRF!I26="","",IGRF!I26)</f>
        <v>47</v>
      </c>
      <c r="B45" s="649" t="str">
        <f>IF(IGRF!J26="","",IGRF!J26)</f>
        <v>Author of Pain</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484*</v>
      </c>
      <c r="B46" s="658" t="str">
        <f>IF(IGRF!J27="","",IGRF!J27)</f>
        <v>Gemineye</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row>
    <row r="47" ht="24.75" customHeight="1">
      <c r="A47" s="648" t="str">
        <f>IF(IGRF!I28="","",IGRF!I28)</f>
        <v>505</v>
      </c>
      <c r="B47" s="649" t="str">
        <f>IF(IGRF!J28="","",IGRF!J28)</f>
        <v>Swearin' Marie</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1</v>
      </c>
      <c r="L47" s="651">
        <f>IF($A47="","",SUM(PT!M84,PT!M85))</f>
        <v>1</v>
      </c>
      <c r="M47" s="651">
        <f>IF($A47="","",SUM(PT!N84,PT!N85))</f>
        <v>0</v>
      </c>
      <c r="N47" s="651">
        <f>IF($A47="","",SUM(PT!O84,PT!O85))</f>
        <v>0</v>
      </c>
      <c r="O47" s="651">
        <f>IF($A47="","",SUM(PT!P84,PT!P85))</f>
        <v>2</v>
      </c>
      <c r="P47" s="651">
        <f>IF($A47="","",SUM(PT!Q84,PT!Q85))</f>
        <v>0</v>
      </c>
      <c r="Q47" s="651">
        <f>IF($A47="","",SUM(PT!R84,PT!R85))</f>
        <v>0</v>
      </c>
      <c r="R47" s="651"/>
      <c r="S47" s="651"/>
      <c r="T47" s="652">
        <f t="shared" si="9"/>
        <v>4</v>
      </c>
      <c r="U47" s="653">
        <f>IF($A47="","",SUM(PT!U84,PT!U85))</f>
        <v>4</v>
      </c>
      <c r="V47" s="654" t="str">
        <f>IF($A47="","",PT!AJ85)</f>
        <v/>
      </c>
      <c r="W47" s="655">
        <f>'Game Summary'!F42</f>
        <v>21</v>
      </c>
      <c r="X47" s="656">
        <f t="shared" si="10"/>
        <v>0.1904761905</v>
      </c>
      <c r="Y47" s="43"/>
      <c r="Z47" s="43"/>
      <c r="AA47" s="43"/>
      <c r="AB47" s="43"/>
    </row>
    <row r="48" ht="24.75" customHeight="1">
      <c r="A48" s="657" t="str">
        <f>IF(IGRF!I29="","",IGRF!I29)</f>
        <v>75*</v>
      </c>
      <c r="B48" s="658" t="str">
        <f>IF(IGRF!J29="","",IGRF!J29)</f>
        <v>TamTrum</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88</v>
      </c>
      <c r="B49" s="649" t="str">
        <f>IF(IGRF!J30="","",IGRF!J30)</f>
        <v>Rocktopus</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1</v>
      </c>
      <c r="X49" s="656">
        <f t="shared" si="10"/>
        <v>0</v>
      </c>
      <c r="Y49" s="43"/>
      <c r="Z49" s="43"/>
      <c r="AA49" s="43"/>
      <c r="AB49" s="43"/>
    </row>
    <row r="50" ht="24.75" customHeight="1">
      <c r="A50" s="657" t="str">
        <f>IF(IGRF!I31="","",IGRF!I31)</f>
        <v>9</v>
      </c>
      <c r="B50" s="658" t="str">
        <f>IF(IGRF!J31="","",IGRF!J31)</f>
        <v>Kell's Inferno</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11</v>
      </c>
      <c r="X50" s="664">
        <f t="shared" si="10"/>
        <v>0</v>
      </c>
      <c r="Y50" s="43"/>
      <c r="Z50" s="43"/>
      <c r="AA50" s="43"/>
      <c r="AB50" s="43"/>
    </row>
    <row r="51" ht="24.75" customHeight="1">
      <c r="A51" s="648" t="str">
        <f>IF(IGRF!I32="","",IGRF!I32)</f>
        <v>913*</v>
      </c>
      <c r="B51" s="649" t="str">
        <f>IF(IGRF!J32="","",IGRF!J32)</f>
        <v>Termiskater</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999</v>
      </c>
      <c r="B52" s="658" t="str">
        <f>IF(IGRF!J33="","",IGRF!J33)</f>
        <v>Amanda Jamitinya</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20</v>
      </c>
      <c r="X52" s="664">
        <f t="shared" si="10"/>
        <v>0</v>
      </c>
      <c r="Y52" s="43"/>
      <c r="Z52" s="43"/>
      <c r="AA52" s="43"/>
      <c r="AB52" s="43"/>
    </row>
    <row r="53" ht="21.75" customHeight="1">
      <c r="A53" s="667" t="s">
        <v>363</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358</v>
      </c>
      <c r="U53" s="671"/>
      <c r="V53" s="672">
        <f>SUM(PT!X102:AI102,C53,C54)</f>
        <v>0</v>
      </c>
      <c r="W53" s="673">
        <f t="shared" ref="W53:X53" si="12">IF(COUNT(W33:W52)=0,"-",SUM(W33:W52)/COUNT(W33:W52))</f>
        <v>9.7</v>
      </c>
      <c r="X53" s="674">
        <f t="shared" si="12"/>
        <v>0.1047064047</v>
      </c>
      <c r="Y53" s="43"/>
      <c r="Z53" s="43"/>
      <c r="AA53" s="43"/>
      <c r="AB53" s="43"/>
    </row>
    <row r="54" ht="21.0" customHeight="1">
      <c r="A54" s="675" t="s">
        <v>363</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364</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365</v>
      </c>
      <c r="B56" s="347"/>
      <c r="C56" s="684"/>
      <c r="D56" s="685">
        <f t="shared" ref="D56:Q56" si="13">SUM(D33:D52)</f>
        <v>0</v>
      </c>
      <c r="E56" s="685">
        <f t="shared" si="13"/>
        <v>0</v>
      </c>
      <c r="F56" s="685">
        <f t="shared" si="13"/>
        <v>0</v>
      </c>
      <c r="G56" s="685">
        <f t="shared" si="13"/>
        <v>0</v>
      </c>
      <c r="H56" s="685">
        <f t="shared" si="13"/>
        <v>0</v>
      </c>
      <c r="I56" s="685">
        <f t="shared" si="13"/>
        <v>2</v>
      </c>
      <c r="J56" s="685">
        <f t="shared" si="13"/>
        <v>0</v>
      </c>
      <c r="K56" s="685">
        <f t="shared" si="13"/>
        <v>1</v>
      </c>
      <c r="L56" s="685">
        <f t="shared" si="13"/>
        <v>2</v>
      </c>
      <c r="M56" s="685">
        <f t="shared" si="13"/>
        <v>2</v>
      </c>
      <c r="N56" s="685">
        <f t="shared" si="13"/>
        <v>2</v>
      </c>
      <c r="O56" s="685">
        <f t="shared" si="13"/>
        <v>8</v>
      </c>
      <c r="P56" s="685">
        <f t="shared" si="13"/>
        <v>0</v>
      </c>
      <c r="Q56" s="685">
        <f t="shared" si="13"/>
        <v>3</v>
      </c>
      <c r="R56" s="685"/>
      <c r="S56" s="685"/>
      <c r="T56" s="685">
        <f>SUM(T33:T52)</f>
        <v>20</v>
      </c>
      <c r="U56" s="679">
        <f>SUM(U33:U52,C53,C54)</f>
        <v>20</v>
      </c>
      <c r="V56" s="687" t="s">
        <v>366</v>
      </c>
      <c r="W56" s="45"/>
      <c r="X56" s="46"/>
      <c r="Y56" s="43"/>
      <c r="Z56" s="43"/>
      <c r="AA56" s="43"/>
      <c r="AB56" s="43"/>
    </row>
    <row r="57" ht="12.75" customHeight="1">
      <c r="A57" s="688"/>
      <c r="C57" s="689"/>
      <c r="D57" s="690" t="s">
        <v>367</v>
      </c>
      <c r="E57" s="14"/>
      <c r="F57" s="14"/>
      <c r="G57" s="14"/>
      <c r="H57" s="14"/>
      <c r="I57" s="42"/>
      <c r="J57" s="691">
        <f>IF(OR(LU!W3=0,LU!W102=0),"",T56/(LU!W3+LU!W102))</f>
        <v>0.5128205128</v>
      </c>
      <c r="K57" s="42"/>
      <c r="L57" s="692" t="s">
        <v>368</v>
      </c>
      <c r="M57" s="347"/>
      <c r="N57" s="347"/>
      <c r="O57" s="347"/>
      <c r="P57" s="684"/>
      <c r="Q57" s="693"/>
      <c r="R57" s="694">
        <f>IF(T27+T56=0,"",T56/(T27+T56))</f>
        <v>0.5</v>
      </c>
      <c r="S57" s="684"/>
      <c r="T57" s="695">
        <f t="shared" ref="T57:U57" si="14">IF(T27+T56=0,"",T56/(T27+T56))</f>
        <v>0.5</v>
      </c>
      <c r="U57" s="696">
        <f t="shared" si="14"/>
        <v>0.5</v>
      </c>
      <c r="V57" s="697" t="s">
        <v>369</v>
      </c>
      <c r="W57" s="347"/>
      <c r="X57" s="348"/>
      <c r="Y57" s="43"/>
      <c r="Z57" s="43"/>
      <c r="AA57" s="43"/>
      <c r="AB57" s="43"/>
    </row>
    <row r="58" ht="13.5" customHeight="1">
      <c r="A58" s="157"/>
      <c r="B58" s="20"/>
      <c r="C58" s="158"/>
      <c r="D58" s="698" t="s">
        <v>370</v>
      </c>
      <c r="E58" s="39"/>
      <c r="F58" s="39"/>
      <c r="G58" s="39"/>
      <c r="H58" s="39"/>
      <c r="I58" s="40"/>
      <c r="J58" s="699">
        <f>IF(OR(J28="",J57=""),"",J57-J28)</f>
        <v>0</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Arizona Roller Derby / All Stars</v>
      </c>
      <c r="B1" s="684"/>
      <c r="C1" s="702">
        <f>IF(ISBLANK(IGRF!$B$7), "", IGRF!$B$7)</f>
        <v>45128</v>
      </c>
      <c r="D1" s="703">
        <v>1.0</v>
      </c>
      <c r="H1" s="701" t="str">
        <f>Score!$T$1</f>
        <v>Elevated Roller Derby / Elevated Roller Derby All Stars</v>
      </c>
      <c r="I1" s="684"/>
      <c r="J1" s="702">
        <f>IF(ISBLANK(IGRF!$B$7), "", IGRF!$B$7)</f>
        <v>45128</v>
      </c>
      <c r="K1" s="703">
        <v>1.0</v>
      </c>
    </row>
    <row r="2" ht="13.5" customHeight="1">
      <c r="A2" s="157"/>
      <c r="B2" s="158"/>
      <c r="C2" s="704" t="s">
        <v>210</v>
      </c>
      <c r="D2" s="417"/>
      <c r="H2" s="157"/>
      <c r="I2" s="158"/>
      <c r="J2" s="704" t="s">
        <v>210</v>
      </c>
      <c r="K2" s="417"/>
    </row>
    <row r="3" ht="13.5" customHeight="1">
      <c r="A3" s="705" t="s">
        <v>288</v>
      </c>
      <c r="B3" s="706" t="s">
        <v>371</v>
      </c>
      <c r="C3" s="707" t="s">
        <v>372</v>
      </c>
      <c r="D3" s="708" t="str">
        <f>IF(ISBLANK(IGRF!$L$3), "", "GAME " &amp; IGRF!$L$3)</f>
        <v>GAME 03</v>
      </c>
      <c r="H3" s="705" t="s">
        <v>288</v>
      </c>
      <c r="I3" s="706" t="s">
        <v>371</v>
      </c>
      <c r="J3" s="707" t="s">
        <v>372</v>
      </c>
      <c r="K3" s="708" t="str">
        <f>IF(ISBLANK(IGRF!$L$3), "", "GAME " &amp; IGRF!$L$3)</f>
        <v>GAME 03</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t="str">
        <f>IF(Score!A7="", "",Score!A7 )</f>
        <v>SP*</v>
      </c>
      <c r="B7" s="711"/>
      <c r="C7" s="712"/>
      <c r="D7" s="87"/>
      <c r="H7" s="242" t="str">
        <f>IF(Score!T7="", "",Score!T7 )</f>
        <v>SP</v>
      </c>
      <c r="I7" s="711"/>
      <c r="J7" s="712"/>
      <c r="K7" s="87"/>
    </row>
    <row r="8" ht="12.75" customHeight="1">
      <c r="A8" s="230">
        <f>IF(Score!A8="", "",Score!A8 )</f>
        <v>4</v>
      </c>
      <c r="B8" s="709"/>
      <c r="C8" s="710"/>
      <c r="D8" s="87"/>
      <c r="H8" s="230">
        <f>IF(Score!T8="", "",Score!T8 )</f>
        <v>4</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t="str">
        <f>IF(Score!A11="", "",Score!A11 )</f>
        <v>SP*</v>
      </c>
      <c r="B11" s="711"/>
      <c r="C11" s="712"/>
      <c r="D11" s="87"/>
      <c r="H11" s="242" t="str">
        <f>IF(Score!T11="", "",Score!T11 )</f>
        <v>SP</v>
      </c>
      <c r="I11" s="711"/>
      <c r="J11" s="712"/>
      <c r="K11" s="87"/>
    </row>
    <row r="12" ht="12.75" customHeight="1">
      <c r="A12" s="230">
        <f>IF(Score!A12="", "",Score!A12 )</f>
        <v>7</v>
      </c>
      <c r="B12" s="709"/>
      <c r="C12" s="710"/>
      <c r="D12" s="87"/>
      <c r="H12" s="230">
        <f>IF(Score!T12="", "",Score!T12 )</f>
        <v>7</v>
      </c>
      <c r="I12" s="709"/>
      <c r="J12" s="710"/>
      <c r="K12" s="87"/>
    </row>
    <row r="13" ht="12.75" customHeight="1">
      <c r="A13" s="242">
        <f>IF(Score!A13="", "",Score!A13 )</f>
        <v>8</v>
      </c>
      <c r="B13" s="711"/>
      <c r="C13" s="712"/>
      <c r="D13" s="87"/>
      <c r="H13" s="242">
        <f>IF(Score!T13="", "",Score!T13 )</f>
        <v>8</v>
      </c>
      <c r="I13" s="711"/>
      <c r="J13" s="712"/>
      <c r="K13" s="87"/>
    </row>
    <row r="14" ht="12.75" customHeight="1">
      <c r="A14" s="230">
        <f>IF(Score!A14="", "",Score!A14 )</f>
        <v>9</v>
      </c>
      <c r="B14" s="709"/>
      <c r="C14" s="710"/>
      <c r="D14" s="87"/>
      <c r="H14" s="230">
        <f>IF(Score!T14="", "",Score!T14 )</f>
        <v>9</v>
      </c>
      <c r="I14" s="709"/>
      <c r="J14" s="710"/>
      <c r="K14" s="87"/>
    </row>
    <row r="15" ht="12.75" customHeight="1">
      <c r="A15" s="242">
        <f>IF(Score!A15="", "",Score!A15 )</f>
        <v>10</v>
      </c>
      <c r="B15" s="711"/>
      <c r="C15" s="712"/>
      <c r="D15" s="87"/>
      <c r="H15" s="242">
        <f>IF(Score!T15="", "",Score!T15 )</f>
        <v>10</v>
      </c>
      <c r="I15" s="711"/>
      <c r="J15" s="712"/>
      <c r="K15" s="87"/>
    </row>
    <row r="16" ht="12.75" customHeight="1">
      <c r="A16" s="230" t="str">
        <f>IF(Score!A16="", "",Score!A16 )</f>
        <v>SP*</v>
      </c>
      <c r="B16" s="709"/>
      <c r="C16" s="710"/>
      <c r="D16" s="87"/>
      <c r="H16" s="230" t="str">
        <f>IF(Score!T16="", "",Score!T16 )</f>
        <v>SP</v>
      </c>
      <c r="I16" s="709"/>
      <c r="J16" s="710"/>
      <c r="K16" s="87"/>
    </row>
    <row r="17" ht="12.75" customHeight="1">
      <c r="A17" s="242">
        <f>IF(Score!A17="", "",Score!A17 )</f>
        <v>11</v>
      </c>
      <c r="B17" s="711"/>
      <c r="C17" s="712"/>
      <c r="D17" s="87"/>
      <c r="H17" s="242">
        <f>IF(Score!T17="", "",Score!T17 )</f>
        <v>11</v>
      </c>
      <c r="I17" s="711"/>
      <c r="J17" s="712"/>
      <c r="K17" s="87"/>
    </row>
    <row r="18" ht="12.75" customHeight="1">
      <c r="A18" s="230">
        <f>IF(Score!A18="", "",Score!A18 )</f>
        <v>12</v>
      </c>
      <c r="B18" s="709"/>
      <c r="C18" s="710"/>
      <c r="D18" s="87"/>
      <c r="H18" s="230">
        <f>IF(Score!T18="", "",Score!T18 )</f>
        <v>12</v>
      </c>
      <c r="I18" s="709"/>
      <c r="J18" s="710"/>
      <c r="K18" s="87"/>
    </row>
    <row r="19" ht="12.75" customHeight="1">
      <c r="A19" s="242">
        <f>IF(Score!A19="", "",Score!A19 )</f>
        <v>13</v>
      </c>
      <c r="B19" s="711"/>
      <c r="C19" s="712"/>
      <c r="D19" s="87"/>
      <c r="H19" s="242">
        <f>IF(Score!T19="", "",Score!T19 )</f>
        <v>13</v>
      </c>
      <c r="I19" s="711"/>
      <c r="J19" s="712"/>
      <c r="K19" s="87"/>
    </row>
    <row r="20" ht="12.75" customHeight="1">
      <c r="A20" s="230">
        <f>IF(Score!A20="", "",Score!A20 )</f>
        <v>14</v>
      </c>
      <c r="B20" s="709"/>
      <c r="C20" s="710"/>
      <c r="D20" s="87"/>
      <c r="H20" s="230">
        <f>IF(Score!T20="", "",Score!T20 )</f>
        <v>14</v>
      </c>
      <c r="I20" s="709"/>
      <c r="J20" s="710"/>
      <c r="K20" s="87"/>
    </row>
    <row r="21" ht="12.75" customHeight="1">
      <c r="A21" s="242" t="str">
        <f>IF(Score!A21="", "",Score!A21 )</f>
        <v>SP*</v>
      </c>
      <c r="B21" s="711"/>
      <c r="C21" s="712"/>
      <c r="D21" s="87"/>
      <c r="H21" s="242" t="str">
        <f>IF(Score!T21="", "",Score!T21 )</f>
        <v>SP</v>
      </c>
      <c r="I21" s="711"/>
      <c r="J21" s="712"/>
      <c r="K21" s="87"/>
    </row>
    <row r="22" ht="12.75" customHeight="1">
      <c r="A22" s="230">
        <f>IF(Score!A22="", "",Score!A22 )</f>
        <v>15</v>
      </c>
      <c r="B22" s="709"/>
      <c r="C22" s="710"/>
      <c r="D22" s="87"/>
      <c r="H22" s="230">
        <f>IF(Score!T22="", "",Score!T22 )</f>
        <v>15</v>
      </c>
      <c r="I22" s="709"/>
      <c r="J22" s="710"/>
      <c r="K22" s="87"/>
    </row>
    <row r="23" ht="12.75" customHeight="1">
      <c r="A23" s="242">
        <f>IF(Score!A23="", "",Score!A23 )</f>
        <v>16</v>
      </c>
      <c r="B23" s="711"/>
      <c r="C23" s="712"/>
      <c r="D23" s="87"/>
      <c r="H23" s="242">
        <f>IF(Score!T23="", "",Score!T23 )</f>
        <v>16</v>
      </c>
      <c r="I23" s="711"/>
      <c r="J23" s="712"/>
      <c r="K23" s="87"/>
    </row>
    <row r="24" ht="12.75" customHeight="1">
      <c r="A24" s="230" t="str">
        <f>IF(Score!A24="", "",Score!A24 )</f>
        <v>SP*</v>
      </c>
      <c r="B24" s="709"/>
      <c r="C24" s="710"/>
      <c r="D24" s="87"/>
      <c r="H24" s="230" t="str">
        <f>IF(Score!T24="", "",Score!T24 )</f>
        <v>SP</v>
      </c>
      <c r="I24" s="709"/>
      <c r="J24" s="710"/>
      <c r="K24" s="87"/>
    </row>
    <row r="25" ht="12.75" customHeight="1">
      <c r="A25" s="242">
        <f>IF(Score!A25="", "",Score!A25 )</f>
        <v>17</v>
      </c>
      <c r="B25" s="711"/>
      <c r="C25" s="712"/>
      <c r="D25" s="87"/>
      <c r="H25" s="242">
        <f>IF(Score!T25="", "",Score!T25 )</f>
        <v>17</v>
      </c>
      <c r="I25" s="711"/>
      <c r="J25" s="712"/>
      <c r="K25" s="87"/>
    </row>
    <row r="26" ht="12.75" customHeight="1">
      <c r="A26" s="230" t="str">
        <f>IF(Score!A26="", "",Score!A26 )</f>
        <v>SP*</v>
      </c>
      <c r="B26" s="709"/>
      <c r="C26" s="710"/>
      <c r="D26" s="87"/>
      <c r="H26" s="230" t="str">
        <f>IF(Score!T26="", "",Score!T26 )</f>
        <v>SP</v>
      </c>
      <c r="I26" s="709"/>
      <c r="J26" s="710"/>
      <c r="K26" s="87"/>
    </row>
    <row r="27" ht="12.75" customHeight="1">
      <c r="A27" s="242">
        <f>IF(Score!A27="", "",Score!A27 )</f>
        <v>18</v>
      </c>
      <c r="B27" s="711"/>
      <c r="C27" s="712"/>
      <c r="D27" s="87"/>
      <c r="H27" s="242">
        <f>IF(Score!T27="", "",Score!T27 )</f>
        <v>18</v>
      </c>
      <c r="I27" s="711"/>
      <c r="J27" s="712"/>
      <c r="K27" s="87"/>
    </row>
    <row r="28" ht="12.75" customHeight="1">
      <c r="A28" s="230">
        <f>IF(Score!A28="", "",Score!A28 )</f>
        <v>19</v>
      </c>
      <c r="B28" s="709"/>
      <c r="C28" s="710"/>
      <c r="D28" s="87"/>
      <c r="H28" s="230">
        <f>IF(Score!T28="", "",Score!T28 )</f>
        <v>19</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373</v>
      </c>
      <c r="B42" s="718">
        <f>SUM(B4:B41)</f>
        <v>0</v>
      </c>
      <c r="C42" s="719"/>
      <c r="D42" s="21"/>
      <c r="H42" s="717" t="str">
        <f>A42</f>
        <v>Period Offset</v>
      </c>
      <c r="I42" s="718">
        <f>SUM(I4:I41)</f>
        <v>0</v>
      </c>
      <c r="J42" s="719"/>
      <c r="K42" s="21"/>
    </row>
    <row r="43" ht="12.75" customHeight="1">
      <c r="A43" s="701" t="str">
        <f>A1</f>
        <v>Arizona Roller Derby / All Stars</v>
      </c>
      <c r="B43" s="684"/>
      <c r="C43" s="702">
        <f>IF(ISBLANK(IGRF!$B$7), "", IGRF!$B$7)</f>
        <v>45128</v>
      </c>
      <c r="D43" s="703">
        <v>2.0</v>
      </c>
      <c r="H43" s="701" t="str">
        <f>H1</f>
        <v>Elevated Roller Derby / Elevated Roller Derby All Stars</v>
      </c>
      <c r="I43" s="684"/>
      <c r="J43" s="702">
        <f>IF(ISBLANK(IGRF!$B$7), "", IGRF!$B$7)</f>
        <v>45128</v>
      </c>
      <c r="K43" s="703">
        <v>2.0</v>
      </c>
    </row>
    <row r="44" ht="13.5" customHeight="1">
      <c r="A44" s="157"/>
      <c r="B44" s="158"/>
      <c r="C44" s="704" t="s">
        <v>210</v>
      </c>
      <c r="D44" s="417"/>
      <c r="H44" s="157"/>
      <c r="I44" s="158"/>
      <c r="J44" s="704" t="s">
        <v>210</v>
      </c>
      <c r="K44" s="417"/>
    </row>
    <row r="45" ht="13.5" customHeight="1">
      <c r="A45" s="705" t="s">
        <v>288</v>
      </c>
      <c r="B45" s="706" t="s">
        <v>371</v>
      </c>
      <c r="C45" s="707" t="s">
        <v>372</v>
      </c>
      <c r="D45" s="708" t="str">
        <f>IF(ISBLANK(IGRF!$L$3), "", "GAME " &amp; IGRF!$L$3)</f>
        <v>GAME 03</v>
      </c>
      <c r="H45" s="705" t="s">
        <v>288</v>
      </c>
      <c r="I45" s="706" t="s">
        <v>371</v>
      </c>
      <c r="J45" s="707" t="s">
        <v>372</v>
      </c>
      <c r="K45" s="708" t="str">
        <f>IF(ISBLANK(IGRF!$L$3), "", "GAME " &amp; IGRF!$L$3)</f>
        <v>GAME 03</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t="str">
        <f>IF(Score!A49="", "",Score!A49 )</f>
        <v>SP*</v>
      </c>
      <c r="B49" s="711"/>
      <c r="C49" s="712"/>
      <c r="D49" s="87"/>
      <c r="H49" s="305" t="str">
        <f>IF(Score!T49="", "",Score!T49 )</f>
        <v>SP</v>
      </c>
      <c r="I49" s="711"/>
      <c r="J49" s="712"/>
      <c r="K49" s="87"/>
    </row>
    <row r="50" ht="12.75" customHeight="1">
      <c r="A50" s="230">
        <f>IF(Score!A50="", "",Score!A50 )</f>
        <v>4</v>
      </c>
      <c r="B50" s="709"/>
      <c r="C50" s="710"/>
      <c r="D50" s="87"/>
      <c r="H50" s="303">
        <f>IF(Score!T50="", "",Score!T50 )</f>
        <v>4</v>
      </c>
      <c r="I50" s="709"/>
      <c r="J50" s="710"/>
      <c r="K50" s="87"/>
    </row>
    <row r="51" ht="12.75" customHeight="1">
      <c r="A51" s="242">
        <f>IF(Score!A51="", "",Score!A51 )</f>
        <v>5</v>
      </c>
      <c r="B51" s="711"/>
      <c r="C51" s="712"/>
      <c r="D51" s="87"/>
      <c r="H51" s="305">
        <f>IF(Score!T51="", "",Score!T51 )</f>
        <v>5</v>
      </c>
      <c r="I51" s="711"/>
      <c r="J51" s="712"/>
      <c r="K51" s="87"/>
    </row>
    <row r="52" ht="12.75" customHeight="1">
      <c r="A52" s="230">
        <f>IF(Score!A52="", "",Score!A52 )</f>
        <v>6</v>
      </c>
      <c r="B52" s="709"/>
      <c r="C52" s="710"/>
      <c r="D52" s="87"/>
      <c r="H52" s="303">
        <f>IF(Score!T52="", "",Score!T52 )</f>
        <v>6</v>
      </c>
      <c r="I52" s="709"/>
      <c r="J52" s="710"/>
      <c r="K52" s="87"/>
    </row>
    <row r="53" ht="12.75" customHeight="1">
      <c r="A53" s="242" t="str">
        <f>IF(Score!A53="", "",Score!A53 )</f>
        <v>SP*</v>
      </c>
      <c r="B53" s="711"/>
      <c r="C53" s="712"/>
      <c r="D53" s="87"/>
      <c r="H53" s="305" t="str">
        <f>IF(Score!T53="", "",Score!T53 )</f>
        <v>SP</v>
      </c>
      <c r="I53" s="711"/>
      <c r="J53" s="712"/>
      <c r="K53" s="87"/>
    </row>
    <row r="54" ht="12.75" customHeight="1">
      <c r="A54" s="230">
        <f>IF(Score!A54="", "",Score!A54 )</f>
        <v>7</v>
      </c>
      <c r="B54" s="709"/>
      <c r="C54" s="710"/>
      <c r="D54" s="87"/>
      <c r="H54" s="303">
        <f>IF(Score!T54="", "",Score!T54 )</f>
        <v>7</v>
      </c>
      <c r="I54" s="709"/>
      <c r="J54" s="710"/>
      <c r="K54" s="87"/>
    </row>
    <row r="55" ht="12.75" customHeight="1">
      <c r="A55" s="242">
        <f>IF(Score!A55="", "",Score!A55 )</f>
        <v>8</v>
      </c>
      <c r="B55" s="711"/>
      <c r="C55" s="712"/>
      <c r="D55" s="87"/>
      <c r="H55" s="305">
        <f>IF(Score!T55="", "",Score!T55 )</f>
        <v>8</v>
      </c>
      <c r="I55" s="711"/>
      <c r="J55" s="712"/>
      <c r="K55" s="87"/>
    </row>
    <row r="56" ht="12.75" customHeight="1">
      <c r="A56" s="230">
        <f>IF(Score!A56="", "",Score!A56 )</f>
        <v>9</v>
      </c>
      <c r="B56" s="709"/>
      <c r="C56" s="710"/>
      <c r="D56" s="87"/>
      <c r="H56" s="303">
        <f>IF(Score!T56="", "",Score!T56 )</f>
        <v>9</v>
      </c>
      <c r="I56" s="709"/>
      <c r="J56" s="710"/>
      <c r="K56" s="87"/>
    </row>
    <row r="57" ht="12.75" customHeight="1">
      <c r="A57" s="242" t="str">
        <f>IF(Score!A57="", "",Score!A57 )</f>
        <v>SP*</v>
      </c>
      <c r="B57" s="711"/>
      <c r="C57" s="712"/>
      <c r="D57" s="87"/>
      <c r="H57" s="305" t="str">
        <f>IF(Score!T57="", "",Score!T57 )</f>
        <v>SP</v>
      </c>
      <c r="I57" s="711"/>
      <c r="J57" s="712"/>
      <c r="K57" s="87"/>
    </row>
    <row r="58" ht="12.75" customHeight="1">
      <c r="A58" s="230">
        <f>IF(Score!A58="", "",Score!A58 )</f>
        <v>10</v>
      </c>
      <c r="B58" s="709"/>
      <c r="C58" s="710"/>
      <c r="D58" s="87"/>
      <c r="H58" s="303">
        <f>IF(Score!T58="", "",Score!T58 )</f>
        <v>10</v>
      </c>
      <c r="I58" s="709"/>
      <c r="J58" s="710"/>
      <c r="K58" s="87"/>
    </row>
    <row r="59" ht="12.75" customHeight="1">
      <c r="A59" s="242">
        <f>IF(Score!A59="", "",Score!A59 )</f>
        <v>11</v>
      </c>
      <c r="B59" s="711"/>
      <c r="C59" s="712"/>
      <c r="D59" s="87"/>
      <c r="H59" s="305">
        <f>IF(Score!T59="", "",Score!T59 )</f>
        <v>11</v>
      </c>
      <c r="I59" s="711"/>
      <c r="J59" s="712"/>
      <c r="K59" s="87"/>
    </row>
    <row r="60" ht="12.75" customHeight="1">
      <c r="A60" s="230" t="str">
        <f>IF(Score!A60="", "",Score!A60 )</f>
        <v>SP*</v>
      </c>
      <c r="B60" s="709"/>
      <c r="C60" s="710"/>
      <c r="D60" s="87"/>
      <c r="H60" s="303" t="str">
        <f>IF(Score!T60="", "",Score!T60 )</f>
        <v>SP</v>
      </c>
      <c r="I60" s="709"/>
      <c r="J60" s="710"/>
      <c r="K60" s="87"/>
    </row>
    <row r="61" ht="12.75" customHeight="1">
      <c r="A61" s="242">
        <f>IF(Score!A61="", "",Score!A61 )</f>
        <v>12</v>
      </c>
      <c r="B61" s="711"/>
      <c r="C61" s="712"/>
      <c r="D61" s="87"/>
      <c r="H61" s="305">
        <f>IF(Score!T61="", "",Score!T61 )</f>
        <v>12</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13</v>
      </c>
      <c r="B63" s="711"/>
      <c r="C63" s="712"/>
      <c r="D63" s="87"/>
      <c r="H63" s="305">
        <f>IF(Score!T63="", "",Score!T63 )</f>
        <v>13</v>
      </c>
      <c r="I63" s="711"/>
      <c r="J63" s="712"/>
      <c r="K63" s="87"/>
    </row>
    <row r="64" ht="12.75" customHeight="1">
      <c r="A64" s="230">
        <f>IF(Score!A64="", "",Score!A64 )</f>
        <v>14</v>
      </c>
      <c r="B64" s="709"/>
      <c r="C64" s="710"/>
      <c r="D64" s="87"/>
      <c r="H64" s="303">
        <f>IF(Score!T64="", "",Score!T64 )</f>
        <v>14</v>
      </c>
      <c r="I64" s="709"/>
      <c r="J64" s="710"/>
      <c r="K64" s="87"/>
    </row>
    <row r="65" ht="12.75" customHeight="1">
      <c r="A65" s="242" t="str">
        <f>IF(Score!A65="", "",Score!A65 )</f>
        <v>SP*</v>
      </c>
      <c r="B65" s="711"/>
      <c r="C65" s="712"/>
      <c r="D65" s="87"/>
      <c r="H65" s="305" t="str">
        <f>IF(Score!T65="", "",Score!T65 )</f>
        <v>SP</v>
      </c>
      <c r="I65" s="711"/>
      <c r="J65" s="712"/>
      <c r="K65" s="87"/>
    </row>
    <row r="66" ht="12.75" customHeight="1">
      <c r="A66" s="230">
        <f>IF(Score!A66="", "",Score!A66 )</f>
        <v>15</v>
      </c>
      <c r="B66" s="709"/>
      <c r="C66" s="710"/>
      <c r="D66" s="87"/>
      <c r="H66" s="303">
        <f>IF(Score!T66="", "",Score!T66 )</f>
        <v>15</v>
      </c>
      <c r="I66" s="709"/>
      <c r="J66" s="710"/>
      <c r="K66" s="87"/>
    </row>
    <row r="67" ht="12.75" customHeight="1">
      <c r="A67" s="242">
        <f>IF(Score!A67="", "",Score!A67 )</f>
        <v>16</v>
      </c>
      <c r="B67" s="711"/>
      <c r="C67" s="712"/>
      <c r="D67" s="87"/>
      <c r="H67" s="305">
        <f>IF(Score!T67="", "",Score!T67 )</f>
        <v>16</v>
      </c>
      <c r="I67" s="711"/>
      <c r="J67" s="712"/>
      <c r="K67" s="87"/>
    </row>
    <row r="68" ht="12.75" customHeight="1">
      <c r="A68" s="230">
        <f>IF(Score!A68="", "",Score!A68 )</f>
        <v>17</v>
      </c>
      <c r="B68" s="709"/>
      <c r="C68" s="710"/>
      <c r="D68" s="87"/>
      <c r="H68" s="303">
        <f>IF(Score!T68="", "",Score!T68 )</f>
        <v>17</v>
      </c>
      <c r="I68" s="709"/>
      <c r="J68" s="710"/>
      <c r="K68" s="87"/>
    </row>
    <row r="69" ht="12.75" customHeight="1">
      <c r="A69" s="242" t="str">
        <f>IF(Score!A69="", "",Score!A69 )</f>
        <v>SP*</v>
      </c>
      <c r="B69" s="711"/>
      <c r="C69" s="712"/>
      <c r="D69" s="87"/>
      <c r="H69" s="305" t="str">
        <f>IF(Score!T69="", "",Score!T69 )</f>
        <v>SP</v>
      </c>
      <c r="I69" s="711"/>
      <c r="J69" s="712"/>
      <c r="K69" s="87"/>
    </row>
    <row r="70" ht="12.75" customHeight="1">
      <c r="A70" s="230">
        <f>IF(Score!A70="", "",Score!A70 )</f>
        <v>18</v>
      </c>
      <c r="B70" s="709"/>
      <c r="C70" s="710"/>
      <c r="D70" s="87"/>
      <c r="H70" s="303">
        <f>IF(Score!T70="", "",Score!T70 )</f>
        <v>18</v>
      </c>
      <c r="I70" s="709"/>
      <c r="J70" s="710"/>
      <c r="K70" s="87"/>
    </row>
    <row r="71" ht="12.75" customHeight="1">
      <c r="A71" s="242">
        <f>IF(Score!A71="", "",Score!A71 )</f>
        <v>19</v>
      </c>
      <c r="B71" s="711"/>
      <c r="C71" s="712"/>
      <c r="D71" s="87"/>
      <c r="H71" s="305">
        <f>IF(Score!T71="", "",Score!T71 )</f>
        <v>19</v>
      </c>
      <c r="I71" s="711"/>
      <c r="J71" s="712"/>
      <c r="K71" s="87"/>
    </row>
    <row r="72" ht="12.75" customHeight="1">
      <c r="A72" s="230">
        <f>IF(Score!A72="", "",Score!A72 )</f>
        <v>20</v>
      </c>
      <c r="B72" s="709"/>
      <c r="C72" s="710"/>
      <c r="D72" s="87"/>
      <c r="H72" s="303">
        <f>IF(Score!T72="", "",Score!T72 )</f>
        <v>20</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Arizona Roller Derby / All Stars</v>
      </c>
      <c r="B1" s="207"/>
      <c r="C1" s="207"/>
      <c r="D1" s="207"/>
      <c r="E1" s="207"/>
      <c r="F1" s="207"/>
      <c r="G1" s="208"/>
      <c r="H1" s="209" t="str">
        <f>IF(ISBLANK(IGRF!$B$12), "", IGRF!$B$12)</f>
        <v>White</v>
      </c>
      <c r="I1" s="153"/>
      <c r="J1" s="316">
        <f>IF(ISBLANK(IGRF!$B$7), "", IGRF!$B$7)</f>
        <v>45128</v>
      </c>
      <c r="K1" s="213"/>
      <c r="L1" s="211" t="s">
        <v>190</v>
      </c>
      <c r="M1" s="153"/>
      <c r="N1" s="153"/>
      <c r="O1" s="153"/>
      <c r="P1" s="153"/>
      <c r="Q1" s="153"/>
      <c r="R1" s="315" t="str">
        <f>Score!$T$1</f>
        <v>Elevated Roller Derby / Elevated Roller Derby All Stars</v>
      </c>
      <c r="S1" s="207"/>
      <c r="T1" s="207"/>
      <c r="U1" s="207"/>
      <c r="V1" s="207"/>
      <c r="W1" s="207"/>
      <c r="X1" s="208"/>
      <c r="Y1" s="209" t="str">
        <f>IF(ISBLANK(IGRF!$I$12), "", IGRF!$I$12)</f>
        <v>Black</v>
      </c>
      <c r="Z1" s="153"/>
      <c r="AA1" s="316">
        <f>IF(ISBLANK(IGRF!$B$7), "", IGRF!$B$7)</f>
        <v>45128</v>
      </c>
      <c r="AB1" s="213"/>
      <c r="AC1" s="211" t="s">
        <v>191</v>
      </c>
      <c r="AD1" s="153"/>
      <c r="AE1" s="153"/>
      <c r="AF1" s="153"/>
      <c r="AG1" s="153"/>
      <c r="AH1" s="153"/>
    </row>
    <row r="2" ht="11.25" customHeight="1">
      <c r="A2" s="216"/>
      <c r="B2" s="20"/>
      <c r="C2" s="20"/>
      <c r="D2" s="20"/>
      <c r="E2" s="20"/>
      <c r="F2" s="20"/>
      <c r="G2" s="158"/>
      <c r="H2" s="721" t="s">
        <v>209</v>
      </c>
      <c r="I2" s="71"/>
      <c r="J2" s="722" t="s">
        <v>210</v>
      </c>
      <c r="K2" s="72"/>
      <c r="L2" s="723" t="s">
        <v>189</v>
      </c>
      <c r="M2" s="149"/>
      <c r="N2" s="149"/>
      <c r="O2" s="149"/>
      <c r="P2" s="149"/>
      <c r="Q2" s="724" t="str">
        <f>IF(ISBLANK(IGRF!$L$3), "", "GAME " &amp; IGRF!$L$3)</f>
        <v>GAME 03</v>
      </c>
      <c r="R2" s="216"/>
      <c r="S2" s="20"/>
      <c r="T2" s="20"/>
      <c r="U2" s="20"/>
      <c r="V2" s="20"/>
      <c r="W2" s="20"/>
      <c r="X2" s="158"/>
      <c r="Y2" s="721" t="s">
        <v>209</v>
      </c>
      <c r="Z2" s="71"/>
      <c r="AA2" s="722" t="s">
        <v>210</v>
      </c>
      <c r="AB2" s="72"/>
      <c r="AC2" s="723" t="s">
        <v>189</v>
      </c>
      <c r="AD2" s="149"/>
      <c r="AE2" s="149"/>
      <c r="AF2" s="149"/>
      <c r="AG2" s="149"/>
      <c r="AH2" s="724" t="str">
        <f t="shared" ref="AH2:AH3" si="1">Q2</f>
        <v>GAME 03</v>
      </c>
    </row>
    <row r="3" ht="25.5" customHeight="1">
      <c r="A3" s="725" t="s">
        <v>374</v>
      </c>
      <c r="B3" s="726" t="s">
        <v>375</v>
      </c>
      <c r="C3" s="727" t="s">
        <v>376</v>
      </c>
      <c r="D3" s="726" t="s">
        <v>377</v>
      </c>
      <c r="E3" s="726" t="s">
        <v>378</v>
      </c>
      <c r="F3" s="726" t="s">
        <v>379</v>
      </c>
      <c r="G3" s="726" t="s">
        <v>380</v>
      </c>
      <c r="H3" s="726" t="s">
        <v>381</v>
      </c>
      <c r="I3" s="726" t="s">
        <v>382</v>
      </c>
      <c r="J3" s="728" t="s">
        <v>383</v>
      </c>
      <c r="K3" s="45"/>
      <c r="L3" s="46"/>
      <c r="M3" s="418"/>
      <c r="N3" s="729" t="s">
        <v>375</v>
      </c>
      <c r="O3" s="55"/>
      <c r="P3" s="418"/>
      <c r="Q3" s="730" t="s">
        <v>366</v>
      </c>
      <c r="R3" s="725" t="s">
        <v>374</v>
      </c>
      <c r="S3" s="726" t="s">
        <v>375</v>
      </c>
      <c r="T3" s="727" t="s">
        <v>376</v>
      </c>
      <c r="U3" s="726" t="s">
        <v>377</v>
      </c>
      <c r="V3" s="726" t="s">
        <v>378</v>
      </c>
      <c r="W3" s="726" t="s">
        <v>379</v>
      </c>
      <c r="X3" s="726" t="s">
        <v>380</v>
      </c>
      <c r="Y3" s="726" t="s">
        <v>381</v>
      </c>
      <c r="Z3" s="726" t="s">
        <v>382</v>
      </c>
      <c r="AA3" s="728" t="s">
        <v>383</v>
      </c>
      <c r="AB3" s="45"/>
      <c r="AC3" s="46"/>
      <c r="AD3" s="418"/>
      <c r="AE3" s="729" t="s">
        <v>375</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01</v>
      </c>
      <c r="R4" s="731"/>
      <c r="S4" s="732"/>
      <c r="T4" s="732"/>
      <c r="U4" s="733"/>
      <c r="V4" s="734"/>
      <c r="W4" s="733"/>
      <c r="X4" s="732"/>
      <c r="Y4" s="732"/>
      <c r="Z4" s="732"/>
      <c r="AA4" s="733"/>
      <c r="AB4" s="733"/>
      <c r="AC4" s="735"/>
      <c r="AD4" s="43"/>
      <c r="AE4" s="651">
        <v>1.0</v>
      </c>
      <c r="AF4" s="651">
        <f t="shared" ref="AF4:AF28" si="3">AE4</f>
        <v>1</v>
      </c>
      <c r="AG4" s="43"/>
      <c r="AH4" s="736" t="str">
        <f>IF(IGRF!I14="","",IGRF!I14)</f>
        <v>10*</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024</v>
      </c>
      <c r="R6" s="731"/>
      <c r="S6" s="732"/>
      <c r="T6" s="732"/>
      <c r="U6" s="733"/>
      <c r="V6" s="734"/>
      <c r="W6" s="733"/>
      <c r="X6" s="732"/>
      <c r="Y6" s="732"/>
      <c r="Z6" s="732"/>
      <c r="AA6" s="733"/>
      <c r="AB6" s="733"/>
      <c r="AC6" s="735"/>
      <c r="AD6" s="43"/>
      <c r="AE6" s="651">
        <f t="shared" si="5"/>
        <v>3</v>
      </c>
      <c r="AF6" s="651">
        <f t="shared" si="3"/>
        <v>3</v>
      </c>
      <c r="AG6" s="43"/>
      <c r="AH6" s="736" t="str">
        <f>IF(IGRF!I15="","",IGRF!I15)</f>
        <v>11</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10</v>
      </c>
      <c r="R8" s="731"/>
      <c r="S8" s="732"/>
      <c r="T8" s="732"/>
      <c r="U8" s="733"/>
      <c r="V8" s="734"/>
      <c r="W8" s="733"/>
      <c r="X8" s="732"/>
      <c r="Y8" s="732"/>
      <c r="Z8" s="732"/>
      <c r="AA8" s="733"/>
      <c r="AB8" s="733"/>
      <c r="AC8" s="735"/>
      <c r="AD8" s="43"/>
      <c r="AE8" s="651">
        <f t="shared" si="5"/>
        <v>5</v>
      </c>
      <c r="AF8" s="651">
        <f t="shared" si="3"/>
        <v>5</v>
      </c>
      <c r="AG8" s="43"/>
      <c r="AH8" s="736" t="str">
        <f>IF(IGRF!I16="","",IGRF!I16)</f>
        <v>120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16*</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13</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22*</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15</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24</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21*</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264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213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27*</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221</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28</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321</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313</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329</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3381</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410</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38</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47</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394</v>
      </c>
      <c r="R30" s="731"/>
      <c r="S30" s="732"/>
      <c r="T30" s="732"/>
      <c r="U30" s="733"/>
      <c r="V30" s="734"/>
      <c r="W30" s="733"/>
      <c r="X30" s="732"/>
      <c r="Y30" s="732"/>
      <c r="Z30" s="732"/>
      <c r="AA30" s="733"/>
      <c r="AB30" s="733"/>
      <c r="AC30" s="735"/>
      <c r="AD30" s="43"/>
      <c r="AE30" s="651">
        <v>27.0</v>
      </c>
      <c r="AF30" s="651">
        <v>27.0</v>
      </c>
      <c r="AG30" s="43"/>
      <c r="AH30" s="736" t="str">
        <f>IF(IGRF!I27="","",IGRF!I27)</f>
        <v>484*</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4</v>
      </c>
      <c r="R32" s="731"/>
      <c r="S32" s="732"/>
      <c r="T32" s="732"/>
      <c r="U32" s="733"/>
      <c r="V32" s="734"/>
      <c r="W32" s="733"/>
      <c r="X32" s="732"/>
      <c r="Y32" s="732"/>
      <c r="Z32" s="732"/>
      <c r="AA32" s="733"/>
      <c r="AB32" s="733"/>
      <c r="AC32" s="735"/>
      <c r="AD32" s="43"/>
      <c r="AE32" s="651">
        <v>29.0</v>
      </c>
      <c r="AF32" s="651">
        <v>29.0</v>
      </c>
      <c r="AG32" s="43"/>
      <c r="AH32" s="736" t="str">
        <f>IF(IGRF!I28="","",IGRF!I28)</f>
        <v>505</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602*</v>
      </c>
      <c r="R34" s="731"/>
      <c r="S34" s="732"/>
      <c r="T34" s="732"/>
      <c r="U34" s="733"/>
      <c r="V34" s="734"/>
      <c r="W34" s="733"/>
      <c r="X34" s="732"/>
      <c r="Y34" s="732"/>
      <c r="Z34" s="732"/>
      <c r="AA34" s="733"/>
      <c r="AB34" s="733"/>
      <c r="AC34" s="735"/>
      <c r="AD34" s="43"/>
      <c r="AE34" s="651">
        <v>31.0</v>
      </c>
      <c r="AF34" s="651">
        <v>31.0</v>
      </c>
      <c r="AG34" s="43"/>
      <c r="AH34" s="736" t="str">
        <f>IF(IGRF!I29="","",IGRF!I29)</f>
        <v>75*</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v>
      </c>
      <c r="R36" s="731"/>
      <c r="S36" s="732"/>
      <c r="T36" s="732"/>
      <c r="U36" s="733"/>
      <c r="V36" s="734"/>
      <c r="W36" s="733"/>
      <c r="X36" s="732"/>
      <c r="Y36" s="732"/>
      <c r="Z36" s="732"/>
      <c r="AA36" s="733"/>
      <c r="AB36" s="733"/>
      <c r="AC36" s="735"/>
      <c r="AD36" s="43"/>
      <c r="AE36" s="651">
        <v>33.0</v>
      </c>
      <c r="AF36" s="651">
        <v>33.0</v>
      </c>
      <c r="AG36" s="43"/>
      <c r="AH36" s="736" t="str">
        <f>IF(IGRF!I30="","",IGRF!I30)</f>
        <v>88</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76</v>
      </c>
      <c r="R38" s="731"/>
      <c r="S38" s="732"/>
      <c r="T38" s="732"/>
      <c r="U38" s="733"/>
      <c r="V38" s="734"/>
      <c r="W38" s="733"/>
      <c r="X38" s="732"/>
      <c r="Y38" s="732"/>
      <c r="Z38" s="732"/>
      <c r="AA38" s="733"/>
      <c r="AB38" s="733"/>
      <c r="AC38" s="735"/>
      <c r="AD38" s="43"/>
      <c r="AE38" s="651">
        <v>35.0</v>
      </c>
      <c r="AF38" s="651">
        <v>35.0</v>
      </c>
      <c r="AG38" s="43"/>
      <c r="AH38" s="736" t="str">
        <f>IF(IGRF!I31="","",IGRF!I31)</f>
        <v>9</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88</v>
      </c>
      <c r="R40" s="731"/>
      <c r="S40" s="732"/>
      <c r="T40" s="732"/>
      <c r="U40" s="733"/>
      <c r="V40" s="734"/>
      <c r="W40" s="733"/>
      <c r="X40" s="732"/>
      <c r="Y40" s="732"/>
      <c r="Z40" s="732"/>
      <c r="AA40" s="733"/>
      <c r="AB40" s="733"/>
      <c r="AC40" s="735"/>
      <c r="AD40" s="43"/>
      <c r="AE40" s="651">
        <v>37.0</v>
      </c>
      <c r="AF40" s="651">
        <v>37.0</v>
      </c>
      <c r="AG40" s="43"/>
      <c r="AH40" s="736" t="str">
        <f>IF(IGRF!I32="","",IGRF!I32)</f>
        <v>913*</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96*</v>
      </c>
      <c r="R42" s="731"/>
      <c r="S42" s="732"/>
      <c r="T42" s="732"/>
      <c r="U42" s="733"/>
      <c r="V42" s="734"/>
      <c r="W42" s="733"/>
      <c r="X42" s="732"/>
      <c r="Y42" s="732"/>
      <c r="Z42" s="732"/>
      <c r="AA42" s="733"/>
      <c r="AB42" s="733"/>
      <c r="AC42" s="735"/>
      <c r="AD42" s="43"/>
      <c r="AE42" s="418"/>
      <c r="AF42" s="418"/>
      <c r="AG42" s="43"/>
      <c r="AH42" s="736" t="str">
        <f>IF(IGRF!I33="","",IGRF!I33)</f>
        <v>999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Arizona Roller Derby / All Stars</v>
      </c>
      <c r="B44" s="207"/>
      <c r="C44" s="207"/>
      <c r="D44" s="207"/>
      <c r="E44" s="207"/>
      <c r="F44" s="207"/>
      <c r="G44" s="208"/>
      <c r="H44" s="209" t="str">
        <f>H1</f>
        <v>White</v>
      </c>
      <c r="I44" s="153"/>
      <c r="J44" s="316">
        <f>IF(ISBLANK(IGRF!$B$7), "", IGRF!$B$7)</f>
        <v>45128</v>
      </c>
      <c r="K44" s="213"/>
      <c r="L44" s="211" t="s">
        <v>190</v>
      </c>
      <c r="M44" s="153"/>
      <c r="N44" s="153"/>
      <c r="O44" s="153"/>
      <c r="P44" s="153"/>
      <c r="Q44" s="153"/>
      <c r="R44" s="315" t="str">
        <f>R1</f>
        <v>Elevated Roller Derby / Elevated Roller Derby All Stars</v>
      </c>
      <c r="S44" s="207"/>
      <c r="T44" s="207"/>
      <c r="U44" s="207"/>
      <c r="V44" s="207"/>
      <c r="W44" s="207"/>
      <c r="X44" s="208"/>
      <c r="Y44" s="209" t="str">
        <f>Y1</f>
        <v>Black</v>
      </c>
      <c r="Z44" s="153"/>
      <c r="AA44" s="316">
        <f>IF(ISBLANK(IGRF!$B$7), "", IGRF!$B$7)</f>
        <v>45128</v>
      </c>
      <c r="AB44" s="213"/>
      <c r="AC44" s="211" t="s">
        <v>191</v>
      </c>
      <c r="AD44" s="153"/>
      <c r="AE44" s="153"/>
      <c r="AF44" s="153"/>
      <c r="AG44" s="153"/>
      <c r="AH44" s="153"/>
    </row>
    <row r="45" ht="11.25" customHeight="1">
      <c r="A45" s="216"/>
      <c r="B45" s="20"/>
      <c r="C45" s="20"/>
      <c r="D45" s="20"/>
      <c r="E45" s="20"/>
      <c r="F45" s="20"/>
      <c r="G45" s="158"/>
      <c r="H45" s="747" t="s">
        <v>209</v>
      </c>
      <c r="I45" s="20"/>
      <c r="J45" s="748" t="s">
        <v>210</v>
      </c>
      <c r="K45" s="40"/>
      <c r="L45" s="723" t="s">
        <v>189</v>
      </c>
      <c r="M45" s="149"/>
      <c r="N45" s="149"/>
      <c r="O45" s="149"/>
      <c r="P45" s="149"/>
      <c r="Q45" s="724" t="str">
        <f t="shared" ref="Q45:Q47" si="6">Q2</f>
        <v>GAME 03</v>
      </c>
      <c r="R45" s="216"/>
      <c r="S45" s="20"/>
      <c r="T45" s="20"/>
      <c r="U45" s="20"/>
      <c r="V45" s="20"/>
      <c r="W45" s="20"/>
      <c r="X45" s="158"/>
      <c r="Y45" s="747" t="s">
        <v>209</v>
      </c>
      <c r="Z45" s="20"/>
      <c r="AA45" s="722" t="s">
        <v>210</v>
      </c>
      <c r="AB45" s="72"/>
      <c r="AC45" s="723" t="s">
        <v>189</v>
      </c>
      <c r="AD45" s="149"/>
      <c r="AE45" s="149"/>
      <c r="AF45" s="149"/>
      <c r="AG45" s="149"/>
      <c r="AH45" s="724" t="str">
        <f>Q2</f>
        <v>GAME 03</v>
      </c>
    </row>
    <row r="46" ht="25.5" customHeight="1">
      <c r="A46" s="725" t="s">
        <v>374</v>
      </c>
      <c r="B46" s="726" t="s">
        <v>375</v>
      </c>
      <c r="C46" s="727" t="s">
        <v>376</v>
      </c>
      <c r="D46" s="726" t="s">
        <v>377</v>
      </c>
      <c r="E46" s="726" t="s">
        <v>378</v>
      </c>
      <c r="F46" s="726" t="s">
        <v>379</v>
      </c>
      <c r="G46" s="726" t="s">
        <v>380</v>
      </c>
      <c r="H46" s="726" t="s">
        <v>381</v>
      </c>
      <c r="I46" s="726" t="s">
        <v>382</v>
      </c>
      <c r="J46" s="728" t="s">
        <v>383</v>
      </c>
      <c r="K46" s="45"/>
      <c r="L46" s="46"/>
      <c r="M46" s="418"/>
      <c r="N46" s="729" t="s">
        <v>375</v>
      </c>
      <c r="O46" s="55"/>
      <c r="P46" s="418"/>
      <c r="Q46" s="730" t="str">
        <f t="shared" si="6"/>
        <v>Total Penalties</v>
      </c>
      <c r="R46" s="725" t="s">
        <v>374</v>
      </c>
      <c r="S46" s="726" t="s">
        <v>375</v>
      </c>
      <c r="T46" s="727" t="s">
        <v>376</v>
      </c>
      <c r="U46" s="726" t="s">
        <v>377</v>
      </c>
      <c r="V46" s="726" t="s">
        <v>378</v>
      </c>
      <c r="W46" s="726" t="s">
        <v>379</v>
      </c>
      <c r="X46" s="726" t="s">
        <v>380</v>
      </c>
      <c r="Y46" s="726" t="s">
        <v>381</v>
      </c>
      <c r="Z46" s="726" t="s">
        <v>382</v>
      </c>
      <c r="AA46" s="728" t="s">
        <v>383</v>
      </c>
      <c r="AB46" s="45"/>
      <c r="AC46" s="46"/>
      <c r="AD46" s="418"/>
      <c r="AE46" s="729" t="s">
        <v>375</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01</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024</v>
      </c>
      <c r="R49" s="731"/>
      <c r="S49" s="732"/>
      <c r="T49" s="732"/>
      <c r="U49" s="733"/>
      <c r="V49" s="734"/>
      <c r="W49" s="733"/>
      <c r="X49" s="732"/>
      <c r="Y49" s="732"/>
      <c r="Z49" s="732"/>
      <c r="AA49" s="733"/>
      <c r="AB49" s="733"/>
      <c r="AC49" s="735"/>
      <c r="AD49" s="43"/>
      <c r="AE49" s="651">
        <f t="shared" si="11"/>
        <v>3</v>
      </c>
      <c r="AF49" s="651">
        <f t="shared" si="9"/>
        <v>3</v>
      </c>
      <c r="AG49" s="43"/>
      <c r="AH49" s="736" t="str">
        <f>AH6</f>
        <v>11</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10</v>
      </c>
      <c r="R51" s="731"/>
      <c r="S51" s="732"/>
      <c r="T51" s="732"/>
      <c r="U51" s="733"/>
      <c r="V51" s="734"/>
      <c r="W51" s="733"/>
      <c r="X51" s="732"/>
      <c r="Y51" s="732"/>
      <c r="Z51" s="732"/>
      <c r="AA51" s="733"/>
      <c r="AB51" s="733"/>
      <c r="AC51" s="735"/>
      <c r="AD51" s="43"/>
      <c r="AE51" s="651">
        <f t="shared" si="11"/>
        <v>5</v>
      </c>
      <c r="AF51" s="651">
        <f t="shared" si="9"/>
        <v>5</v>
      </c>
      <c r="AG51" s="43"/>
      <c r="AH51" s="736" t="str">
        <f>AH8</f>
        <v>120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16*</v>
      </c>
      <c r="R53" s="731"/>
      <c r="S53" s="732"/>
      <c r="T53" s="732"/>
      <c r="U53" s="733"/>
      <c r="V53" s="734"/>
      <c r="W53" s="733"/>
      <c r="X53" s="732"/>
      <c r="Y53" s="732"/>
      <c r="Z53" s="732"/>
      <c r="AA53" s="733"/>
      <c r="AB53" s="733"/>
      <c r="AC53" s="735"/>
      <c r="AD53" s="43"/>
      <c r="AE53" s="651">
        <f t="shared" si="11"/>
        <v>7</v>
      </c>
      <c r="AF53" s="651">
        <f t="shared" si="9"/>
        <v>7</v>
      </c>
      <c r="AG53" s="43"/>
      <c r="AH53" s="736" t="str">
        <f>AH10</f>
        <v>13</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22*</v>
      </c>
      <c r="R55" s="731"/>
      <c r="S55" s="732"/>
      <c r="T55" s="732"/>
      <c r="U55" s="733"/>
      <c r="V55" s="734"/>
      <c r="W55" s="733"/>
      <c r="X55" s="732"/>
      <c r="Y55" s="732"/>
      <c r="Z55" s="732"/>
      <c r="AA55" s="733"/>
      <c r="AB55" s="733"/>
      <c r="AC55" s="735"/>
      <c r="AD55" s="43"/>
      <c r="AE55" s="651">
        <f t="shared" si="11"/>
        <v>9</v>
      </c>
      <c r="AF55" s="651">
        <f t="shared" si="9"/>
        <v>9</v>
      </c>
      <c r="AG55" s="43"/>
      <c r="AH55" s="736" t="str">
        <f>AH12</f>
        <v>15</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24</v>
      </c>
      <c r="R57" s="731"/>
      <c r="S57" s="732"/>
      <c r="T57" s="732"/>
      <c r="U57" s="733"/>
      <c r="V57" s="734"/>
      <c r="W57" s="733"/>
      <c r="X57" s="732"/>
      <c r="Y57" s="732"/>
      <c r="Z57" s="732"/>
      <c r="AA57" s="733"/>
      <c r="AB57" s="733"/>
      <c r="AC57" s="735"/>
      <c r="AD57" s="43"/>
      <c r="AE57" s="651">
        <f t="shared" si="11"/>
        <v>11</v>
      </c>
      <c r="AF57" s="651">
        <f t="shared" si="9"/>
        <v>11</v>
      </c>
      <c r="AG57" s="43"/>
      <c r="AH57" s="736" t="str">
        <f>AH14</f>
        <v>21*</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264</v>
      </c>
      <c r="R59" s="731"/>
      <c r="S59" s="732"/>
      <c r="T59" s="732"/>
      <c r="U59" s="733"/>
      <c r="V59" s="734"/>
      <c r="W59" s="733"/>
      <c r="X59" s="732"/>
      <c r="Y59" s="732"/>
      <c r="Z59" s="732"/>
      <c r="AA59" s="733"/>
      <c r="AB59" s="733"/>
      <c r="AC59" s="735"/>
      <c r="AD59" s="43"/>
      <c r="AE59" s="651">
        <f t="shared" si="11"/>
        <v>13</v>
      </c>
      <c r="AF59" s="651">
        <f t="shared" si="9"/>
        <v>13</v>
      </c>
      <c r="AG59" s="43"/>
      <c r="AH59" s="736" t="str">
        <f>AH16</f>
        <v>213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27*</v>
      </c>
      <c r="R61" s="731"/>
      <c r="S61" s="732"/>
      <c r="T61" s="732"/>
      <c r="U61" s="733"/>
      <c r="V61" s="734"/>
      <c r="W61" s="733"/>
      <c r="X61" s="732"/>
      <c r="Y61" s="732"/>
      <c r="Z61" s="732"/>
      <c r="AA61" s="733"/>
      <c r="AB61" s="733"/>
      <c r="AC61" s="735"/>
      <c r="AD61" s="43"/>
      <c r="AE61" s="651">
        <f t="shared" si="11"/>
        <v>15</v>
      </c>
      <c r="AF61" s="651">
        <f t="shared" si="9"/>
        <v>15</v>
      </c>
      <c r="AG61" s="43"/>
      <c r="AH61" s="736" t="str">
        <f>AH18</f>
        <v>221</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v>
      </c>
      <c r="R63" s="731"/>
      <c r="S63" s="732"/>
      <c r="T63" s="732"/>
      <c r="U63" s="733"/>
      <c r="V63" s="734"/>
      <c r="W63" s="733"/>
      <c r="X63" s="732"/>
      <c r="Y63" s="732"/>
      <c r="Z63" s="732"/>
      <c r="AA63" s="733"/>
      <c r="AB63" s="733"/>
      <c r="AC63" s="735"/>
      <c r="AD63" s="43"/>
      <c r="AE63" s="651">
        <f t="shared" si="11"/>
        <v>17</v>
      </c>
      <c r="AF63" s="651">
        <f t="shared" si="9"/>
        <v>17</v>
      </c>
      <c r="AG63" s="43"/>
      <c r="AH63" s="736" t="str">
        <f>AH20</f>
        <v>28</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v>
      </c>
      <c r="R65" s="731"/>
      <c r="S65" s="732"/>
      <c r="T65" s="732"/>
      <c r="U65" s="733"/>
      <c r="V65" s="734"/>
      <c r="W65" s="733"/>
      <c r="X65" s="732"/>
      <c r="Y65" s="732"/>
      <c r="Z65" s="732"/>
      <c r="AA65" s="733"/>
      <c r="AB65" s="733"/>
      <c r="AC65" s="735"/>
      <c r="AD65" s="43"/>
      <c r="AE65" s="651">
        <f t="shared" si="11"/>
        <v>19</v>
      </c>
      <c r="AF65" s="651">
        <f t="shared" si="9"/>
        <v>19</v>
      </c>
      <c r="AG65" s="43"/>
      <c r="AH65" s="736" t="str">
        <f>AH22</f>
        <v>321</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313</v>
      </c>
      <c r="R67" s="731"/>
      <c r="S67" s="732"/>
      <c r="T67" s="732"/>
      <c r="U67" s="733"/>
      <c r="V67" s="734"/>
      <c r="W67" s="733"/>
      <c r="X67" s="732"/>
      <c r="Y67" s="732"/>
      <c r="Z67" s="732"/>
      <c r="AA67" s="733"/>
      <c r="AB67" s="733"/>
      <c r="AC67" s="735"/>
      <c r="AD67" s="43"/>
      <c r="AE67" s="651">
        <f t="shared" si="11"/>
        <v>21</v>
      </c>
      <c r="AF67" s="651">
        <f t="shared" si="9"/>
        <v>21</v>
      </c>
      <c r="AG67" s="43"/>
      <c r="AH67" s="736" t="str">
        <f>AH24</f>
        <v>329</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3381</v>
      </c>
      <c r="R69" s="731"/>
      <c r="S69" s="732"/>
      <c r="T69" s="732"/>
      <c r="U69" s="733"/>
      <c r="V69" s="734"/>
      <c r="W69" s="733"/>
      <c r="X69" s="732"/>
      <c r="Y69" s="732"/>
      <c r="Z69" s="732"/>
      <c r="AA69" s="733"/>
      <c r="AB69" s="733"/>
      <c r="AC69" s="735"/>
      <c r="AD69" s="43"/>
      <c r="AE69" s="651">
        <f t="shared" si="11"/>
        <v>23</v>
      </c>
      <c r="AF69" s="651">
        <f t="shared" si="9"/>
        <v>23</v>
      </c>
      <c r="AG69" s="43"/>
      <c r="AH69" s="736" t="str">
        <f>AH26</f>
        <v>410</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38</v>
      </c>
      <c r="R71" s="731"/>
      <c r="S71" s="732"/>
      <c r="T71" s="732"/>
      <c r="U71" s="733"/>
      <c r="V71" s="734"/>
      <c r="W71" s="733"/>
      <c r="X71" s="732"/>
      <c r="Y71" s="732"/>
      <c r="Z71" s="732"/>
      <c r="AA71" s="733"/>
      <c r="AB71" s="733"/>
      <c r="AC71" s="735"/>
      <c r="AD71" s="43"/>
      <c r="AE71" s="651">
        <f t="shared" si="11"/>
        <v>25</v>
      </c>
      <c r="AF71" s="651">
        <f t="shared" si="9"/>
        <v>25</v>
      </c>
      <c r="AG71" s="43"/>
      <c r="AH71" s="736" t="str">
        <f>AH28</f>
        <v>47</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394</v>
      </c>
      <c r="R73" s="731"/>
      <c r="S73" s="732"/>
      <c r="T73" s="732"/>
      <c r="U73" s="733"/>
      <c r="V73" s="734"/>
      <c r="W73" s="733"/>
      <c r="X73" s="732"/>
      <c r="Y73" s="732"/>
      <c r="Z73" s="732"/>
      <c r="AA73" s="733"/>
      <c r="AB73" s="733"/>
      <c r="AC73" s="735"/>
      <c r="AD73" s="43"/>
      <c r="AE73" s="651">
        <v>27.0</v>
      </c>
      <c r="AF73" s="651">
        <v>27.0</v>
      </c>
      <c r="AG73" s="43"/>
      <c r="AH73" s="736" t="str">
        <f>AH30</f>
        <v>484*</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4</v>
      </c>
      <c r="R75" s="731"/>
      <c r="S75" s="732"/>
      <c r="T75" s="732"/>
      <c r="U75" s="733"/>
      <c r="V75" s="734"/>
      <c r="W75" s="733"/>
      <c r="X75" s="732"/>
      <c r="Y75" s="732"/>
      <c r="Z75" s="732"/>
      <c r="AA75" s="733"/>
      <c r="AB75" s="733"/>
      <c r="AC75" s="735"/>
      <c r="AD75" s="43"/>
      <c r="AE75" s="651">
        <v>29.0</v>
      </c>
      <c r="AF75" s="651">
        <v>29.0</v>
      </c>
      <c r="AG75" s="43"/>
      <c r="AH75" s="736" t="str">
        <f>AH32</f>
        <v>505</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602*</v>
      </c>
      <c r="R77" s="731"/>
      <c r="S77" s="732"/>
      <c r="T77" s="732"/>
      <c r="U77" s="733"/>
      <c r="V77" s="734"/>
      <c r="W77" s="733"/>
      <c r="X77" s="732"/>
      <c r="Y77" s="732"/>
      <c r="Z77" s="732"/>
      <c r="AA77" s="733"/>
      <c r="AB77" s="733"/>
      <c r="AC77" s="735"/>
      <c r="AD77" s="43"/>
      <c r="AE77" s="651">
        <v>31.0</v>
      </c>
      <c r="AF77" s="651">
        <v>31.0</v>
      </c>
      <c r="AG77" s="43"/>
      <c r="AH77" s="736" t="str">
        <f>AH34</f>
        <v>75*</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v>
      </c>
      <c r="R79" s="731"/>
      <c r="S79" s="732"/>
      <c r="T79" s="732"/>
      <c r="U79" s="733"/>
      <c r="V79" s="734"/>
      <c r="W79" s="733"/>
      <c r="X79" s="732"/>
      <c r="Y79" s="732"/>
      <c r="Z79" s="732"/>
      <c r="AA79" s="733"/>
      <c r="AB79" s="733"/>
      <c r="AC79" s="735"/>
      <c r="AD79" s="43"/>
      <c r="AE79" s="651">
        <v>33.0</v>
      </c>
      <c r="AF79" s="651">
        <v>33.0</v>
      </c>
      <c r="AG79" s="43"/>
      <c r="AH79" s="736" t="str">
        <f>AH36</f>
        <v>88</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76</v>
      </c>
      <c r="R81" s="731"/>
      <c r="S81" s="732"/>
      <c r="T81" s="732"/>
      <c r="U81" s="733"/>
      <c r="V81" s="734"/>
      <c r="W81" s="733"/>
      <c r="X81" s="732"/>
      <c r="Y81" s="732"/>
      <c r="Z81" s="732"/>
      <c r="AA81" s="733"/>
      <c r="AB81" s="733"/>
      <c r="AC81" s="735"/>
      <c r="AD81" s="43"/>
      <c r="AE81" s="651">
        <v>35.0</v>
      </c>
      <c r="AF81" s="651">
        <v>35.0</v>
      </c>
      <c r="AG81" s="43"/>
      <c r="AH81" s="736" t="str">
        <f>AH38</f>
        <v>9</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88</v>
      </c>
      <c r="R83" s="731"/>
      <c r="S83" s="732"/>
      <c r="T83" s="732"/>
      <c r="U83" s="733"/>
      <c r="V83" s="734"/>
      <c r="W83" s="733"/>
      <c r="X83" s="732"/>
      <c r="Y83" s="732"/>
      <c r="Z83" s="732"/>
      <c r="AA83" s="733"/>
      <c r="AB83" s="733"/>
      <c r="AC83" s="735"/>
      <c r="AD83" s="43"/>
      <c r="AE83" s="651">
        <v>37.0</v>
      </c>
      <c r="AF83" s="651">
        <v>37.0</v>
      </c>
      <c r="AG83" s="43"/>
      <c r="AH83" s="736" t="str">
        <f>AH40</f>
        <v>913*</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96*</v>
      </c>
      <c r="R85" s="731"/>
      <c r="S85" s="732"/>
      <c r="T85" s="732"/>
      <c r="U85" s="733"/>
      <c r="V85" s="734"/>
      <c r="W85" s="733"/>
      <c r="X85" s="732"/>
      <c r="Y85" s="732"/>
      <c r="Z85" s="732"/>
      <c r="AA85" s="733"/>
      <c r="AB85" s="733"/>
      <c r="AC85" s="735"/>
      <c r="AD85" s="43"/>
      <c r="AE85" s="418"/>
      <c r="AF85" s="418"/>
      <c r="AG85" s="43"/>
      <c r="AH85" s="736" t="str">
        <f>AH42</f>
        <v>999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White</v>
      </c>
      <c r="C1" s="347"/>
      <c r="D1" s="752"/>
      <c r="E1" s="750"/>
      <c r="F1" s="751" t="str">
        <f>IF(ISBLANK(IGRF!$I$12), "", IGRF!$I$12)</f>
        <v>Black</v>
      </c>
      <c r="G1" s="347"/>
      <c r="H1" s="752"/>
      <c r="I1" s="753"/>
      <c r="J1" s="754" t="str">
        <f>IF(IGRF!L3="","","Game "&amp;IGRF!L3&amp;"  "&amp;TEXT(IGRF!B7,"dddd")&amp;" @ "&amp;TEXT(IGRF!I7,"hh:mm AM/PM"))</f>
        <v>Game 03  Friday @ 02:45 PM</v>
      </c>
      <c r="L1" s="753"/>
      <c r="M1" s="753"/>
      <c r="N1" s="753"/>
      <c r="O1" s="753"/>
      <c r="P1" s="753"/>
      <c r="Q1" s="753"/>
      <c r="R1" s="753"/>
      <c r="S1" s="753"/>
      <c r="T1" s="753"/>
      <c r="U1" s="753"/>
      <c r="V1" s="753"/>
      <c r="W1" s="753"/>
      <c r="X1" s="753"/>
      <c r="Y1" s="753"/>
      <c r="Z1" s="753"/>
    </row>
    <row r="2" ht="21.0" customHeight="1">
      <c r="A2" s="755"/>
      <c r="B2" s="756" t="str">
        <f>Score!$A$1</f>
        <v>Arizona Roller Derby / All Stars</v>
      </c>
      <c r="D2" s="757"/>
      <c r="E2" s="755"/>
      <c r="F2" s="756" t="str">
        <f>Score!$T$1</f>
        <v>Elevated Roller Derby / Elevated Roller Derby All Stars</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384</v>
      </c>
      <c r="L3" s="753"/>
      <c r="M3" s="753"/>
      <c r="N3" s="753"/>
      <c r="O3" s="753"/>
      <c r="P3" s="753"/>
      <c r="Q3" s="753"/>
      <c r="R3" s="753"/>
      <c r="S3" s="753"/>
      <c r="T3" s="753"/>
      <c r="U3" s="753"/>
      <c r="V3" s="753"/>
      <c r="W3" s="753"/>
      <c r="X3" s="753"/>
      <c r="Y3" s="753"/>
      <c r="Z3" s="753"/>
    </row>
    <row r="4" ht="22.5" customHeight="1">
      <c r="A4" s="755"/>
      <c r="B4" s="759" t="str">
        <f>IF(ISBLANK(IGRF!B14),"",IGRF!B14)</f>
        <v>01</v>
      </c>
      <c r="C4" s="760" t="str">
        <f>IF(ISBLANK(IGRF!C14),"",IGRF!C14)</f>
        <v>Goldy Knocks</v>
      </c>
      <c r="D4" s="757"/>
      <c r="E4" s="755"/>
      <c r="F4" s="759" t="str">
        <f>IF(ISBLANK(IGRF!I14),"",IGRF!I14)</f>
        <v>10*</v>
      </c>
      <c r="G4" s="760" t="str">
        <f>IF(ISBLANK(IGRF!J14),"",IGRF!J14)</f>
        <v>BAMPF!</v>
      </c>
      <c r="H4" s="757"/>
      <c r="I4" s="753"/>
      <c r="J4" s="760" t="str">
        <f>IF(ISBLANK(IGRF!C60), "", IGRF!C60)</f>
        <v>RoSLAMbo</v>
      </c>
      <c r="K4" s="760" t="str">
        <f>IF(ISBLANK(IGRF!C80), "", IGRF!C80)</f>
        <v>sNo</v>
      </c>
      <c r="L4" s="753"/>
      <c r="M4" s="753"/>
      <c r="N4" s="753"/>
      <c r="O4" s="753"/>
      <c r="P4" s="753"/>
      <c r="Q4" s="753"/>
      <c r="R4" s="753"/>
      <c r="S4" s="753"/>
      <c r="T4" s="753"/>
      <c r="U4" s="753"/>
      <c r="V4" s="753"/>
      <c r="W4" s="753"/>
      <c r="X4" s="753"/>
      <c r="Y4" s="753"/>
      <c r="Z4" s="753"/>
    </row>
    <row r="5" ht="22.5" customHeight="1">
      <c r="A5" s="755"/>
      <c r="B5" s="759" t="str">
        <f>IF(ISBLANK(IGRF!B15),"",IGRF!B15)</f>
        <v>024</v>
      </c>
      <c r="C5" s="760" t="str">
        <f>IF(ISBLANK(IGRF!C15),"",IGRF!C15)</f>
        <v>Cutty</v>
      </c>
      <c r="D5" s="757"/>
      <c r="E5" s="755"/>
      <c r="F5" s="759" t="str">
        <f>IF(ISBLANK(IGRF!I15),"",IGRF!I15)</f>
        <v>11</v>
      </c>
      <c r="G5" s="760" t="str">
        <f>IF(ISBLANK(IGRF!J15),"",IGRF!J15)</f>
        <v>Killer Queen</v>
      </c>
      <c r="H5" s="757"/>
      <c r="I5" s="753"/>
      <c r="J5" s="760" t="str">
        <f>IF(ISBLANK(IGRF!C61), "", IGRF!C61)</f>
        <v>Flourish</v>
      </c>
      <c r="K5" s="760" t="str">
        <f>IF(ISBLANK(IGRF!C81), "", IGRF!C81)</f>
        <v>Bambi Lance</v>
      </c>
      <c r="L5" s="753"/>
      <c r="M5" s="753"/>
      <c r="N5" s="753"/>
      <c r="O5" s="753"/>
      <c r="P5" s="753"/>
      <c r="Q5" s="753"/>
      <c r="R5" s="753"/>
      <c r="S5" s="753"/>
      <c r="T5" s="753"/>
      <c r="U5" s="753"/>
      <c r="V5" s="753"/>
      <c r="W5" s="753"/>
      <c r="X5" s="753"/>
      <c r="Y5" s="753"/>
      <c r="Z5" s="753"/>
    </row>
    <row r="6" ht="22.5" customHeight="1">
      <c r="A6" s="755"/>
      <c r="B6" s="759" t="str">
        <f>IF(ISBLANK(IGRF!B16),"",IGRF!B16)</f>
        <v>10</v>
      </c>
      <c r="C6" s="760" t="str">
        <f>IF(ISBLANK(IGRF!C16),"",IGRF!C16)</f>
        <v>Frida</v>
      </c>
      <c r="D6" s="757"/>
      <c r="E6" s="755"/>
      <c r="F6" s="759" t="str">
        <f>IF(ISBLANK(IGRF!I16),"",IGRF!I16)</f>
        <v>120</v>
      </c>
      <c r="G6" s="760" t="str">
        <f>IF(ISBLANK(IGRF!J16),"",IGRF!J16)</f>
        <v>Nikki Nail 'er</v>
      </c>
      <c r="H6" s="757"/>
      <c r="I6" s="753"/>
      <c r="J6" s="760" t="str">
        <f>IF(ISBLANK(IGRF!C62), "", IGRF!C62)</f>
        <v>RoSLAMbo</v>
      </c>
      <c r="K6" s="760" t="str">
        <f>IF(ISBLANK(IGRF!C82), "", IGRF!C82)</f>
        <v>Don Scoreleone</v>
      </c>
      <c r="L6" s="753"/>
      <c r="M6" s="753"/>
      <c r="N6" s="753"/>
      <c r="O6" s="753"/>
      <c r="P6" s="753"/>
      <c r="Q6" s="753"/>
      <c r="R6" s="753"/>
      <c r="S6" s="753"/>
      <c r="T6" s="753"/>
      <c r="U6" s="753"/>
      <c r="V6" s="753"/>
      <c r="W6" s="753"/>
      <c r="X6" s="753"/>
      <c r="Y6" s="753"/>
      <c r="Z6" s="753"/>
    </row>
    <row r="7" ht="22.5" customHeight="1">
      <c r="A7" s="755"/>
      <c r="B7" s="759" t="str">
        <f>IF(ISBLANK(IGRF!B17),"",IGRF!B17)</f>
        <v>16*</v>
      </c>
      <c r="C7" s="760" t="str">
        <f>IF(ISBLANK(IGRF!C17),"",IGRF!C17)</f>
        <v>Just Monroe</v>
      </c>
      <c r="D7" s="757"/>
      <c r="E7" s="755"/>
      <c r="F7" s="759" t="str">
        <f>IF(ISBLANK(IGRF!I17),"",IGRF!I17)</f>
        <v>13</v>
      </c>
      <c r="G7" s="760" t="str">
        <f>IF(ISBLANK(IGRF!J17),"",IGRF!J17)</f>
        <v>Libido Loca</v>
      </c>
      <c r="H7" s="757"/>
      <c r="I7" s="753"/>
      <c r="J7" s="760" t="str">
        <f>IF(ISBLANK(IGRF!C63), "", IGRF!C63)</f>
        <v>Rex Blocker</v>
      </c>
      <c r="K7" s="760" t="str">
        <f>IF(ISBLANK(IGRF!C83), "", IGRF!C83)</f>
        <v>Adam Smasher</v>
      </c>
      <c r="L7" s="753"/>
      <c r="M7" s="753"/>
      <c r="N7" s="753"/>
      <c r="O7" s="753"/>
      <c r="P7" s="753"/>
      <c r="Q7" s="753"/>
      <c r="R7" s="753"/>
      <c r="S7" s="753"/>
      <c r="T7" s="753"/>
      <c r="U7" s="753"/>
      <c r="V7" s="753"/>
      <c r="W7" s="753"/>
      <c r="X7" s="753"/>
      <c r="Y7" s="753"/>
      <c r="Z7" s="753"/>
    </row>
    <row r="8" ht="22.5" customHeight="1">
      <c r="A8" s="755"/>
      <c r="B8" s="759" t="str">
        <f>IF(ISBLANK(IGRF!B18),"",IGRF!B18)</f>
        <v>22*</v>
      </c>
      <c r="C8" s="760" t="str">
        <f>IF(ISBLANK(IGRF!C18),"",IGRF!C18)</f>
        <v>Meche</v>
      </c>
      <c r="D8" s="757"/>
      <c r="E8" s="755"/>
      <c r="F8" s="759" t="str">
        <f>IF(ISBLANK(IGRF!I18),"",IGRF!I18)</f>
        <v>15</v>
      </c>
      <c r="G8" s="760" t="str">
        <f>IF(ISBLANK(IGRF!J18),"",IGRF!J18)</f>
        <v>Harley Darlin</v>
      </c>
      <c r="H8" s="757"/>
      <c r="I8" s="753"/>
      <c r="J8" s="760" t="str">
        <f>IF(ISBLANK(IGRF!C64), "", IGRF!C64)</f>
        <v>DackinaBox</v>
      </c>
      <c r="K8" s="760" t="str">
        <f>IF(ISBLANK(IGRF!C84), "", IGRF!C84)</f>
        <v>Ph. Demon</v>
      </c>
      <c r="L8" s="753"/>
      <c r="M8" s="753"/>
      <c r="N8" s="753"/>
      <c r="O8" s="753"/>
      <c r="P8" s="753"/>
      <c r="Q8" s="753"/>
      <c r="R8" s="753"/>
      <c r="S8" s="753"/>
      <c r="T8" s="753"/>
      <c r="U8" s="753"/>
      <c r="V8" s="753"/>
      <c r="W8" s="753"/>
      <c r="X8" s="753"/>
      <c r="Y8" s="753"/>
      <c r="Z8" s="753"/>
    </row>
    <row r="9" ht="22.5" customHeight="1">
      <c r="A9" s="755"/>
      <c r="B9" s="759" t="str">
        <f>IF(ISBLANK(IGRF!B19),"",IGRF!B19)</f>
        <v>24</v>
      </c>
      <c r="C9" s="760" t="str">
        <f>IF(ISBLANK(IGRF!C19),"",IGRF!C19)</f>
        <v>Ima BlowBya</v>
      </c>
      <c r="D9" s="757"/>
      <c r="E9" s="755"/>
      <c r="F9" s="759" t="str">
        <f>IF(ISBLANK(IGRF!I19),"",IGRF!I19)</f>
        <v>21*</v>
      </c>
      <c r="G9" s="760" t="str">
        <f>IF(ISBLANK(IGRF!J19),"",IGRF!J19)</f>
        <v>Agatha KrisB</v>
      </c>
      <c r="H9" s="757"/>
      <c r="I9" s="753"/>
      <c r="J9" s="760" t="str">
        <f>IF(ISBLANK(IGRF!C65), "", IGRF!C65)</f>
        <v>Whoopzie Dazey</v>
      </c>
      <c r="K9" s="760" t="str">
        <f>IF(ISBLANK(IGRF!C85), "", IGRF!C85)</f>
        <v>h8-bit</v>
      </c>
      <c r="L9" s="753"/>
      <c r="M9" s="753"/>
      <c r="N9" s="753"/>
      <c r="O9" s="753"/>
      <c r="P9" s="753"/>
      <c r="Q9" s="753"/>
      <c r="R9" s="753"/>
      <c r="S9" s="753"/>
      <c r="T9" s="753"/>
      <c r="U9" s="753"/>
      <c r="V9" s="753"/>
      <c r="W9" s="753"/>
      <c r="X9" s="753"/>
      <c r="Y9" s="753"/>
      <c r="Z9" s="753"/>
    </row>
    <row r="10" ht="22.5" customHeight="1">
      <c r="A10" s="755"/>
      <c r="B10" s="759" t="str">
        <f>IF(ISBLANK(IGRF!B20),"",IGRF!B20)</f>
        <v>264</v>
      </c>
      <c r="C10" s="760" t="str">
        <f>IF(ISBLANK(IGRF!C20),"",IGRF!C20)</f>
        <v>Velasco Sauce</v>
      </c>
      <c r="D10" s="757"/>
      <c r="E10" s="755"/>
      <c r="F10" s="759" t="str">
        <f>IF(ISBLANK(IGRF!I20),"",IGRF!I20)</f>
        <v>213</v>
      </c>
      <c r="G10" s="760" t="str">
        <f>IF(ISBLANK(IGRF!J20),"",IGRF!J20)</f>
        <v>IceBox</v>
      </c>
      <c r="H10" s="757"/>
      <c r="I10" s="753"/>
      <c r="J10" s="760" t="str">
        <f>IF(ISBLANK(IGRF!C66), "", IGRF!C66)</f>
        <v>Saradactyl</v>
      </c>
      <c r="K10" s="760" t="str">
        <f>IF(ISBLANK(IGRF!C86), "", IGRF!C86)</f>
        <v>Jonny Demonic</v>
      </c>
      <c r="L10" s="753"/>
      <c r="M10" s="753"/>
      <c r="N10" s="753"/>
      <c r="O10" s="753"/>
      <c r="P10" s="753"/>
      <c r="Q10" s="753"/>
      <c r="R10" s="753"/>
      <c r="S10" s="753"/>
      <c r="T10" s="753"/>
      <c r="U10" s="753"/>
      <c r="V10" s="753"/>
      <c r="W10" s="753"/>
      <c r="X10" s="753"/>
      <c r="Y10" s="753"/>
      <c r="Z10" s="753"/>
    </row>
    <row r="11" ht="22.5" customHeight="1">
      <c r="A11" s="755"/>
      <c r="B11" s="759" t="str">
        <f>IF(ISBLANK(IGRF!B21),"",IGRF!B21)</f>
        <v>27*</v>
      </c>
      <c r="C11" s="760" t="str">
        <f>IF(ISBLANK(IGRF!C21),"",IGRF!C21)</f>
        <v>Babethoven</v>
      </c>
      <c r="D11" s="757"/>
      <c r="E11" s="755"/>
      <c r="F11" s="759" t="str">
        <f>IF(ISBLANK(IGRF!I21),"",IGRF!I21)</f>
        <v>221</v>
      </c>
      <c r="G11" s="760" t="str">
        <f>IF(ISBLANK(IGRF!J21),"",IGRF!J21)</f>
        <v>Syann</v>
      </c>
      <c r="H11" s="757"/>
      <c r="I11" s="753"/>
      <c r="J11" s="760" t="str">
        <f>IF(ISBLANK(IGRF!C67), "", IGRF!C67)</f>
        <v>Heads Will Roll</v>
      </c>
      <c r="K11" s="760" t="str">
        <f>IF(ISBLANK(IGRF!C87), "", IGRF!C87)</f>
        <v>Fighting Girlfriend</v>
      </c>
      <c r="L11" s="753"/>
      <c r="M11" s="753"/>
      <c r="N11" s="753"/>
      <c r="O11" s="753"/>
      <c r="P11" s="753"/>
      <c r="Q11" s="753"/>
      <c r="R11" s="753"/>
      <c r="S11" s="753"/>
      <c r="T11" s="753"/>
      <c r="U11" s="753"/>
      <c r="V11" s="753"/>
      <c r="W11" s="753"/>
      <c r="X11" s="753"/>
      <c r="Y11" s="753"/>
      <c r="Z11" s="753"/>
    </row>
    <row r="12" ht="22.5" customHeight="1">
      <c r="A12" s="755"/>
      <c r="B12" s="759" t="str">
        <f>IF(ISBLANK(IGRF!B22),"",IGRF!B22)</f>
        <v>3</v>
      </c>
      <c r="C12" s="760" t="str">
        <f>IF(ISBLANK(IGRF!C22),"",IGRF!C22)</f>
        <v>Alexia</v>
      </c>
      <c r="D12" s="757"/>
      <c r="E12" s="755"/>
      <c r="F12" s="759" t="str">
        <f>IF(ISBLANK(IGRF!I22),"",IGRF!I22)</f>
        <v>28</v>
      </c>
      <c r="G12" s="760" t="str">
        <f>IF(ISBLANK(IGRF!J22),"",IGRF!J22)</f>
        <v>Hot Box</v>
      </c>
      <c r="H12" s="757"/>
      <c r="I12" s="753"/>
      <c r="J12" s="760" t="str">
        <f>IF(ISBLANK(IGRF!C68), "", IGRF!C68)</f>
        <v>Snarkimedes</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v>
      </c>
      <c r="C13" s="760" t="str">
        <f>IF(ISBLANK(IGRF!C23),"",IGRF!C23)</f>
        <v>2x Force</v>
      </c>
      <c r="D13" s="757"/>
      <c r="E13" s="755"/>
      <c r="F13" s="759" t="str">
        <f>IF(ISBLANK(IGRF!I23),"",IGRF!I23)</f>
        <v>321</v>
      </c>
      <c r="G13" s="760" t="str">
        <f>IF(ISBLANK(IGRF!J23),"",IGRF!J23)</f>
        <v>Rockit</v>
      </c>
      <c r="H13" s="757"/>
      <c r="I13" s="753"/>
      <c r="J13" s="760" t="str">
        <f>IF(ISBLANK(IGRF!C69), "", IGRF!C69)</f>
        <v>UltraViolent Blu</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313</v>
      </c>
      <c r="C14" s="760" t="str">
        <f>IF(ISBLANK(IGRF!C24),"",IGRF!C24)</f>
        <v>WestCoast MaFia</v>
      </c>
      <c r="D14" s="757"/>
      <c r="E14" s="755"/>
      <c r="F14" s="759" t="str">
        <f>IF(ISBLANK(IGRF!I24),"",IGRF!I24)</f>
        <v>329</v>
      </c>
      <c r="G14" s="760" t="str">
        <f>IF(ISBLANK(IGRF!J24),"",IGRF!J24)</f>
        <v>Triple Axel Rose</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3381</v>
      </c>
      <c r="C15" s="760" t="str">
        <f>IF(ISBLANK(IGRF!C25),"",IGRF!C25)</f>
        <v>Hella Naughty</v>
      </c>
      <c r="D15" s="757"/>
      <c r="E15" s="755"/>
      <c r="F15" s="759" t="str">
        <f>IF(ISBLANK(IGRF!I25),"",IGRF!I25)</f>
        <v>410</v>
      </c>
      <c r="G15" s="760" t="str">
        <f>IF(ISBLANK(IGRF!J25),"",IGRF!J25)</f>
        <v>Ricketts</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38</v>
      </c>
      <c r="C16" s="760" t="str">
        <f>IF(ISBLANK(IGRF!C26),"",IGRF!C26)</f>
        <v>Colette Razorcat</v>
      </c>
      <c r="D16" s="757"/>
      <c r="E16" s="755"/>
      <c r="F16" s="759" t="str">
        <f>IF(ISBLANK(IGRF!I26),"",IGRF!I26)</f>
        <v>47</v>
      </c>
      <c r="G16" s="760" t="str">
        <f>IF(ISBLANK(IGRF!J26),"",IGRF!J26)</f>
        <v>Author of Pain</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394</v>
      </c>
      <c r="C17" s="760" t="str">
        <f>IF(ISBLANK(IGRF!C27),"",IGRF!C27)</f>
        <v>Punkie Pie</v>
      </c>
      <c r="D17" s="757"/>
      <c r="E17" s="755"/>
      <c r="F17" s="759" t="str">
        <f>IF(ISBLANK(IGRF!I27),"",IGRF!I27)</f>
        <v>484*</v>
      </c>
      <c r="G17" s="760" t="str">
        <f>IF(ISBLANK(IGRF!J27),"",IGRF!J27)</f>
        <v>Gemineye</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4</v>
      </c>
      <c r="C18" s="760" t="str">
        <f>IF(ISBLANK(IGRF!C28),"",IGRF!C28)</f>
        <v>Sure, man</v>
      </c>
      <c r="D18" s="757"/>
      <c r="E18" s="755"/>
      <c r="F18" s="759" t="str">
        <f>IF(ISBLANK(IGRF!I28),"",IGRF!I28)</f>
        <v>505</v>
      </c>
      <c r="G18" s="760" t="str">
        <f>IF(ISBLANK(IGRF!J28),"",IGRF!J28)</f>
        <v>Swearin' Marie</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602*</v>
      </c>
      <c r="C19" s="760" t="str">
        <f>IF(ISBLANK(IGRF!C29),"",IGRF!C29)</f>
        <v>Feen-X</v>
      </c>
      <c r="D19" s="757"/>
      <c r="E19" s="755"/>
      <c r="F19" s="759" t="str">
        <f>IF(ISBLANK(IGRF!I29),"",IGRF!I29)</f>
        <v>75*</v>
      </c>
      <c r="G19" s="760" t="str">
        <f>IF(ISBLANK(IGRF!J29),"",IGRF!J29)</f>
        <v>TamTrum</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v>
      </c>
      <c r="C20" s="760" t="str">
        <f>IF(ISBLANK(IGRF!C30),"",IGRF!C30)</f>
        <v>Skatie Katie</v>
      </c>
      <c r="D20" s="757"/>
      <c r="E20" s="755"/>
      <c r="F20" s="759" t="str">
        <f>IF(ISBLANK(IGRF!I30),"",IGRF!I30)</f>
        <v>88</v>
      </c>
      <c r="G20" s="760" t="str">
        <f>IF(ISBLANK(IGRF!J30),"",IGRF!J30)</f>
        <v>Rocktopus</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76</v>
      </c>
      <c r="C21" s="760" t="str">
        <f>IF(ISBLANK(IGRF!C31),"",IGRF!C31)</f>
        <v>Queen Loseyateefa</v>
      </c>
      <c r="D21" s="757"/>
      <c r="E21" s="755"/>
      <c r="F21" s="759" t="str">
        <f>IF(ISBLANK(IGRF!I31),"",IGRF!I31)</f>
        <v>9</v>
      </c>
      <c r="G21" s="760" t="str">
        <f>IF(ISBLANK(IGRF!J31),"",IGRF!J31)</f>
        <v>Kell's Inferno</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88</v>
      </c>
      <c r="C22" s="760" t="str">
        <f>IF(ISBLANK(IGRF!C32),"",IGRF!C32)</f>
        <v>MsMURDR</v>
      </c>
      <c r="D22" s="757"/>
      <c r="E22" s="755"/>
      <c r="F22" s="759" t="str">
        <f>IF(ISBLANK(IGRF!I32),"",IGRF!I32)</f>
        <v>913*</v>
      </c>
      <c r="G22" s="760" t="str">
        <f>IF(ISBLANK(IGRF!J32),"",IGRF!J32)</f>
        <v>Termiskater</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96*</v>
      </c>
      <c r="C23" s="764" t="str">
        <f>IF(ISBLANK(IGRF!C33),"",IGRF!C33)</f>
        <v>Weird Flex</v>
      </c>
      <c r="D23" s="765"/>
      <c r="E23" s="762"/>
      <c r="F23" s="763" t="str">
        <f>IF(ISBLANK(IGRF!I33),"",IGRF!I33)</f>
        <v>999</v>
      </c>
      <c r="G23" s="764" t="str">
        <f>IF(ISBLANK(IGRF!J33),"",IGRF!J33)</f>
        <v>Amanda Jamitinya</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385</v>
      </c>
      <c r="B1" s="767" t="str">
        <f>Score!$A$1</f>
        <v>Arizona Roller Derby / All Stars</v>
      </c>
      <c r="C1" s="8"/>
      <c r="D1" s="9"/>
      <c r="E1" s="768" t="str">
        <f>IF(ISBLANK(IGRF!$B$12), "", IGRF!$B$12)</f>
        <v>White</v>
      </c>
      <c r="F1" s="769"/>
      <c r="I1" s="770">
        <f>IF(ISBLANK(IGRF!$B$7), "", IGRF!$B$7)</f>
        <v>45128</v>
      </c>
      <c r="J1" s="771">
        <v>1.0</v>
      </c>
      <c r="K1" s="215"/>
      <c r="L1" s="215"/>
      <c r="M1" s="215"/>
      <c r="N1" s="215"/>
      <c r="O1" s="215"/>
      <c r="P1" s="215"/>
      <c r="Q1" s="215"/>
      <c r="R1" s="215"/>
      <c r="S1" s="215"/>
      <c r="T1" s="215"/>
      <c r="U1" s="215"/>
      <c r="V1" s="215"/>
      <c r="W1" s="215"/>
      <c r="X1" s="215"/>
      <c r="Y1" s="215"/>
      <c r="Z1" s="215"/>
    </row>
    <row r="2" ht="15.0" customHeight="1">
      <c r="A2" s="766" t="s">
        <v>386</v>
      </c>
      <c r="B2" s="772" t="str">
        <f>Score!$T$1</f>
        <v>Elevated Roller Derby / Elevated Roller Derby All Stars</v>
      </c>
      <c r="C2" s="207"/>
      <c r="D2" s="208"/>
      <c r="E2" s="773" t="str">
        <f>IF(ISBLANK(IGRF!$I$12),"",IGRF!$I$12)</f>
        <v>Black</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387</v>
      </c>
      <c r="G3" s="86"/>
      <c r="H3" s="86"/>
      <c r="I3" s="777" t="s">
        <v>210</v>
      </c>
      <c r="J3" s="778" t="str">
        <f>IF(ISBLANK(IGRF!$L$3), "", "GAME " &amp; IGRF!$L$3)</f>
        <v>GAME 03</v>
      </c>
      <c r="K3" s="215"/>
      <c r="L3" s="215"/>
      <c r="M3" s="215"/>
      <c r="N3" s="215"/>
      <c r="O3" s="215"/>
      <c r="P3" s="215"/>
      <c r="Q3" s="215"/>
      <c r="R3" s="215"/>
      <c r="S3" s="215"/>
      <c r="T3" s="215"/>
      <c r="U3" s="215"/>
      <c r="V3" s="215"/>
      <c r="W3" s="215"/>
      <c r="X3" s="215"/>
      <c r="Y3" s="215"/>
      <c r="Z3" s="215"/>
    </row>
    <row r="4" ht="15.0" customHeight="1">
      <c r="A4" s="779"/>
      <c r="B4" s="780" t="s">
        <v>388</v>
      </c>
      <c r="C4" s="9"/>
      <c r="D4" s="780" t="s">
        <v>389</v>
      </c>
      <c r="E4" s="8"/>
      <c r="F4" s="9"/>
      <c r="G4" s="781" t="s">
        <v>390</v>
      </c>
      <c r="H4" s="323"/>
      <c r="I4" s="780" t="s">
        <v>47</v>
      </c>
      <c r="J4" s="162"/>
      <c r="K4" s="665"/>
      <c r="L4" s="665"/>
      <c r="M4" s="665"/>
      <c r="N4" s="665"/>
      <c r="O4" s="665"/>
      <c r="P4" s="665"/>
      <c r="Q4" s="665"/>
      <c r="R4" s="665"/>
      <c r="S4" s="665"/>
      <c r="T4" s="665"/>
      <c r="U4" s="665"/>
      <c r="V4" s="665"/>
      <c r="W4" s="665"/>
      <c r="X4" s="665"/>
      <c r="Y4" s="665"/>
      <c r="Z4" s="665"/>
    </row>
    <row r="5" ht="21.0" customHeight="1">
      <c r="A5" s="782" t="s">
        <v>258</v>
      </c>
      <c r="B5" s="783"/>
      <c r="C5" s="49"/>
      <c r="D5" s="784"/>
      <c r="E5" s="785"/>
      <c r="F5" s="786"/>
      <c r="G5" s="784"/>
      <c r="H5" s="787"/>
      <c r="I5" s="788" t="str">
        <f>B1</f>
        <v>Arizona Roller Derby / All Stars</v>
      </c>
      <c r="J5" s="348"/>
      <c r="K5" s="665"/>
      <c r="L5" s="665"/>
      <c r="M5" s="665"/>
      <c r="N5" s="665"/>
      <c r="O5" s="665"/>
      <c r="P5" s="665"/>
      <c r="Q5" s="665"/>
      <c r="R5" s="665"/>
      <c r="S5" s="665"/>
      <c r="T5" s="665"/>
      <c r="U5" s="665"/>
      <c r="V5" s="665"/>
      <c r="W5" s="665"/>
      <c r="X5" s="665"/>
      <c r="Y5" s="665"/>
      <c r="Z5" s="665"/>
    </row>
    <row r="6" ht="21.0" customHeight="1">
      <c r="A6" s="789" t="s">
        <v>251</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258</v>
      </c>
      <c r="B7" s="783"/>
      <c r="C7" s="49"/>
      <c r="D7" s="784"/>
      <c r="E7" s="785"/>
      <c r="F7" s="786"/>
      <c r="G7" s="784"/>
      <c r="H7" s="787"/>
      <c r="I7" s="794" t="str">
        <f>B2</f>
        <v>Elevated Roller Derby / Elevated Roller Derby All Stars</v>
      </c>
      <c r="J7" s="348"/>
      <c r="K7" s="665"/>
      <c r="L7" s="665"/>
      <c r="M7" s="665"/>
      <c r="N7" s="665"/>
      <c r="O7" s="665"/>
      <c r="P7" s="665"/>
      <c r="Q7" s="665"/>
      <c r="R7" s="665"/>
      <c r="S7" s="665"/>
      <c r="T7" s="665"/>
      <c r="U7" s="665"/>
      <c r="V7" s="665"/>
      <c r="W7" s="665"/>
      <c r="X7" s="665"/>
      <c r="Y7" s="665"/>
      <c r="Z7" s="665"/>
    </row>
    <row r="8" ht="21.0" customHeight="1">
      <c r="A8" s="789" t="s">
        <v>251</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212</v>
      </c>
      <c r="B10" s="797" t="s">
        <v>392</v>
      </c>
      <c r="C10" s="797" t="s">
        <v>393</v>
      </c>
      <c r="D10" s="797" t="s">
        <v>394</v>
      </c>
      <c r="E10" s="798" t="s">
        <v>395</v>
      </c>
      <c r="F10" s="8"/>
      <c r="G10" s="799"/>
      <c r="H10" s="797"/>
      <c r="I10" s="797" t="s">
        <v>396</v>
      </c>
      <c r="J10" s="800" t="s">
        <v>397</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20.0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12</v>
      </c>
      <c r="K11" s="43"/>
      <c r="L11" s="43"/>
      <c r="M11" s="43"/>
      <c r="N11" s="43"/>
      <c r="O11" s="43"/>
      <c r="P11" s="43"/>
      <c r="Q11" s="43"/>
      <c r="R11" s="43"/>
      <c r="S11" s="43"/>
      <c r="T11" s="43"/>
      <c r="U11" s="43"/>
      <c r="V11" s="43"/>
      <c r="W11" s="43"/>
      <c r="X11" s="43"/>
      <c r="Y11" s="43"/>
      <c r="Z11" s="43"/>
    </row>
    <row r="12" ht="25.5" customHeight="1">
      <c r="A12" s="806">
        <f>IF(ISNUMBER(SK!B5), SK!A5, "")</f>
        <v>2</v>
      </c>
      <c r="B12" s="660">
        <v>120.0</v>
      </c>
      <c r="C12" s="660"/>
      <c r="D12" s="660"/>
      <c r="E12" s="807"/>
      <c r="F12" s="86"/>
      <c r="G12" s="86"/>
      <c r="H12" s="55"/>
      <c r="I12" s="808" t="str">
        <f t="shared" si="1"/>
        <v/>
      </c>
      <c r="J12" s="809">
        <f>IF(OR(A12="",B12="",B12=0),"",60*SUM(INDIRECT(ADDRESS(MATCH(A12,SK!A$3:A$78,0)+2,COLUMN(SK!E$2),1,,"SK")),INDIRECT(ADDRESS(MATCH(A12,SK!Q$3:Q$78,0)+2,COLUMN(SK!U$2),1,,"SK")))/IF(B12&lt;1,B12*1440,B12))</f>
        <v>15.5</v>
      </c>
      <c r="K12" s="43"/>
      <c r="L12" s="43"/>
      <c r="M12" s="43"/>
      <c r="N12" s="43"/>
      <c r="O12" s="43"/>
      <c r="P12" s="43"/>
      <c r="Q12" s="43"/>
      <c r="R12" s="43"/>
      <c r="S12" s="43"/>
      <c r="T12" s="43"/>
      <c r="U12" s="43"/>
      <c r="V12" s="43"/>
      <c r="W12" s="43"/>
      <c r="X12" s="43"/>
      <c r="Y12" s="43"/>
      <c r="Z12" s="43"/>
    </row>
    <row r="13" ht="25.5" customHeight="1">
      <c r="A13" s="810">
        <f>IF(ISNUMBER(SK!B7), SK!A7, "")</f>
        <v>3</v>
      </c>
      <c r="B13" s="651">
        <v>32.0</v>
      </c>
      <c r="C13" s="651"/>
      <c r="D13" s="651"/>
      <c r="E13" s="811"/>
      <c r="F13" s="86"/>
      <c r="G13" s="86"/>
      <c r="H13" s="55"/>
      <c r="I13" s="812" t="str">
        <f t="shared" si="1"/>
        <v/>
      </c>
      <c r="J13" s="813">
        <f>IF(OR(A13="",B13="",B13=0),"",60*SUM(INDIRECT(ADDRESS(MATCH(A13,SK!A$3:A$78,0)+2,COLUMN(SK!E$2),1,,"SK")),INDIRECT(ADDRESS(MATCH(A13,SK!Q$3:Q$78,0)+2,COLUMN(SK!U$2),1,,"SK")))/IF(B13&lt;1,B13*1440,B13))</f>
        <v>7.5</v>
      </c>
      <c r="K13" s="43"/>
      <c r="L13" s="43"/>
      <c r="M13" s="43"/>
      <c r="N13" s="43"/>
      <c r="O13" s="43"/>
      <c r="P13" s="43"/>
      <c r="Q13" s="43"/>
      <c r="R13" s="43"/>
      <c r="S13" s="43"/>
      <c r="T13" s="43"/>
      <c r="U13" s="43"/>
      <c r="V13" s="43"/>
      <c r="W13" s="43"/>
      <c r="X13" s="43"/>
      <c r="Y13" s="43"/>
      <c r="Z13" s="43"/>
    </row>
    <row r="14" ht="25.5" customHeight="1">
      <c r="A14" s="806">
        <f>IF(ISNUMBER(SK!B9), SK!A9, "")</f>
        <v>4</v>
      </c>
      <c r="B14" s="660">
        <v>65.0</v>
      </c>
      <c r="C14" s="660"/>
      <c r="D14" s="660"/>
      <c r="E14" s="807"/>
      <c r="F14" s="86"/>
      <c r="G14" s="86"/>
      <c r="H14" s="55"/>
      <c r="I14" s="808" t="str">
        <f t="shared" si="1"/>
        <v/>
      </c>
      <c r="J14" s="809">
        <f>IF(OR(A14="",B14="",B14=0),"",60*SUM(INDIRECT(ADDRESS(MATCH(A14,SK!A$3:A$78,0)+2,COLUMN(SK!E$2),1,,"SK")),INDIRECT(ADDRESS(MATCH(A14,SK!Q$3:Q$78,0)+2,COLUMN(SK!U$2),1,,"SK")))/IF(B14&lt;1,B14*1440,B14))</f>
        <v>3.692307692</v>
      </c>
      <c r="K14" s="43"/>
      <c r="L14" s="43"/>
      <c r="M14" s="43"/>
      <c r="N14" s="43"/>
      <c r="O14" s="43"/>
      <c r="P14" s="43"/>
      <c r="Q14" s="43"/>
      <c r="R14" s="43"/>
      <c r="S14" s="43"/>
      <c r="T14" s="43"/>
      <c r="U14" s="43"/>
      <c r="V14" s="43"/>
      <c r="W14" s="43"/>
      <c r="X14" s="43"/>
      <c r="Y14" s="43"/>
      <c r="Z14" s="43"/>
    </row>
    <row r="15" ht="25.5" customHeight="1">
      <c r="A15" s="810">
        <f>IF(ISNUMBER(SK!B11), SK!A11, "")</f>
        <v>5</v>
      </c>
      <c r="B15" s="651">
        <v>120.0</v>
      </c>
      <c r="C15" s="651"/>
      <c r="D15" s="651"/>
      <c r="E15" s="811"/>
      <c r="F15" s="86"/>
      <c r="G15" s="86"/>
      <c r="H15" s="55"/>
      <c r="I15" s="812" t="str">
        <f t="shared" si="1"/>
        <v/>
      </c>
      <c r="J15" s="813">
        <f>IF(OR(A15="",B15="",B15=0),"",60*SUM(INDIRECT(ADDRESS(MATCH(A15,SK!A$3:A$78,0)+2,COLUMN(SK!E$2),1,,"SK")),INDIRECT(ADDRESS(MATCH(A15,SK!Q$3:Q$78,0)+2,COLUMN(SK!U$2),1,,"SK")))/IF(B15&lt;1,B15*1440,B15))</f>
        <v>8.5</v>
      </c>
      <c r="K15" s="43"/>
      <c r="L15" s="43"/>
      <c r="M15" s="43"/>
      <c r="N15" s="43"/>
      <c r="O15" s="43"/>
      <c r="P15" s="43"/>
      <c r="Q15" s="43"/>
      <c r="R15" s="43"/>
      <c r="S15" s="43"/>
      <c r="T15" s="43"/>
      <c r="U15" s="43"/>
      <c r="V15" s="43"/>
      <c r="W15" s="43"/>
      <c r="X15" s="43"/>
      <c r="Y15" s="43"/>
      <c r="Z15" s="43"/>
    </row>
    <row r="16" ht="25.5" customHeight="1">
      <c r="A16" s="806">
        <f>IF(ISNUMBER(SK!B13), SK!A13, "")</f>
        <v>6</v>
      </c>
      <c r="B16" s="660">
        <v>63.0</v>
      </c>
      <c r="C16" s="660"/>
      <c r="D16" s="660"/>
      <c r="E16" s="807"/>
      <c r="F16" s="86"/>
      <c r="G16" s="86"/>
      <c r="H16" s="55"/>
      <c r="I16" s="808" t="str">
        <f t="shared" si="1"/>
        <v/>
      </c>
      <c r="J16" s="809">
        <f>IF(OR(A16="",B16="",B16=0),"",60*SUM(INDIRECT(ADDRESS(MATCH(A16,SK!A$3:A$78,0)+2,COLUMN(SK!E$2),1,,"SK")),INDIRECT(ADDRESS(MATCH(A16,SK!Q$3:Q$78,0)+2,COLUMN(SK!U$2),1,,"SK")))/IF(B16&lt;1,B16*1440,B16))</f>
        <v>3.80952381</v>
      </c>
      <c r="K16" s="43"/>
      <c r="L16" s="43"/>
      <c r="M16" s="43"/>
      <c r="N16" s="43"/>
      <c r="O16" s="43"/>
      <c r="P16" s="43"/>
      <c r="Q16" s="43"/>
      <c r="R16" s="43"/>
      <c r="S16" s="43"/>
      <c r="T16" s="43"/>
      <c r="U16" s="43"/>
      <c r="V16" s="43"/>
      <c r="W16" s="43"/>
      <c r="X16" s="43"/>
      <c r="Y16" s="43"/>
      <c r="Z16" s="43"/>
    </row>
    <row r="17" ht="25.5" customHeight="1">
      <c r="A17" s="810">
        <f>IF(ISNUMBER(SK!B15), SK!A15, "")</f>
        <v>7</v>
      </c>
      <c r="B17" s="651">
        <v>54.0</v>
      </c>
      <c r="C17" s="651"/>
      <c r="D17" s="651"/>
      <c r="E17" s="811"/>
      <c r="F17" s="86"/>
      <c r="G17" s="86"/>
      <c r="H17" s="55"/>
      <c r="I17" s="812" t="str">
        <f t="shared" si="1"/>
        <v/>
      </c>
      <c r="J17" s="813">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06">
        <f>IF(ISNUMBER(SK!B17), SK!A17, "")</f>
        <v>8</v>
      </c>
      <c r="B18" s="660">
        <v>90.0</v>
      </c>
      <c r="C18" s="660"/>
      <c r="D18" s="660"/>
      <c r="E18" s="807"/>
      <c r="F18" s="86"/>
      <c r="G18" s="86"/>
      <c r="H18" s="55"/>
      <c r="I18" s="808" t="str">
        <f t="shared" si="1"/>
        <v/>
      </c>
      <c r="J18" s="809">
        <f>IF(OR(A18="",B18="",B18=0),"",60*SUM(INDIRECT(ADDRESS(MATCH(A18,SK!A$3:A$78,0)+2,COLUMN(SK!E$2),1,,"SK")),INDIRECT(ADDRESS(MATCH(A18,SK!Q$3:Q$78,0)+2,COLUMN(SK!U$2),1,,"SK")))/IF(B18&lt;1,B18*1440,B18))</f>
        <v>5.333333333</v>
      </c>
      <c r="K18" s="43"/>
      <c r="L18" s="43"/>
      <c r="M18" s="43"/>
      <c r="N18" s="43"/>
      <c r="O18" s="43"/>
      <c r="P18" s="43"/>
      <c r="Q18" s="43"/>
      <c r="R18" s="43"/>
      <c r="S18" s="43"/>
      <c r="T18" s="43"/>
      <c r="U18" s="43"/>
      <c r="V18" s="43"/>
      <c r="W18" s="43"/>
      <c r="X18" s="43"/>
      <c r="Y18" s="43"/>
      <c r="Z18" s="43"/>
    </row>
    <row r="19" ht="25.5" customHeight="1">
      <c r="A19" s="810">
        <f>IF(ISNUMBER(SK!B19), SK!A19, "")</f>
        <v>9</v>
      </c>
      <c r="B19" s="651">
        <v>41.0</v>
      </c>
      <c r="C19" s="651"/>
      <c r="D19" s="651"/>
      <c r="E19" s="811"/>
      <c r="F19" s="86"/>
      <c r="G19" s="86"/>
      <c r="H19" s="55"/>
      <c r="I19" s="812" t="str">
        <f t="shared" si="1"/>
        <v/>
      </c>
      <c r="J19" s="813">
        <f>IF(OR(A19="",B19="",B19=0),"",60*SUM(INDIRECT(ADDRESS(MATCH(A19,SK!A$3:A$78,0)+2,COLUMN(SK!E$2),1,,"SK")),INDIRECT(ADDRESS(MATCH(A19,SK!Q$3:Q$78,0)+2,COLUMN(SK!U$2),1,,"SK")))/IF(B19&lt;1,B19*1440,B19))</f>
        <v>7.317073171</v>
      </c>
      <c r="K19" s="43"/>
      <c r="L19" s="43"/>
      <c r="M19" s="43"/>
      <c r="N19" s="43"/>
      <c r="O19" s="43"/>
      <c r="P19" s="43"/>
      <c r="Q19" s="43"/>
      <c r="R19" s="43"/>
      <c r="S19" s="43"/>
      <c r="T19" s="43"/>
      <c r="U19" s="43"/>
      <c r="V19" s="43"/>
      <c r="W19" s="43"/>
      <c r="X19" s="43"/>
      <c r="Y19" s="43"/>
      <c r="Z19" s="43"/>
    </row>
    <row r="20" ht="25.5" customHeight="1">
      <c r="A20" s="806">
        <f>IF(ISNUMBER(SK!B21), SK!A21, "")</f>
        <v>10</v>
      </c>
      <c r="B20" s="660">
        <v>56.0</v>
      </c>
      <c r="C20" s="660"/>
      <c r="D20" s="660"/>
      <c r="E20" s="807"/>
      <c r="F20" s="86"/>
      <c r="G20" s="86"/>
      <c r="H20" s="55"/>
      <c r="I20" s="808" t="str">
        <f t="shared" si="1"/>
        <v/>
      </c>
      <c r="J20" s="809">
        <f>IF(OR(A20="",B20="",B20=0),"",60*SUM(INDIRECT(ADDRESS(MATCH(A20,SK!A$3:A$78,0)+2,COLUMN(SK!E$2),1,,"SK")),INDIRECT(ADDRESS(MATCH(A20,SK!Q$3:Q$78,0)+2,COLUMN(SK!U$2),1,,"SK")))/IF(B20&lt;1,B20*1440,B20))</f>
        <v>4.285714286</v>
      </c>
      <c r="K20" s="43"/>
      <c r="L20" s="43"/>
      <c r="M20" s="43"/>
      <c r="N20" s="43"/>
      <c r="O20" s="43"/>
      <c r="P20" s="43"/>
      <c r="Q20" s="43"/>
      <c r="R20" s="43"/>
      <c r="S20" s="43"/>
      <c r="T20" s="43"/>
      <c r="U20" s="43"/>
      <c r="V20" s="43"/>
      <c r="W20" s="43"/>
      <c r="X20" s="43"/>
      <c r="Y20" s="43"/>
      <c r="Z20" s="43"/>
    </row>
    <row r="21" ht="25.5" customHeight="1">
      <c r="A21" s="810">
        <f>IF(ISNUMBER(SK!B23), SK!A23, "")</f>
        <v>11</v>
      </c>
      <c r="B21" s="651">
        <v>58.0</v>
      </c>
      <c r="C21" s="651"/>
      <c r="D21" s="651"/>
      <c r="E21" s="811"/>
      <c r="F21" s="86"/>
      <c r="G21" s="86"/>
      <c r="H21" s="55"/>
      <c r="I21" s="812" t="str">
        <f t="shared" si="1"/>
        <v/>
      </c>
      <c r="J21" s="813">
        <f>IF(OR(A21="",B21="",B21=0),"",60*SUM(INDIRECT(ADDRESS(MATCH(A21,SK!A$3:A$78,0)+2,COLUMN(SK!E$2),1,,"SK")),INDIRECT(ADDRESS(MATCH(A21,SK!Q$3:Q$78,0)+2,COLUMN(SK!U$2),1,,"SK")))/IF(B21&lt;1,B21*1440,B21))</f>
        <v>12.4137931</v>
      </c>
      <c r="K21" s="43"/>
      <c r="L21" s="43"/>
      <c r="M21" s="43"/>
      <c r="N21" s="43"/>
      <c r="O21" s="43"/>
      <c r="P21" s="43"/>
      <c r="Q21" s="43"/>
      <c r="R21" s="43"/>
      <c r="S21" s="43"/>
      <c r="T21" s="43"/>
      <c r="U21" s="43"/>
      <c r="V21" s="43"/>
      <c r="W21" s="43"/>
      <c r="X21" s="43"/>
      <c r="Y21" s="43"/>
      <c r="Z21" s="43"/>
    </row>
    <row r="22" ht="25.5" customHeight="1">
      <c r="A22" s="806">
        <f>IF(ISNUMBER(SK!B25), SK!A25, "")</f>
        <v>12</v>
      </c>
      <c r="B22" s="660">
        <v>78.0</v>
      </c>
      <c r="C22" s="660"/>
      <c r="D22" s="660"/>
      <c r="E22" s="807"/>
      <c r="F22" s="86"/>
      <c r="G22" s="86"/>
      <c r="H22" s="55"/>
      <c r="I22" s="808" t="str">
        <f t="shared" si="1"/>
        <v/>
      </c>
      <c r="J22" s="809">
        <f>IF(OR(A22="",B22="",B22=0),"",60*SUM(INDIRECT(ADDRESS(MATCH(A22,SK!A$3:A$78,0)+2,COLUMN(SK!E$2),1,,"SK")),INDIRECT(ADDRESS(MATCH(A22,SK!Q$3:Q$78,0)+2,COLUMN(SK!U$2),1,,"SK")))/IF(B22&lt;1,B22*1440,B22))</f>
        <v>3.076923077</v>
      </c>
      <c r="K22" s="43"/>
      <c r="L22" s="43"/>
      <c r="M22" s="43"/>
      <c r="N22" s="43"/>
      <c r="O22" s="43"/>
      <c r="P22" s="43"/>
      <c r="Q22" s="43"/>
      <c r="R22" s="43"/>
      <c r="S22" s="43"/>
      <c r="T22" s="43"/>
      <c r="U22" s="43"/>
      <c r="V22" s="43"/>
      <c r="W22" s="43"/>
      <c r="X22" s="43"/>
      <c r="Y22" s="43"/>
      <c r="Z22" s="43"/>
    </row>
    <row r="23" ht="25.5" customHeight="1">
      <c r="A23" s="810">
        <f>IF(ISNUMBER(SK!B27), SK!A27, "")</f>
        <v>13</v>
      </c>
      <c r="B23" s="651">
        <v>56.0</v>
      </c>
      <c r="C23" s="651"/>
      <c r="D23" s="651"/>
      <c r="E23" s="811"/>
      <c r="F23" s="86"/>
      <c r="G23" s="86"/>
      <c r="H23" s="55"/>
      <c r="I23" s="812" t="str">
        <f t="shared" si="1"/>
        <v/>
      </c>
      <c r="J23" s="813">
        <f>IF(OR(A23="",B23="",B23=0),"",60*SUM(INDIRECT(ADDRESS(MATCH(A23,SK!A$3:A$78,0)+2,COLUMN(SK!E$2),1,,"SK")),INDIRECT(ADDRESS(MATCH(A23,SK!Q$3:Q$78,0)+2,COLUMN(SK!U$2),1,,"SK")))/IF(B23&lt;1,B23*1440,B23))</f>
        <v>12.85714286</v>
      </c>
      <c r="K23" s="43"/>
      <c r="L23" s="43"/>
      <c r="M23" s="43"/>
      <c r="N23" s="43"/>
      <c r="O23" s="43"/>
      <c r="P23" s="43"/>
      <c r="Q23" s="43"/>
      <c r="R23" s="43"/>
      <c r="S23" s="43"/>
      <c r="T23" s="43"/>
      <c r="U23" s="43"/>
      <c r="V23" s="43"/>
      <c r="W23" s="43"/>
      <c r="X23" s="43"/>
      <c r="Y23" s="43"/>
      <c r="Z23" s="43"/>
    </row>
    <row r="24" ht="25.5" customHeight="1">
      <c r="A24" s="806">
        <f>IF(ISNUMBER(SK!B29), SK!A29, "")</f>
        <v>14</v>
      </c>
      <c r="B24" s="660">
        <v>56.0</v>
      </c>
      <c r="C24" s="660"/>
      <c r="D24" s="660"/>
      <c r="E24" s="807"/>
      <c r="F24" s="86"/>
      <c r="G24" s="86"/>
      <c r="H24" s="55"/>
      <c r="I24" s="808" t="str">
        <f t="shared" si="1"/>
        <v/>
      </c>
      <c r="J24" s="809">
        <f>IF(OR(A24="",B24="",B24=0),"",60*SUM(INDIRECT(ADDRESS(MATCH(A24,SK!A$3:A$78,0)+2,COLUMN(SK!E$2),1,,"SK")),INDIRECT(ADDRESS(MATCH(A24,SK!Q$3:Q$78,0)+2,COLUMN(SK!U$2),1,,"SK")))/IF(B24&lt;1,B24*1440,B24))</f>
        <v>8.571428571</v>
      </c>
      <c r="K24" s="43"/>
      <c r="L24" s="43"/>
      <c r="M24" s="43"/>
      <c r="N24" s="43"/>
      <c r="O24" s="43"/>
      <c r="P24" s="43"/>
      <c r="Q24" s="43"/>
      <c r="R24" s="43"/>
      <c r="S24" s="43"/>
      <c r="T24" s="43"/>
      <c r="U24" s="43"/>
      <c r="V24" s="43"/>
      <c r="W24" s="43"/>
      <c r="X24" s="43"/>
      <c r="Y24" s="43"/>
      <c r="Z24" s="43"/>
    </row>
    <row r="25" ht="25.5" customHeight="1">
      <c r="A25" s="810">
        <f>IF(ISNUMBER(SK!B31), SK!A31, "")</f>
        <v>15</v>
      </c>
      <c r="B25" s="651">
        <v>49.0</v>
      </c>
      <c r="C25" s="651"/>
      <c r="D25" s="651"/>
      <c r="E25" s="811"/>
      <c r="F25" s="86"/>
      <c r="G25" s="86"/>
      <c r="H25" s="55"/>
      <c r="I25" s="812" t="str">
        <f t="shared" si="1"/>
        <v/>
      </c>
      <c r="J25" s="813">
        <f>IF(OR(A25="",B25="",B25=0),"",60*SUM(INDIRECT(ADDRESS(MATCH(A25,SK!A$3:A$78,0)+2,COLUMN(SK!E$2),1,,"SK")),INDIRECT(ADDRESS(MATCH(A25,SK!Q$3:Q$78,0)+2,COLUMN(SK!U$2),1,,"SK")))/IF(B25&lt;1,B25*1440,B25))</f>
        <v>9.795918367</v>
      </c>
      <c r="K25" s="43"/>
      <c r="L25" s="43"/>
      <c r="M25" s="43"/>
      <c r="N25" s="43"/>
      <c r="O25" s="43"/>
      <c r="P25" s="43"/>
      <c r="Q25" s="43"/>
      <c r="R25" s="43"/>
      <c r="S25" s="43"/>
      <c r="T25" s="43"/>
      <c r="U25" s="43"/>
      <c r="V25" s="43"/>
      <c r="W25" s="43"/>
      <c r="X25" s="43"/>
      <c r="Y25" s="43"/>
      <c r="Z25" s="43"/>
    </row>
    <row r="26" ht="25.5" customHeight="1">
      <c r="A26" s="806">
        <f>IF(ISNUMBER(SK!B33), SK!A33, "")</f>
        <v>16</v>
      </c>
      <c r="B26" s="660">
        <v>96.0</v>
      </c>
      <c r="C26" s="660"/>
      <c r="D26" s="660"/>
      <c r="E26" s="807"/>
      <c r="F26" s="86"/>
      <c r="G26" s="86"/>
      <c r="H26" s="55"/>
      <c r="I26" s="808" t="str">
        <f t="shared" si="1"/>
        <v/>
      </c>
      <c r="J26" s="809">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10">
        <f>IF(ISNUMBER(SK!B35), SK!A35, "")</f>
        <v>17</v>
      </c>
      <c r="B27" s="651">
        <v>64.0</v>
      </c>
      <c r="C27" s="651"/>
      <c r="D27" s="651"/>
      <c r="E27" s="811"/>
      <c r="F27" s="86"/>
      <c r="G27" s="86"/>
      <c r="H27" s="55"/>
      <c r="I27" s="812" t="str">
        <f t="shared" si="1"/>
        <v/>
      </c>
      <c r="J27" s="813">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06">
        <f>IF(ISNUMBER(SK!B37), SK!A37, "")</f>
        <v>18</v>
      </c>
      <c r="B28" s="660">
        <v>120.0</v>
      </c>
      <c r="C28" s="660"/>
      <c r="D28" s="660"/>
      <c r="E28" s="807"/>
      <c r="F28" s="86"/>
      <c r="G28" s="86"/>
      <c r="H28" s="55"/>
      <c r="I28" s="808" t="str">
        <f t="shared" si="1"/>
        <v/>
      </c>
      <c r="J28" s="809">
        <f>IF(OR(A28="",B28="",B28=0),"",60*SUM(INDIRECT(ADDRESS(MATCH(A28,SK!A$3:A$78,0)+2,COLUMN(SK!E$2),1,,"SK")),INDIRECT(ADDRESS(MATCH(A28,SK!Q$3:Q$78,0)+2,COLUMN(SK!U$2),1,,"SK")))/IF(B28&lt;1,B28*1440,B28))</f>
        <v>7.5</v>
      </c>
      <c r="K28" s="43"/>
      <c r="L28" s="43"/>
      <c r="M28" s="43"/>
      <c r="N28" s="43"/>
      <c r="O28" s="43"/>
      <c r="P28" s="43"/>
      <c r="Q28" s="43"/>
      <c r="R28" s="43"/>
      <c r="S28" s="43"/>
      <c r="T28" s="43"/>
      <c r="U28" s="43"/>
      <c r="V28" s="43"/>
      <c r="W28" s="43"/>
      <c r="X28" s="43"/>
      <c r="Y28" s="43"/>
      <c r="Z28" s="43"/>
    </row>
    <row r="29" ht="25.5" customHeight="1">
      <c r="A29" s="810">
        <f>IF(ISNUMBER(SK!B39), SK!A39, "")</f>
        <v>19</v>
      </c>
      <c r="B29" s="651">
        <v>19.0</v>
      </c>
      <c r="C29" s="651"/>
      <c r="D29" s="651"/>
      <c r="E29" s="811"/>
      <c r="F29" s="86"/>
      <c r="G29" s="86"/>
      <c r="H29" s="55"/>
      <c r="I29" s="812" t="str">
        <f t="shared" si="1"/>
        <v/>
      </c>
      <c r="J29" s="813">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398</v>
      </c>
      <c r="B49" s="816"/>
      <c r="C49" s="816" t="s">
        <v>399</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400</v>
      </c>
      <c r="B50" s="43"/>
      <c r="C50" s="43" t="s">
        <v>401</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402</v>
      </c>
      <c r="B51" s="820"/>
      <c r="C51" s="820" t="s">
        <v>403</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385</v>
      </c>
      <c r="B52" s="767" t="str">
        <f>Score!$A$1</f>
        <v>Arizona Roller Derby / All Stars</v>
      </c>
      <c r="C52" s="8"/>
      <c r="D52" s="9"/>
      <c r="E52" s="768" t="str">
        <f t="shared" ref="E52:E53" si="2">E1</f>
        <v>White</v>
      </c>
      <c r="F52" s="769"/>
      <c r="I52" s="770">
        <f>IF(ISBLANK(IGRF!$B$7), "", IGRF!$B$7)</f>
        <v>45128</v>
      </c>
      <c r="J52" s="771">
        <v>2.0</v>
      </c>
      <c r="K52" s="215"/>
      <c r="L52" s="215"/>
      <c r="M52" s="215"/>
      <c r="N52" s="215"/>
      <c r="O52" s="215"/>
      <c r="P52" s="215"/>
      <c r="Q52" s="215"/>
      <c r="R52" s="215"/>
      <c r="S52" s="215"/>
      <c r="T52" s="215"/>
      <c r="U52" s="215"/>
      <c r="V52" s="215"/>
      <c r="W52" s="215"/>
      <c r="X52" s="215"/>
      <c r="Y52" s="215"/>
      <c r="Z52" s="215"/>
    </row>
    <row r="53" ht="15.0" customHeight="1">
      <c r="A53" s="766" t="s">
        <v>386</v>
      </c>
      <c r="B53" s="772" t="str">
        <f>Score!$T$1</f>
        <v>Elevated Roller Derby / Elevated Roller Derby All Stars</v>
      </c>
      <c r="C53" s="207"/>
      <c r="D53" s="208"/>
      <c r="E53" s="773" t="str">
        <f t="shared" si="2"/>
        <v>Black</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387</v>
      </c>
      <c r="G54" s="86"/>
      <c r="H54" s="86"/>
      <c r="I54" s="777" t="s">
        <v>210</v>
      </c>
      <c r="J54" s="778" t="str">
        <f>J3</f>
        <v>GAME 03</v>
      </c>
      <c r="K54" s="215"/>
      <c r="L54" s="215"/>
      <c r="M54" s="215"/>
      <c r="N54" s="215"/>
      <c r="O54" s="215"/>
      <c r="P54" s="215"/>
      <c r="Q54" s="215"/>
      <c r="R54" s="215"/>
      <c r="S54" s="215"/>
      <c r="T54" s="215"/>
      <c r="U54" s="215"/>
      <c r="V54" s="215"/>
      <c r="W54" s="215"/>
      <c r="X54" s="215"/>
      <c r="Y54" s="215"/>
      <c r="Z54" s="215"/>
    </row>
    <row r="55" ht="15.0" customHeight="1">
      <c r="A55" s="779"/>
      <c r="B55" s="780" t="s">
        <v>388</v>
      </c>
      <c r="C55" s="9"/>
      <c r="D55" s="780" t="s">
        <v>389</v>
      </c>
      <c r="E55" s="8"/>
      <c r="F55" s="9"/>
      <c r="G55" s="781" t="s">
        <v>390</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258</v>
      </c>
      <c r="B56" s="783"/>
      <c r="C56" s="53"/>
      <c r="D56" s="784"/>
      <c r="E56" s="785"/>
      <c r="F56" s="786"/>
      <c r="G56" s="784" t="s">
        <v>231</v>
      </c>
      <c r="H56" s="787"/>
      <c r="I56" s="794" t="str">
        <f>I5</f>
        <v>Arizona Roller Derby / All Stars</v>
      </c>
      <c r="J56" s="348"/>
      <c r="K56" s="43"/>
      <c r="L56" s="43"/>
      <c r="M56" s="43"/>
      <c r="N56" s="43"/>
      <c r="O56" s="43"/>
      <c r="P56" s="43"/>
      <c r="Q56" s="43"/>
      <c r="R56" s="43"/>
      <c r="S56" s="43"/>
      <c r="T56" s="43"/>
      <c r="U56" s="43"/>
      <c r="V56" s="43"/>
      <c r="W56" s="43"/>
      <c r="X56" s="43"/>
      <c r="Y56" s="43"/>
      <c r="Z56" s="43"/>
    </row>
    <row r="57" ht="21.0" customHeight="1">
      <c r="A57" s="789" t="s">
        <v>251</v>
      </c>
      <c r="B57" s="790" t="str">
        <f>IF(B6="", "",B6 )</f>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258</v>
      </c>
      <c r="B58" s="783"/>
      <c r="C58" s="53"/>
      <c r="D58" s="784"/>
      <c r="E58" s="785"/>
      <c r="F58" s="786"/>
      <c r="G58" s="784"/>
      <c r="H58" s="787"/>
      <c r="I58" s="794" t="str">
        <f>I7</f>
        <v>Elevated Roller Derby / Elevated Roller Derby All Stars</v>
      </c>
      <c r="J58" s="348"/>
      <c r="K58" s="43"/>
      <c r="L58" s="43"/>
      <c r="M58" s="43"/>
      <c r="N58" s="43"/>
      <c r="O58" s="43"/>
      <c r="P58" s="43"/>
      <c r="Q58" s="43"/>
      <c r="R58" s="43"/>
      <c r="S58" s="43"/>
      <c r="T58" s="43"/>
      <c r="U58" s="43"/>
      <c r="V58" s="43"/>
      <c r="W58" s="43"/>
      <c r="X58" s="43"/>
      <c r="Y58" s="43"/>
      <c r="Z58" s="43"/>
    </row>
    <row r="59" ht="21.0" customHeight="1">
      <c r="A59" s="789" t="s">
        <v>251</v>
      </c>
      <c r="B59" s="790" t="str">
        <f>IF(B8="", "",B8 )</f>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212</v>
      </c>
      <c r="B61" s="823" t="s">
        <v>392</v>
      </c>
      <c r="C61" s="823" t="s">
        <v>393</v>
      </c>
      <c r="D61" s="823" t="s">
        <v>394</v>
      </c>
      <c r="E61" s="824" t="s">
        <v>395</v>
      </c>
      <c r="F61" s="14"/>
      <c r="G61" s="42"/>
      <c r="H61" s="823"/>
      <c r="I61" s="823" t="s">
        <v>396</v>
      </c>
      <c r="J61" s="825" t="s">
        <v>397</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52.0</v>
      </c>
      <c r="C62" s="651"/>
      <c r="D62" s="651"/>
      <c r="E62" s="811"/>
      <c r="F62" s="86"/>
      <c r="G62" s="86"/>
      <c r="H62" s="55"/>
      <c r="I62" s="812" t="str">
        <f t="shared" ref="I62:I99" si="3">IF(OR(A62="",B62="",B62=0,C62=""),"",60*C62/IF(B62&lt;1,B62*1440,B62))</f>
        <v/>
      </c>
      <c r="J62" s="813">
        <f>IF(OR(A62="",B62="",B62=0),"",60*SUM(INDIRECT(ADDRESS(MATCH(A62,SK!A$88:A$162,0)+87,COLUMN(SK!E$2),1,,"SK")),INDIRECT(ADDRESS(MATCH(A62,SK!Q$88:Q$162,0)+87,COLUMN(SK!U$2),1,,"SK")))/IF(B62&lt;1,B62*1440,B62))</f>
        <v>13.84615385</v>
      </c>
      <c r="K62" s="43"/>
      <c r="L62" s="43"/>
      <c r="M62" s="43"/>
      <c r="N62" s="43"/>
      <c r="O62" s="43"/>
      <c r="P62" s="43"/>
      <c r="Q62" s="43"/>
      <c r="R62" s="43"/>
      <c r="S62" s="43"/>
      <c r="T62" s="43"/>
      <c r="U62" s="43"/>
      <c r="V62" s="43"/>
      <c r="W62" s="43"/>
      <c r="X62" s="43"/>
      <c r="Y62" s="43"/>
      <c r="Z62" s="43"/>
    </row>
    <row r="63" ht="25.5" customHeight="1">
      <c r="A63" s="806">
        <f>IF(ISNUMBER(SK!B90), SK!A90, "")</f>
        <v>2</v>
      </c>
      <c r="B63" s="660">
        <v>101.0</v>
      </c>
      <c r="C63" s="660"/>
      <c r="D63" s="660"/>
      <c r="E63" s="807"/>
      <c r="F63" s="86"/>
      <c r="G63" s="86"/>
      <c r="H63" s="55"/>
      <c r="I63" s="808" t="str">
        <f t="shared" si="3"/>
        <v/>
      </c>
      <c r="J63" s="809">
        <f>IF(OR(A63="",B63="",B63=0),"",60*SUM(INDIRECT(ADDRESS(MATCH(A63,SK!A$88:A$162,0)+87,COLUMN(SK!E$2),1,,"SK")),INDIRECT(ADDRESS(MATCH(A63,SK!Q$88:Q$162,0)+87,COLUMN(SK!U$2),1,,"SK")))/IF(B63&lt;1,B63*1440,B63))</f>
        <v>8.910891089</v>
      </c>
      <c r="K63" s="43"/>
      <c r="L63" s="43"/>
      <c r="M63" s="43"/>
      <c r="N63" s="43"/>
      <c r="O63" s="43"/>
      <c r="P63" s="43"/>
      <c r="Q63" s="43"/>
      <c r="R63" s="43"/>
      <c r="S63" s="43"/>
      <c r="T63" s="43"/>
      <c r="U63" s="43"/>
      <c r="V63" s="43"/>
      <c r="W63" s="43"/>
      <c r="X63" s="43"/>
      <c r="Y63" s="43"/>
      <c r="Z63" s="43"/>
    </row>
    <row r="64" ht="25.5" customHeight="1">
      <c r="A64" s="810">
        <f>IF(ISNUMBER(SK!B92), SK!A92, "")</f>
        <v>3</v>
      </c>
      <c r="B64" s="651">
        <v>67.0</v>
      </c>
      <c r="C64" s="651"/>
      <c r="D64" s="651"/>
      <c r="E64" s="811"/>
      <c r="F64" s="86"/>
      <c r="G64" s="86"/>
      <c r="H64" s="55"/>
      <c r="I64" s="812" t="str">
        <f t="shared" si="3"/>
        <v/>
      </c>
      <c r="J64" s="813">
        <f>IF(OR(A64="",B64="",B64=0),"",60*SUM(INDIRECT(ADDRESS(MATCH(A64,SK!A$88:A$162,0)+87,COLUMN(SK!E$2),1,,"SK")),INDIRECT(ADDRESS(MATCH(A64,SK!Q$88:Q$162,0)+87,COLUMN(SK!U$2),1,,"SK")))/IF(B64&lt;1,B64*1440,B64))</f>
        <v>10.74626866</v>
      </c>
      <c r="K64" s="43"/>
      <c r="L64" s="43"/>
      <c r="M64" s="43"/>
      <c r="N64" s="43"/>
      <c r="O64" s="43"/>
      <c r="P64" s="43"/>
      <c r="Q64" s="43"/>
      <c r="R64" s="43"/>
      <c r="S64" s="43"/>
      <c r="T64" s="43"/>
      <c r="U64" s="43"/>
      <c r="V64" s="43"/>
      <c r="W64" s="43"/>
      <c r="X64" s="43"/>
      <c r="Y64" s="43"/>
      <c r="Z64" s="43"/>
    </row>
    <row r="65" ht="25.5" customHeight="1">
      <c r="A65" s="806">
        <f>IF(ISNUMBER(SK!B94), SK!A94, "")</f>
        <v>4</v>
      </c>
      <c r="B65" s="660">
        <v>86.0</v>
      </c>
      <c r="C65" s="660"/>
      <c r="D65" s="660" t="s">
        <v>404</v>
      </c>
      <c r="E65" s="807" t="s">
        <v>405</v>
      </c>
      <c r="F65" s="86"/>
      <c r="G65" s="86"/>
      <c r="H65" s="55"/>
      <c r="I65" s="808" t="str">
        <f t="shared" si="3"/>
        <v/>
      </c>
      <c r="J65" s="809">
        <f>IF(OR(A65="",B65="",B65=0),"",60*SUM(INDIRECT(ADDRESS(MATCH(A65,SK!A$88:A$162,0)+87,COLUMN(SK!E$2),1,,"SK")),INDIRECT(ADDRESS(MATCH(A65,SK!Q$88:Q$162,0)+87,COLUMN(SK!U$2),1,,"SK")))/IF(B65&lt;1,B65*1440,B65))</f>
        <v>13.95348837</v>
      </c>
      <c r="K65" s="43"/>
      <c r="L65" s="43"/>
      <c r="M65" s="43"/>
      <c r="N65" s="43"/>
      <c r="O65" s="43"/>
      <c r="P65" s="43"/>
      <c r="Q65" s="43"/>
      <c r="R65" s="43"/>
      <c r="S65" s="43"/>
      <c r="T65" s="43"/>
      <c r="U65" s="43"/>
      <c r="V65" s="43"/>
      <c r="W65" s="43"/>
      <c r="X65" s="43"/>
      <c r="Y65" s="43"/>
      <c r="Z65" s="43"/>
    </row>
    <row r="66" ht="25.5" customHeight="1">
      <c r="A66" s="810">
        <f>IF(ISNUMBER(SK!B96), SK!A96, "")</f>
        <v>5</v>
      </c>
      <c r="B66" s="651">
        <v>67.0</v>
      </c>
      <c r="C66" s="651"/>
      <c r="D66" s="651"/>
      <c r="E66" s="811"/>
      <c r="F66" s="86"/>
      <c r="G66" s="86"/>
      <c r="H66" s="55"/>
      <c r="I66" s="812" t="str">
        <f t="shared" si="3"/>
        <v/>
      </c>
      <c r="J66" s="813">
        <f>IF(OR(A66="",B66="",B66=0),"",60*SUM(INDIRECT(ADDRESS(MATCH(A66,SK!A$88:A$162,0)+87,COLUMN(SK!E$2),1,,"SK")),INDIRECT(ADDRESS(MATCH(A66,SK!Q$88:Q$162,0)+87,COLUMN(SK!U$2),1,,"SK")))/IF(B66&lt;1,B66*1440,B66))</f>
        <v>10.74626866</v>
      </c>
      <c r="K66" s="43"/>
      <c r="L66" s="43"/>
      <c r="M66" s="43"/>
      <c r="N66" s="43"/>
      <c r="O66" s="43"/>
      <c r="P66" s="43"/>
      <c r="Q66" s="43"/>
      <c r="R66" s="43"/>
      <c r="S66" s="43"/>
      <c r="T66" s="43"/>
      <c r="U66" s="43"/>
      <c r="V66" s="43"/>
      <c r="W66" s="43"/>
      <c r="X66" s="43"/>
      <c r="Y66" s="43"/>
      <c r="Z66" s="43"/>
    </row>
    <row r="67" ht="25.5" customHeight="1">
      <c r="A67" s="806">
        <f>IF(ISNUMBER(SK!B98), SK!A98, "")</f>
        <v>6</v>
      </c>
      <c r="B67" s="660">
        <v>57.0</v>
      </c>
      <c r="C67" s="660"/>
      <c r="D67" s="660"/>
      <c r="E67" s="807"/>
      <c r="F67" s="86"/>
      <c r="G67" s="86"/>
      <c r="H67" s="55"/>
      <c r="I67" s="808" t="str">
        <f t="shared" si="3"/>
        <v/>
      </c>
      <c r="J67" s="809">
        <f>IF(OR(A67="",B67="",B67=0),"",60*SUM(INDIRECT(ADDRESS(MATCH(A67,SK!A$88:A$162,0)+87,COLUMN(SK!E$2),1,,"SK")),INDIRECT(ADDRESS(MATCH(A67,SK!Q$88:Q$162,0)+87,COLUMN(SK!U$2),1,,"SK")))/IF(B67&lt;1,B67*1440,B67))</f>
        <v>12.63157895</v>
      </c>
      <c r="K67" s="43"/>
      <c r="L67" s="43"/>
      <c r="M67" s="43"/>
      <c r="N67" s="43"/>
      <c r="O67" s="43"/>
      <c r="P67" s="43"/>
      <c r="Q67" s="43"/>
      <c r="R67" s="43"/>
      <c r="S67" s="43"/>
      <c r="T67" s="43"/>
      <c r="U67" s="43"/>
      <c r="V67" s="43"/>
      <c r="W67" s="43"/>
      <c r="X67" s="43"/>
      <c r="Y67" s="43"/>
      <c r="Z67" s="43"/>
    </row>
    <row r="68" ht="25.5" customHeight="1">
      <c r="A68" s="810">
        <f>IF(ISNUMBER(SK!B100), SK!A100, "")</f>
        <v>7</v>
      </c>
      <c r="B68" s="651">
        <v>44.0</v>
      </c>
      <c r="C68" s="651"/>
      <c r="D68" s="651"/>
      <c r="E68" s="811"/>
      <c r="F68" s="86"/>
      <c r="G68" s="86"/>
      <c r="H68" s="55"/>
      <c r="I68" s="812" t="str">
        <f t="shared" si="3"/>
        <v/>
      </c>
      <c r="J68" s="813">
        <f>IF(OR(A68="",B68="",B68=0),"",60*SUM(INDIRECT(ADDRESS(MATCH(A68,SK!A$88:A$162,0)+87,COLUMN(SK!E$2),1,,"SK")),INDIRECT(ADDRESS(MATCH(A68,SK!Q$88:Q$162,0)+87,COLUMN(SK!U$2),1,,"SK")))/IF(B68&lt;1,B68*1440,B68))</f>
        <v>10.90909091</v>
      </c>
      <c r="K68" s="43"/>
      <c r="L68" s="43"/>
      <c r="M68" s="43"/>
      <c r="N68" s="43"/>
      <c r="O68" s="43"/>
      <c r="P68" s="43"/>
      <c r="Q68" s="43"/>
      <c r="R68" s="43"/>
      <c r="S68" s="43"/>
      <c r="T68" s="43"/>
      <c r="U68" s="43"/>
      <c r="V68" s="43"/>
      <c r="W68" s="43"/>
      <c r="X68" s="43"/>
      <c r="Y68" s="43"/>
      <c r="Z68" s="43"/>
    </row>
    <row r="69" ht="25.5" customHeight="1">
      <c r="A69" s="806">
        <f>IF(ISNUMBER(SK!B102), SK!A102, "")</f>
        <v>8</v>
      </c>
      <c r="B69" s="660">
        <v>42.0</v>
      </c>
      <c r="C69" s="660"/>
      <c r="D69" s="660"/>
      <c r="E69" s="807"/>
      <c r="F69" s="86"/>
      <c r="G69" s="86"/>
      <c r="H69" s="55"/>
      <c r="I69" s="808" t="str">
        <f t="shared" si="3"/>
        <v/>
      </c>
      <c r="J69" s="809">
        <f>IF(OR(A69="",B69="",B69=0),"",60*SUM(INDIRECT(ADDRESS(MATCH(A69,SK!A$88:A$162,0)+87,COLUMN(SK!E$2),1,,"SK")),INDIRECT(ADDRESS(MATCH(A69,SK!Q$88:Q$162,0)+87,COLUMN(SK!U$2),1,,"SK")))/IF(B69&lt;1,B69*1440,B69))</f>
        <v>11.42857143</v>
      </c>
      <c r="K69" s="43"/>
      <c r="L69" s="43"/>
      <c r="M69" s="43"/>
      <c r="N69" s="43"/>
      <c r="O69" s="43"/>
      <c r="P69" s="43"/>
      <c r="Q69" s="43"/>
      <c r="R69" s="43"/>
      <c r="S69" s="43"/>
      <c r="T69" s="43"/>
      <c r="U69" s="43"/>
      <c r="V69" s="43"/>
      <c r="W69" s="43"/>
      <c r="X69" s="43"/>
      <c r="Y69" s="43"/>
      <c r="Z69" s="43"/>
    </row>
    <row r="70" ht="25.5" customHeight="1">
      <c r="A70" s="810">
        <f>IF(ISNUMBER(SK!B104), SK!A104, "")</f>
        <v>9</v>
      </c>
      <c r="B70" s="651">
        <v>39.0</v>
      </c>
      <c r="C70" s="651"/>
      <c r="D70" s="651"/>
      <c r="E70" s="811"/>
      <c r="F70" s="86"/>
      <c r="G70" s="86"/>
      <c r="H70" s="55"/>
      <c r="I70" s="812" t="str">
        <f t="shared" si="3"/>
        <v/>
      </c>
      <c r="J70" s="813">
        <f>IF(OR(A70="",B70="",B70=0),"",60*SUM(INDIRECT(ADDRESS(MATCH(A70,SK!A$88:A$162,0)+87,COLUMN(SK!E$2),1,,"SK")),INDIRECT(ADDRESS(MATCH(A70,SK!Q$88:Q$162,0)+87,COLUMN(SK!U$2),1,,"SK")))/IF(B70&lt;1,B70*1440,B70))</f>
        <v>9.230769231</v>
      </c>
      <c r="K70" s="43"/>
      <c r="L70" s="43"/>
      <c r="M70" s="43"/>
      <c r="N70" s="43"/>
      <c r="O70" s="43"/>
      <c r="P70" s="43"/>
      <c r="Q70" s="43"/>
      <c r="R70" s="43"/>
      <c r="S70" s="43"/>
      <c r="T70" s="43"/>
      <c r="U70" s="43"/>
      <c r="V70" s="43"/>
      <c r="W70" s="43"/>
      <c r="X70" s="43"/>
      <c r="Y70" s="43"/>
      <c r="Z70" s="43"/>
    </row>
    <row r="71" ht="25.5" customHeight="1">
      <c r="A71" s="806">
        <f>IF(ISNUMBER(SK!B106), SK!A106, "")</f>
        <v>10</v>
      </c>
      <c r="B71" s="660">
        <v>35.0</v>
      </c>
      <c r="C71" s="660"/>
      <c r="D71" s="660"/>
      <c r="E71" s="807"/>
      <c r="F71" s="86"/>
      <c r="G71" s="86"/>
      <c r="H71" s="55"/>
      <c r="I71" s="808" t="str">
        <f t="shared" si="3"/>
        <v/>
      </c>
      <c r="J71" s="809">
        <f>IF(OR(A71="",B71="",B71=0),"",60*SUM(INDIRECT(ADDRESS(MATCH(A71,SK!A$88:A$162,0)+87,COLUMN(SK!E$2),1,,"SK")),INDIRECT(ADDRESS(MATCH(A71,SK!Q$88:Q$162,0)+87,COLUMN(SK!U$2),1,,"SK")))/IF(B71&lt;1,B71*1440,B71))</f>
        <v>5.142857143</v>
      </c>
      <c r="K71" s="43"/>
      <c r="L71" s="43"/>
      <c r="M71" s="43"/>
      <c r="N71" s="43"/>
      <c r="O71" s="43"/>
      <c r="P71" s="43"/>
      <c r="Q71" s="43"/>
      <c r="R71" s="43"/>
      <c r="S71" s="43"/>
      <c r="T71" s="43"/>
      <c r="U71" s="43"/>
      <c r="V71" s="43"/>
      <c r="W71" s="43"/>
      <c r="X71" s="43"/>
      <c r="Y71" s="43"/>
      <c r="Z71" s="43"/>
    </row>
    <row r="72" ht="25.5" customHeight="1">
      <c r="A72" s="810">
        <f>IF(ISNUMBER(SK!B108), SK!A108, "")</f>
        <v>11</v>
      </c>
      <c r="B72" s="651">
        <v>39.0</v>
      </c>
      <c r="C72" s="651"/>
      <c r="D72" s="651"/>
      <c r="E72" s="811"/>
      <c r="F72" s="86"/>
      <c r="G72" s="86"/>
      <c r="H72" s="55"/>
      <c r="I72" s="812" t="str">
        <f t="shared" si="3"/>
        <v/>
      </c>
      <c r="J72" s="813">
        <f>IF(OR(A72="",B72="",B72=0),"",60*SUM(INDIRECT(ADDRESS(MATCH(A72,SK!A$88:A$162,0)+87,COLUMN(SK!E$2),1,,"SK")),INDIRECT(ADDRESS(MATCH(A72,SK!Q$88:Q$162,0)+87,COLUMN(SK!U$2),1,,"SK")))/IF(B72&lt;1,B72*1440,B72))</f>
        <v>10.76923077</v>
      </c>
      <c r="K72" s="43"/>
      <c r="L72" s="43"/>
      <c r="M72" s="43"/>
      <c r="N72" s="43"/>
      <c r="O72" s="43"/>
      <c r="P72" s="43"/>
      <c r="Q72" s="43"/>
      <c r="R72" s="43"/>
      <c r="S72" s="43"/>
      <c r="T72" s="43"/>
      <c r="U72" s="43"/>
      <c r="V72" s="43"/>
      <c r="W72" s="43"/>
      <c r="X72" s="43"/>
      <c r="Y72" s="43"/>
      <c r="Z72" s="43"/>
    </row>
    <row r="73" ht="25.5" customHeight="1">
      <c r="A73" s="806">
        <f>IF(ISNUMBER(SK!B110), SK!A110, "")</f>
        <v>12</v>
      </c>
      <c r="B73" s="660">
        <v>120.0</v>
      </c>
      <c r="C73" s="660"/>
      <c r="D73" s="660"/>
      <c r="E73" s="807"/>
      <c r="F73" s="86"/>
      <c r="G73" s="86"/>
      <c r="H73" s="55"/>
      <c r="I73" s="808" t="str">
        <f t="shared" si="3"/>
        <v/>
      </c>
      <c r="J73" s="809">
        <f>IF(OR(A73="",B73="",B73=0),"",60*SUM(INDIRECT(ADDRESS(MATCH(A73,SK!A$88:A$162,0)+87,COLUMN(SK!E$2),1,,"SK")),INDIRECT(ADDRESS(MATCH(A73,SK!Q$88:Q$162,0)+87,COLUMN(SK!U$2),1,,"SK")))/IF(B73&lt;1,B73*1440,B73))</f>
        <v>1.5</v>
      </c>
      <c r="K73" s="43"/>
      <c r="L73" s="43"/>
      <c r="M73" s="43"/>
      <c r="N73" s="43"/>
      <c r="O73" s="43"/>
      <c r="P73" s="43"/>
      <c r="Q73" s="43"/>
      <c r="R73" s="43"/>
      <c r="S73" s="43"/>
      <c r="T73" s="43"/>
      <c r="U73" s="43"/>
      <c r="V73" s="43"/>
      <c r="W73" s="43"/>
      <c r="X73" s="43"/>
      <c r="Y73" s="43"/>
      <c r="Z73" s="43"/>
    </row>
    <row r="74" ht="25.5" customHeight="1">
      <c r="A74" s="810">
        <f>IF(ISNUMBER(SK!B112), SK!A112, "")</f>
        <v>13</v>
      </c>
      <c r="B74" s="651">
        <v>120.0</v>
      </c>
      <c r="C74" s="651"/>
      <c r="D74" s="651"/>
      <c r="E74" s="811"/>
      <c r="F74" s="86"/>
      <c r="G74" s="86"/>
      <c r="H74" s="55"/>
      <c r="I74" s="812" t="str">
        <f t="shared" si="3"/>
        <v/>
      </c>
      <c r="J74" s="813">
        <f>IF(OR(A74="",B74="",B74=0),"",60*SUM(INDIRECT(ADDRESS(MATCH(A74,SK!A$88:A$162,0)+87,COLUMN(SK!E$2),1,,"SK")),INDIRECT(ADDRESS(MATCH(A74,SK!Q$88:Q$162,0)+87,COLUMN(SK!U$2),1,,"SK")))/IF(B74&lt;1,B74*1440,B74))</f>
        <v>10</v>
      </c>
      <c r="K74" s="43"/>
      <c r="L74" s="43"/>
      <c r="M74" s="43"/>
      <c r="N74" s="43"/>
      <c r="O74" s="43"/>
      <c r="P74" s="43"/>
      <c r="Q74" s="43"/>
      <c r="R74" s="43"/>
      <c r="S74" s="43"/>
      <c r="T74" s="43"/>
      <c r="U74" s="43"/>
      <c r="V74" s="43"/>
      <c r="W74" s="43"/>
      <c r="X74" s="43"/>
      <c r="Y74" s="43"/>
      <c r="Z74" s="43"/>
    </row>
    <row r="75" ht="25.5" customHeight="1">
      <c r="A75" s="806">
        <f>IF(ISNUMBER(SK!B114), SK!A114, "")</f>
        <v>14</v>
      </c>
      <c r="B75" s="660">
        <v>120.0</v>
      </c>
      <c r="C75" s="660"/>
      <c r="D75" s="660"/>
      <c r="E75" s="807"/>
      <c r="F75" s="86"/>
      <c r="G75" s="86"/>
      <c r="H75" s="55"/>
      <c r="I75" s="808" t="str">
        <f t="shared" si="3"/>
        <v/>
      </c>
      <c r="J75" s="809">
        <f>IF(OR(A75="",B75="",B75=0),"",60*SUM(INDIRECT(ADDRESS(MATCH(A75,SK!A$88:A$162,0)+87,COLUMN(SK!E$2),1,,"SK")),INDIRECT(ADDRESS(MATCH(A75,SK!Q$88:Q$162,0)+87,COLUMN(SK!U$2),1,,"SK")))/IF(B75&lt;1,B75*1440,B75))</f>
        <v>6</v>
      </c>
      <c r="K75" s="43"/>
      <c r="L75" s="43"/>
      <c r="M75" s="43"/>
      <c r="N75" s="43"/>
      <c r="O75" s="43"/>
      <c r="P75" s="43"/>
      <c r="Q75" s="43"/>
      <c r="R75" s="43"/>
      <c r="S75" s="43"/>
      <c r="T75" s="43"/>
      <c r="U75" s="43"/>
      <c r="V75" s="43"/>
      <c r="W75" s="43"/>
      <c r="X75" s="43"/>
      <c r="Y75" s="43"/>
      <c r="Z75" s="43"/>
    </row>
    <row r="76" ht="25.5" customHeight="1">
      <c r="A76" s="810">
        <f>IF(ISNUMBER(SK!B116), SK!A116, "")</f>
        <v>15</v>
      </c>
      <c r="B76" s="651">
        <v>44.0</v>
      </c>
      <c r="C76" s="651"/>
      <c r="D76" s="651"/>
      <c r="E76" s="811"/>
      <c r="F76" s="86"/>
      <c r="G76" s="86"/>
      <c r="H76" s="55"/>
      <c r="I76" s="812" t="str">
        <f t="shared" si="3"/>
        <v/>
      </c>
      <c r="J76" s="813">
        <f>IF(OR(A76="",B76="",B76=0),"",60*SUM(INDIRECT(ADDRESS(MATCH(A76,SK!A$88:A$162,0)+87,COLUMN(SK!E$2),1,,"SK")),INDIRECT(ADDRESS(MATCH(A76,SK!Q$88:Q$162,0)+87,COLUMN(SK!U$2),1,,"SK")))/IF(B76&lt;1,B76*1440,B76))</f>
        <v>9.545454545</v>
      </c>
      <c r="K76" s="43"/>
      <c r="L76" s="43"/>
      <c r="M76" s="43"/>
      <c r="N76" s="43"/>
      <c r="O76" s="43"/>
      <c r="P76" s="43"/>
      <c r="Q76" s="43"/>
      <c r="R76" s="43"/>
      <c r="S76" s="43"/>
      <c r="T76" s="43"/>
      <c r="U76" s="43"/>
      <c r="V76" s="43"/>
      <c r="W76" s="43"/>
      <c r="X76" s="43"/>
      <c r="Y76" s="43"/>
      <c r="Z76" s="43"/>
    </row>
    <row r="77" ht="25.5" customHeight="1">
      <c r="A77" s="806">
        <f>IF(ISNUMBER(SK!B118), SK!A118, "")</f>
        <v>16</v>
      </c>
      <c r="B77" s="660">
        <v>49.0</v>
      </c>
      <c r="C77" s="660"/>
      <c r="D77" s="660"/>
      <c r="E77" s="807"/>
      <c r="F77" s="86"/>
      <c r="G77" s="86"/>
      <c r="H77" s="55"/>
      <c r="I77" s="808" t="str">
        <f t="shared" si="3"/>
        <v/>
      </c>
      <c r="J77" s="809">
        <f>IF(OR(A77="",B77="",B77=0),"",60*SUM(INDIRECT(ADDRESS(MATCH(A77,SK!A$88:A$162,0)+87,COLUMN(SK!E$2),1,,"SK")),INDIRECT(ADDRESS(MATCH(A77,SK!Q$88:Q$162,0)+87,COLUMN(SK!U$2),1,,"SK")))/IF(B77&lt;1,B77*1440,B77))</f>
        <v>4.897959184</v>
      </c>
      <c r="K77" s="43"/>
      <c r="L77" s="43"/>
      <c r="M77" s="43"/>
      <c r="N77" s="43"/>
      <c r="O77" s="43"/>
      <c r="P77" s="43"/>
      <c r="Q77" s="43"/>
      <c r="R77" s="43"/>
      <c r="S77" s="43"/>
      <c r="T77" s="43"/>
      <c r="U77" s="43"/>
      <c r="V77" s="43"/>
      <c r="W77" s="43"/>
      <c r="X77" s="43"/>
      <c r="Y77" s="43"/>
      <c r="Z77" s="43"/>
    </row>
    <row r="78" ht="25.5" customHeight="1">
      <c r="A78" s="810">
        <f>IF(ISNUMBER(SK!B120), SK!A120, "")</f>
        <v>17</v>
      </c>
      <c r="B78" s="651">
        <v>103.0</v>
      </c>
      <c r="C78" s="651"/>
      <c r="D78" s="651"/>
      <c r="E78" s="811"/>
      <c r="F78" s="86"/>
      <c r="G78" s="86"/>
      <c r="H78" s="55"/>
      <c r="I78" s="812" t="str">
        <f t="shared" si="3"/>
        <v/>
      </c>
      <c r="J78" s="813">
        <f>IF(OR(A78="",B78="",B78=0),"",60*SUM(INDIRECT(ADDRESS(MATCH(A78,SK!A$88:A$162,0)+87,COLUMN(SK!E$2),1,,"SK")),INDIRECT(ADDRESS(MATCH(A78,SK!Q$88:Q$162,0)+87,COLUMN(SK!U$2),1,,"SK")))/IF(B78&lt;1,B78*1440,B78))</f>
        <v>13.39805825</v>
      </c>
      <c r="K78" s="43"/>
      <c r="L78" s="43"/>
      <c r="M78" s="43"/>
      <c r="N78" s="43"/>
      <c r="O78" s="43"/>
      <c r="P78" s="43"/>
      <c r="Q78" s="43"/>
      <c r="R78" s="43"/>
      <c r="S78" s="43"/>
      <c r="T78" s="43"/>
      <c r="U78" s="43"/>
      <c r="V78" s="43"/>
      <c r="W78" s="43"/>
      <c r="X78" s="43"/>
      <c r="Y78" s="43"/>
      <c r="Z78" s="43"/>
    </row>
    <row r="79" ht="25.5" customHeight="1">
      <c r="A79" s="806">
        <f>IF(ISNUMBER(SK!B122), SK!A122, "")</f>
        <v>18</v>
      </c>
      <c r="B79" s="660">
        <v>27.0</v>
      </c>
      <c r="C79" s="660"/>
      <c r="D79" s="660"/>
      <c r="E79" s="807"/>
      <c r="F79" s="86"/>
      <c r="G79" s="86"/>
      <c r="H79" s="55"/>
      <c r="I79" s="808" t="str">
        <f t="shared" si="3"/>
        <v/>
      </c>
      <c r="J79" s="809">
        <f>IF(OR(A79="",B79="",B79=0),"",60*SUM(INDIRECT(ADDRESS(MATCH(A79,SK!A$88:A$162,0)+87,COLUMN(SK!E$2),1,,"SK")),INDIRECT(ADDRESS(MATCH(A79,SK!Q$88:Q$162,0)+87,COLUMN(SK!U$2),1,,"SK")))/IF(B79&lt;1,B79*1440,B79))</f>
        <v>4.444444444</v>
      </c>
      <c r="K79" s="43"/>
      <c r="L79" s="43"/>
      <c r="M79" s="43"/>
      <c r="N79" s="43"/>
      <c r="O79" s="43"/>
      <c r="P79" s="43"/>
      <c r="Q79" s="43"/>
      <c r="R79" s="43"/>
      <c r="S79" s="43"/>
      <c r="T79" s="43"/>
      <c r="U79" s="43"/>
      <c r="V79" s="43"/>
      <c r="W79" s="43"/>
      <c r="X79" s="43"/>
      <c r="Y79" s="43"/>
      <c r="Z79" s="43"/>
    </row>
    <row r="80" ht="25.5" customHeight="1">
      <c r="A80" s="810">
        <f>IF(ISNUMBER(SK!B124), SK!A124, "")</f>
        <v>19</v>
      </c>
      <c r="B80" s="651">
        <v>14.0</v>
      </c>
      <c r="C80" s="651"/>
      <c r="D80" s="651"/>
      <c r="E80" s="811"/>
      <c r="F80" s="86"/>
      <c r="G80" s="86"/>
      <c r="H80" s="55"/>
      <c r="I80" s="812" t="str">
        <f t="shared" si="3"/>
        <v/>
      </c>
      <c r="J80" s="813">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06">
        <f>IF(ISNUMBER(SK!B126), SK!A126, "")</f>
        <v>20</v>
      </c>
      <c r="B81" s="660">
        <v>24.0</v>
      </c>
      <c r="C81" s="660"/>
      <c r="D81" s="660"/>
      <c r="E81" s="807"/>
      <c r="F81" s="86"/>
      <c r="G81" s="86"/>
      <c r="H81" s="55"/>
      <c r="I81" s="808" t="str">
        <f t="shared" si="3"/>
        <v/>
      </c>
      <c r="J81" s="809">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3"/>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3"/>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3"/>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3"/>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3"/>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3"/>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3"/>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3"/>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3"/>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3"/>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3"/>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3"/>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3"/>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3"/>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3"/>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3"/>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3"/>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3"/>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398</v>
      </c>
      <c r="B100" s="816"/>
      <c r="C100" s="816" t="s">
        <v>406</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400</v>
      </c>
      <c r="B101" s="43"/>
      <c r="C101" s="43" t="s">
        <v>407</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402</v>
      </c>
      <c r="B102" s="820"/>
      <c r="C102" s="820" t="s">
        <v>408</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409</v>
      </c>
      <c r="D8" s="833" t="s">
        <v>140</v>
      </c>
      <c r="E8" s="834" t="s">
        <v>409</v>
      </c>
      <c r="F8" s="835" t="s">
        <v>140</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138</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141</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410</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411</v>
      </c>
      <c r="C13" s="847" t="str">
        <f>IF(ISBLANK(IGRF!B12), "", IGRF!B12)</f>
        <v>White</v>
      </c>
      <c r="D13" s="53"/>
      <c r="E13" s="848" t="str">
        <f>IF(ISBLANK(IGRF!I12), "", IGRF!I12)</f>
        <v>Black</v>
      </c>
      <c r="F13" s="50"/>
    </row>
    <row r="14" ht="24.0" customHeight="1">
      <c r="A14" s="43"/>
      <c r="B14" s="837" t="s">
        <v>412</v>
      </c>
      <c r="C14" s="849"/>
      <c r="D14" s="850"/>
      <c r="E14" s="851"/>
      <c r="F14" s="87"/>
    </row>
    <row r="15" ht="24.0" customHeight="1">
      <c r="A15" s="43"/>
      <c r="B15" s="837" t="s">
        <v>413</v>
      </c>
      <c r="C15" s="852" t="str">
        <f>IF(ISBLANK(IGRF!B49), "", IGRF!B49)</f>
        <v>Skatie Katie</v>
      </c>
      <c r="D15" s="55"/>
      <c r="E15" s="853" t="str">
        <f>IF(ISBLANK(IGRF!I49), "", IGRF!I49)</f>
        <v>Killer Queen</v>
      </c>
      <c r="F15" s="87"/>
    </row>
    <row r="16" ht="24.0" customHeight="1">
      <c r="A16" s="43"/>
      <c r="B16" s="837" t="s">
        <v>414</v>
      </c>
      <c r="C16" s="852"/>
      <c r="D16" s="55"/>
      <c r="E16" s="853"/>
      <c r="F16" s="87"/>
    </row>
    <row r="17" ht="24.0" customHeight="1">
      <c r="A17" s="43"/>
      <c r="B17" s="837" t="s">
        <v>415</v>
      </c>
      <c r="C17" s="849"/>
      <c r="D17" s="850"/>
      <c r="E17" s="851"/>
      <c r="F17" s="87"/>
    </row>
    <row r="18" ht="24.0" customHeight="1">
      <c r="A18" s="43"/>
      <c r="B18" s="837" t="s">
        <v>416</v>
      </c>
      <c r="C18" s="854" t="s">
        <v>417</v>
      </c>
      <c r="D18" s="855" t="s">
        <v>418</v>
      </c>
      <c r="E18" s="856" t="s">
        <v>417</v>
      </c>
      <c r="F18" s="857" t="s">
        <v>418</v>
      </c>
    </row>
    <row r="19" ht="61.5" customHeight="1">
      <c r="A19" s="43"/>
      <c r="B19" s="858" t="s">
        <v>419</v>
      </c>
      <c r="C19" s="859"/>
      <c r="D19" s="168"/>
      <c r="E19" s="860"/>
      <c r="F19" s="73"/>
    </row>
    <row r="20" ht="6.75" customHeight="1">
      <c r="A20" s="43"/>
      <c r="B20" s="43"/>
      <c r="C20" s="43"/>
      <c r="D20" s="43"/>
      <c r="E20" s="43"/>
      <c r="F20" s="43"/>
    </row>
    <row r="21" ht="22.5" customHeight="1">
      <c r="A21" s="861" t="s">
        <v>420</v>
      </c>
      <c r="B21" s="753" t="s">
        <v>421</v>
      </c>
    </row>
    <row r="22" ht="22.5" customHeight="1">
      <c r="A22" s="43"/>
      <c r="B22" s="861" t="s">
        <v>420</v>
      </c>
      <c r="C22" s="862" t="str">
        <f>C6</f>
        <v>#REF!</v>
      </c>
      <c r="D22" s="862"/>
      <c r="E22" s="862"/>
      <c r="F22" s="862"/>
    </row>
    <row r="23" ht="22.5" customHeight="1">
      <c r="A23" s="43"/>
      <c r="B23" s="861" t="s">
        <v>420</v>
      </c>
      <c r="C23" s="862" t="str">
        <f>E6</f>
        <v>#REF!</v>
      </c>
      <c r="D23" s="862"/>
      <c r="E23" s="862"/>
      <c r="F23" s="862"/>
    </row>
    <row r="24" ht="22.5" customHeight="1">
      <c r="A24" s="861" t="s">
        <v>420</v>
      </c>
      <c r="B24" s="753" t="s">
        <v>422</v>
      </c>
    </row>
    <row r="25" ht="22.5" customHeight="1">
      <c r="A25" s="863"/>
      <c r="B25" s="864" t="s">
        <v>423</v>
      </c>
      <c r="C25" s="753" t="s">
        <v>360</v>
      </c>
      <c r="D25" s="753"/>
      <c r="E25" s="753"/>
      <c r="F25" s="753"/>
    </row>
    <row r="26" ht="22.5" customHeight="1">
      <c r="A26" s="863"/>
      <c r="B26" s="864" t="s">
        <v>423</v>
      </c>
      <c r="C26" s="753" t="s">
        <v>424</v>
      </c>
      <c r="D26" s="753"/>
      <c r="E26" s="753"/>
      <c r="F26" s="753"/>
    </row>
    <row r="27" ht="22.5" customHeight="1">
      <c r="A27" s="861" t="s">
        <v>420</v>
      </c>
      <c r="B27" s="753" t="s">
        <v>425</v>
      </c>
    </row>
    <row r="28" ht="22.5" customHeight="1">
      <c r="A28" s="863"/>
      <c r="B28" s="861" t="s">
        <v>420</v>
      </c>
      <c r="C28" s="753" t="s">
        <v>426</v>
      </c>
      <c r="D28" s="43"/>
      <c r="E28" s="753"/>
      <c r="F28" s="753"/>
    </row>
    <row r="29" ht="22.5" customHeight="1">
      <c r="A29" s="863"/>
      <c r="B29" s="861" t="s">
        <v>420</v>
      </c>
      <c r="C29" s="753" t="s">
        <v>427</v>
      </c>
      <c r="D29" s="43"/>
      <c r="E29" s="753"/>
      <c r="F29" s="753"/>
    </row>
    <row r="30" ht="22.5" customHeight="1">
      <c r="A30" s="861" t="s">
        <v>420</v>
      </c>
      <c r="B30" s="753" t="s">
        <v>428</v>
      </c>
    </row>
    <row r="31" ht="22.5" customHeight="1">
      <c r="A31" s="861" t="s">
        <v>420</v>
      </c>
      <c r="B31" s="753"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3.5" customHeight="1">
      <c r="A3" s="5"/>
      <c r="B3" s="43"/>
      <c r="C3" s="43" t="s">
        <v>430</v>
      </c>
      <c r="D3" s="43">
        <f>MAX(Score!A42,Score!T42)</f>
        <v>19</v>
      </c>
      <c r="E3" s="43"/>
      <c r="F3" s="43"/>
      <c r="G3" s="43"/>
      <c r="H3" s="43"/>
      <c r="I3" s="43"/>
      <c r="J3" s="43"/>
      <c r="K3" s="43"/>
      <c r="L3" s="43"/>
      <c r="M3" s="43"/>
      <c r="N3" s="43"/>
      <c r="O3" s="43"/>
      <c r="P3" s="43"/>
      <c r="Q3" s="43"/>
      <c r="R3" s="43"/>
      <c r="S3" s="43"/>
      <c r="T3" s="5"/>
      <c r="U3" s="43"/>
      <c r="V3" s="43" t="s">
        <v>430</v>
      </c>
      <c r="W3" s="43">
        <f>D3</f>
        <v>19</v>
      </c>
      <c r="X3" s="43"/>
      <c r="Y3" s="43"/>
      <c r="Z3" s="43"/>
      <c r="AA3" s="43"/>
      <c r="AB3" s="43"/>
      <c r="AC3" s="43"/>
      <c r="AD3" s="43"/>
      <c r="AE3" s="43"/>
      <c r="AF3" s="43"/>
      <c r="AG3" s="43"/>
      <c r="AH3" s="43"/>
      <c r="AI3" s="43"/>
      <c r="AJ3" s="43"/>
      <c r="AK3" s="43"/>
    </row>
    <row r="4" ht="13.5" customHeight="1">
      <c r="A4" s="5"/>
      <c r="B4" s="43"/>
      <c r="C4" s="43" t="s">
        <v>431</v>
      </c>
      <c r="D4" s="43">
        <f>SK!H79</f>
        <v>13</v>
      </c>
      <c r="E4" s="43"/>
      <c r="F4" s="43"/>
      <c r="G4" s="43"/>
      <c r="H4" s="43"/>
      <c r="I4" s="43"/>
      <c r="J4" s="43"/>
      <c r="K4" s="43"/>
      <c r="L4" s="43"/>
      <c r="M4" s="43"/>
      <c r="N4" s="43"/>
      <c r="O4" s="43"/>
      <c r="P4" s="43"/>
      <c r="Q4" s="43"/>
      <c r="R4" s="43"/>
      <c r="S4" s="43"/>
      <c r="T4" s="5"/>
      <c r="U4" s="43"/>
      <c r="V4" s="43" t="s">
        <v>432</v>
      </c>
      <c r="W4" s="43">
        <f>SK!X79</f>
        <v>5</v>
      </c>
      <c r="X4" s="43"/>
      <c r="Y4" s="43"/>
      <c r="Z4" s="43"/>
      <c r="AA4" s="43"/>
      <c r="AB4" s="43"/>
      <c r="AC4" s="43"/>
      <c r="AD4" s="43"/>
      <c r="AE4" s="43"/>
      <c r="AF4" s="43"/>
      <c r="AG4" s="43"/>
      <c r="AH4" s="43"/>
      <c r="AI4" s="43"/>
      <c r="AJ4" s="43"/>
      <c r="AK4" s="43"/>
    </row>
    <row r="5" ht="13.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435</v>
      </c>
      <c r="B7" s="8"/>
      <c r="C7" s="9"/>
      <c r="D7" s="866"/>
      <c r="E7" s="866"/>
      <c r="F7" s="866"/>
      <c r="G7" s="866"/>
      <c r="H7" s="866"/>
      <c r="I7" s="866"/>
      <c r="J7" s="866"/>
      <c r="K7" s="866"/>
      <c r="L7" s="866"/>
      <c r="M7" s="866"/>
      <c r="N7" s="866"/>
      <c r="O7" s="866"/>
      <c r="P7" s="866"/>
      <c r="Q7" s="866"/>
      <c r="R7" s="866"/>
      <c r="S7" s="43"/>
      <c r="T7" s="865" t="s">
        <v>435</v>
      </c>
      <c r="U7" s="8"/>
      <c r="V7" s="9"/>
      <c r="W7" s="866"/>
      <c r="X7" s="866"/>
      <c r="Y7" s="866"/>
      <c r="Z7" s="866"/>
      <c r="AA7" s="866"/>
      <c r="AB7" s="866"/>
      <c r="AC7" s="866"/>
      <c r="AD7" s="866"/>
      <c r="AE7" s="866"/>
      <c r="AF7" s="866"/>
      <c r="AG7" s="866"/>
      <c r="AH7" s="866"/>
      <c r="AI7" s="866"/>
      <c r="AJ7" s="866"/>
      <c r="AK7" s="866"/>
    </row>
    <row r="8" ht="13.5" customHeight="1">
      <c r="A8" s="867">
        <v>0.0</v>
      </c>
      <c r="B8" s="867" t="s">
        <v>436</v>
      </c>
      <c r="C8" s="867" t="s">
        <v>437</v>
      </c>
      <c r="D8" s="867" t="s">
        <v>292</v>
      </c>
      <c r="E8" s="868" t="s">
        <v>438</v>
      </c>
      <c r="F8" s="869" t="s">
        <v>293</v>
      </c>
      <c r="G8" s="869" t="s">
        <v>293</v>
      </c>
      <c r="H8" s="869" t="s">
        <v>293</v>
      </c>
      <c r="I8" s="869" t="s">
        <v>293</v>
      </c>
      <c r="J8" s="867" t="s">
        <v>439</v>
      </c>
      <c r="K8" s="868" t="s">
        <v>440</v>
      </c>
      <c r="L8" s="867" t="s">
        <v>441</v>
      </c>
      <c r="M8" s="868" t="s">
        <v>442</v>
      </c>
      <c r="N8" s="870" t="s">
        <v>443</v>
      </c>
      <c r="O8" s="867" t="s">
        <v>290</v>
      </c>
      <c r="P8" s="868" t="s">
        <v>444</v>
      </c>
      <c r="Q8" s="867" t="s">
        <v>410</v>
      </c>
      <c r="R8" s="868" t="s">
        <v>445</v>
      </c>
      <c r="S8" s="5"/>
      <c r="T8" s="867">
        <v>0.0</v>
      </c>
      <c r="U8" s="867" t="s">
        <v>436</v>
      </c>
      <c r="V8" s="867" t="s">
        <v>437</v>
      </c>
      <c r="W8" s="867" t="s">
        <v>292</v>
      </c>
      <c r="X8" s="868" t="s">
        <v>438</v>
      </c>
      <c r="Y8" s="869" t="s">
        <v>293</v>
      </c>
      <c r="Z8" s="869" t="s">
        <v>293</v>
      </c>
      <c r="AA8" s="869" t="s">
        <v>293</v>
      </c>
      <c r="AB8" s="869" t="s">
        <v>293</v>
      </c>
      <c r="AC8" s="867" t="s">
        <v>439</v>
      </c>
      <c r="AD8" s="868" t="s">
        <v>440</v>
      </c>
      <c r="AE8" s="867" t="s">
        <v>441</v>
      </c>
      <c r="AF8" s="868" t="s">
        <v>442</v>
      </c>
      <c r="AG8" s="870" t="s">
        <v>443</v>
      </c>
      <c r="AH8" s="867" t="s">
        <v>290</v>
      </c>
      <c r="AI8" s="868" t="s">
        <v>444</v>
      </c>
      <c r="AJ8" s="867" t="s">
        <v>410</v>
      </c>
      <c r="AK8" s="868" t="s">
        <v>445</v>
      </c>
    </row>
    <row r="9" ht="13.5" customHeight="1">
      <c r="A9" s="5">
        <f t="shared" ref="A9:A28" si="1">A8+1</f>
        <v>1</v>
      </c>
      <c r="B9" s="871" t="str">
        <f>IF(ISBLANK(IGRF!B14),"",IGRF!B14)</f>
        <v>01</v>
      </c>
      <c r="C9" s="871" t="str">
        <f>IF(ISBLANK(IGRF!C14),"",IGRF!C14)</f>
        <v>Goldy Knocks</v>
      </c>
      <c r="D9" s="43">
        <f>IF($B9="","",SUMPRODUCT(--(Lineups!$G$4:$G$41=$B9),--(Lineups!$B$4:$B$41="")))</f>
        <v>5</v>
      </c>
      <c r="E9" s="872">
        <f t="shared" ref="E9:E28" si="2">IF($B9="","",IF($D$3=0,"",D9/$D$3))</f>
        <v>0.2631578947</v>
      </c>
      <c r="F9" s="873">
        <f>IF($B9="","",SUMPRODUCT(--(Lineups!$G$4:$G$41=$B9),--(Lineups!$B$4:$B$41="X")))</f>
        <v>0</v>
      </c>
      <c r="G9" s="873">
        <f>IF($B9="","",SUMPRODUCT(--(Lineups!K$4:K$41=$B9),--(Lineups!A$4:A$41&lt;&gt;"SP")))</f>
        <v>2</v>
      </c>
      <c r="H9" s="873">
        <f>IF($B9="","",SUMPRODUCT(--(Lineups!O$4:O$41=$B9),--(Lineups!A$4:A$41&lt;&gt;"SP")))</f>
        <v>1</v>
      </c>
      <c r="I9" s="873">
        <f>IF($B9="","",SUMPRODUCT(--(Lineups!S$4:S$41=$B9),--(Lineups!A$4:A$41&lt;&gt;"SP")))</f>
        <v>0</v>
      </c>
      <c r="J9" s="43">
        <f t="shared" ref="J9:J28" si="3">IF(B9="","",SUM(F9:I9))</f>
        <v>3</v>
      </c>
      <c r="K9" s="872">
        <f t="shared" ref="K9:K28" si="4">IF($B9="","",IF($D$3=0,"",J9/$D$3))</f>
        <v>0.1578947368</v>
      </c>
      <c r="L9" s="43">
        <f t="shared" ref="L9:L28" si="5">IF(B9="","",SUM(D9,J9))</f>
        <v>8</v>
      </c>
      <c r="M9" s="872">
        <f t="shared" ref="M9:M28" si="6">IF($B9="","",IF($D$3=0,"",L9/$D$3))</f>
        <v>0.4210526316</v>
      </c>
      <c r="N9" s="874" t="str">
        <f>IF(B9="","",IF(OR(SK!E172="",SK!E172=0),"",SK!H172))</f>
        <v/>
      </c>
      <c r="O9" s="43">
        <f>IF($B9="","",SUMPRODUCT(--(Lineups!C$4:C$41=$B9)))</f>
        <v>0</v>
      </c>
      <c r="P9" s="872">
        <f t="shared" ref="P9:P28" si="7">IF($B9="","",IF($D$3=0,"",O9/$D$3))</f>
        <v>0</v>
      </c>
      <c r="Q9" s="43">
        <f t="shared" ref="Q9:Q28" si="8">IF(B9="","",SUM(L9,O9))</f>
        <v>8</v>
      </c>
      <c r="R9" s="872">
        <f t="shared" ref="R9:R28" si="9">IF($B9="","",IF($D$3=0,"",Q9/$D$3))</f>
        <v>0.4210526316</v>
      </c>
      <c r="S9" s="43"/>
      <c r="T9" s="5">
        <f t="shared" ref="T9:T28" si="10">T8+1</f>
        <v>1</v>
      </c>
      <c r="U9" s="871" t="str">
        <f>IF(ISBLANK(IGRF!I14),"",IGRF!I14)</f>
        <v>10*</v>
      </c>
      <c r="V9" s="871" t="str">
        <f>IF(ISBLANK(IGRF!J14),"",IGRF!J14)</f>
        <v>BAMPF!</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0</v>
      </c>
      <c r="AF9" s="872">
        <f t="shared" ref="AF9:AF28" si="15">IF($U9="","",IF($W$3=0,"",AE9/$W$3))</f>
        <v>0</v>
      </c>
      <c r="AG9" s="874" t="str">
        <f>IF(U9="","",IF(OR(SK!U172="",SK!U172=0),"",SK!X172))</f>
        <v/>
      </c>
      <c r="AH9" s="43">
        <f>IF($U9="","",SUMPRODUCT(--(Lineups!AC$4:AC$41=$U9)))</f>
        <v>0</v>
      </c>
      <c r="AI9" s="872">
        <f t="shared" ref="AI9:AI28" si="16">IF($U9="","",IF($W$3=0,"",AH9/$W$3))</f>
        <v>0</v>
      </c>
      <c r="AJ9" s="43">
        <f t="shared" ref="AJ9:AJ28" si="17">IF(U9="","",SUM(AE9,AH9))</f>
        <v>0</v>
      </c>
      <c r="AK9" s="872">
        <f t="shared" ref="AK9:AK28" si="18">IF($U9="","",IF($W$3=0,"",AJ9/$W$3))</f>
        <v>0</v>
      </c>
    </row>
    <row r="10" ht="13.5" customHeight="1">
      <c r="A10" s="875">
        <f t="shared" si="1"/>
        <v>2</v>
      </c>
      <c r="B10" s="876" t="str">
        <f>IF(ISBLANK(IGRF!B15),"",IGRF!B15)</f>
        <v>024</v>
      </c>
      <c r="C10" s="876" t="str">
        <f>IF(ISBLANK(IGRF!C15),"",IGRF!C15)</f>
        <v>Cutty</v>
      </c>
      <c r="D10" s="877">
        <f>IF($B10="","",SUMPRODUCT(--(Lineups!$G$4:$G$41=$B10),--(Lineups!$B$4:$B$41="")))</f>
        <v>5</v>
      </c>
      <c r="E10" s="878">
        <f t="shared" si="2"/>
        <v>0.2631578947</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5</v>
      </c>
      <c r="M10" s="878">
        <f t="shared" si="6"/>
        <v>0.2631578947</v>
      </c>
      <c r="N10" s="879" t="str">
        <f>IF(B10="","",IF(OR(SK!E175="",SK!E175=0),"",SK!H175))</f>
        <v/>
      </c>
      <c r="O10" s="877">
        <f>IF($B10="","",SUMPRODUCT(--(Lineups!C$4:C$41=$B10)))</f>
        <v>0</v>
      </c>
      <c r="P10" s="878">
        <f t="shared" si="7"/>
        <v>0</v>
      </c>
      <c r="Q10" s="877">
        <f t="shared" si="8"/>
        <v>5</v>
      </c>
      <c r="R10" s="878">
        <f t="shared" si="9"/>
        <v>0.2631578947</v>
      </c>
      <c r="S10" s="43"/>
      <c r="T10" s="875">
        <f t="shared" si="10"/>
        <v>2</v>
      </c>
      <c r="U10" s="876" t="str">
        <f>IF(ISBLANK(IGRF!I15),"",IGRF!I15)</f>
        <v>11</v>
      </c>
      <c r="V10" s="876" t="str">
        <f>IF(ISBLANK(IGRF!J15),"",IGRF!J15)</f>
        <v>Killer Queen</v>
      </c>
      <c r="W10" s="877">
        <f>IF($U10="","",SUMPRODUCT(--(Lineups!$AG$4:$AG$41=$U10),--(Lineups!$AB$4:$AB$41="")))</f>
        <v>0</v>
      </c>
      <c r="X10" s="878">
        <f t="shared" si="11"/>
        <v>0</v>
      </c>
      <c r="Y10" s="873">
        <f>IF($U10="","",SUMPRODUCT(--(Lineups!$AG$4:$AG$41=$U10),--(Lineups!$AB$4:$AB$41="X")))</f>
        <v>0</v>
      </c>
      <c r="Z10" s="873">
        <f>IF($U10="","",SUMPRODUCT(--(Lineups!AK$4:AK$41=$U10),--(Lineups!AA$4:AA$41&lt;&gt;"SP")))</f>
        <v>5</v>
      </c>
      <c r="AA10" s="873">
        <f>IF($U10="","",SUMPRODUCT(--(Lineups!AO$4:AO$41=$U10),--(Lineups!AA$4:AA$41&lt;&gt;"SP")))</f>
        <v>4</v>
      </c>
      <c r="AB10" s="873">
        <f>IF($U10="","",SUMPRODUCT(--(Lineups!AS$4:AS$41=$U10),--(Lineups!AA$4:AA$41&lt;&gt;"SP")))</f>
        <v>2</v>
      </c>
      <c r="AC10" s="877">
        <f t="shared" si="12"/>
        <v>11</v>
      </c>
      <c r="AD10" s="878">
        <f t="shared" si="13"/>
        <v>0.5789473684</v>
      </c>
      <c r="AE10" s="877">
        <f t="shared" si="14"/>
        <v>11</v>
      </c>
      <c r="AF10" s="878">
        <f t="shared" si="15"/>
        <v>0.5789473684</v>
      </c>
      <c r="AG10" s="879" t="str">
        <f>IF(U10="","",IF(OR(SK!U175="",SK!U175=0),"",SK!X175))</f>
        <v/>
      </c>
      <c r="AH10" s="877">
        <f>IF($U10="","",SUMPRODUCT(--(Lineups!AC$4:AC$41=$U10)))</f>
        <v>0</v>
      </c>
      <c r="AI10" s="878">
        <f t="shared" si="16"/>
        <v>0</v>
      </c>
      <c r="AJ10" s="877">
        <f t="shared" si="17"/>
        <v>11</v>
      </c>
      <c r="AK10" s="878">
        <f t="shared" si="18"/>
        <v>0.5789473684</v>
      </c>
    </row>
    <row r="11" ht="13.5" customHeight="1">
      <c r="A11" s="5">
        <f t="shared" si="1"/>
        <v>3</v>
      </c>
      <c r="B11" s="871" t="str">
        <f>IF(ISBLANK(IGRF!B16),"",IGRF!B16)</f>
        <v>10</v>
      </c>
      <c r="C11" s="871" t="str">
        <f>IF(ISBLANK(IGRF!C16),"",IGRF!C16)</f>
        <v>Frida</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f>IF(B11="","",IF(OR(SK!E178="",SK!E178=0),"",SK!H178))</f>
        <v>3</v>
      </c>
      <c r="O11" s="43">
        <f>IF($B11="","",SUMPRODUCT(--(Lineups!C$4:C$41=$B11)))</f>
        <v>5</v>
      </c>
      <c r="P11" s="872">
        <f t="shared" si="7"/>
        <v>0.2631578947</v>
      </c>
      <c r="Q11" s="43">
        <f t="shared" si="8"/>
        <v>5</v>
      </c>
      <c r="R11" s="872">
        <f t="shared" si="9"/>
        <v>0.2631578947</v>
      </c>
      <c r="S11" s="43"/>
      <c r="T11" s="5">
        <f t="shared" si="10"/>
        <v>3</v>
      </c>
      <c r="U11" s="871" t="str">
        <f>IF(ISBLANK(IGRF!I16),"",IGRF!I16)</f>
        <v>120</v>
      </c>
      <c r="V11" s="871" t="str">
        <f>IF(ISBLANK(IGRF!J16),"",IGRF!J16)</f>
        <v>Nikki Nail 'er</v>
      </c>
      <c r="W11" s="43">
        <f>IF($U11="","",SUMPRODUCT(--(Lineups!$AG$4:$AG$41=$U11),--(Lineups!$AB$4:$AB$41="")))</f>
        <v>0</v>
      </c>
      <c r="X11" s="872">
        <f t="shared" si="11"/>
        <v>0</v>
      </c>
      <c r="Y11" s="873">
        <f>IF($U11="","",SUMPRODUCT(--(Lineups!$AG$4:$AG$41=$U11),--(Lineups!$AB$4:$AB$41="X")))</f>
        <v>0</v>
      </c>
      <c r="Z11" s="873">
        <f>IF($U11="","",SUMPRODUCT(--(Lineups!AK$4:AK$41=$U11),--(Lineups!AA$4:AA$41&lt;&gt;"SP")))</f>
        <v>4</v>
      </c>
      <c r="AA11" s="873">
        <f>IF($U11="","",SUMPRODUCT(--(Lineups!AO$4:AO$41=$U11),--(Lineups!AA$4:AA$41&lt;&gt;"SP")))</f>
        <v>2</v>
      </c>
      <c r="AB11" s="873">
        <f>IF($U11="","",SUMPRODUCT(--(Lineups!AS$4:AS$41=$U11),--(Lineups!AA$4:AA$41&lt;&gt;"SP")))</f>
        <v>2</v>
      </c>
      <c r="AC11" s="43">
        <f t="shared" si="12"/>
        <v>8</v>
      </c>
      <c r="AD11" s="872">
        <f t="shared" si="13"/>
        <v>0.4210526316</v>
      </c>
      <c r="AE11" s="43">
        <f t="shared" si="14"/>
        <v>8</v>
      </c>
      <c r="AF11" s="872">
        <f t="shared" si="15"/>
        <v>0.4210526316</v>
      </c>
      <c r="AG11" s="874" t="str">
        <f>IF(U11="","",IF(OR(SK!U178="",SK!U178=0),"",SK!X178))</f>
        <v/>
      </c>
      <c r="AH11" s="43">
        <f>IF($U11="","",SUMPRODUCT(--(Lineups!AC$4:AC$41=$U11)))</f>
        <v>0</v>
      </c>
      <c r="AI11" s="872">
        <f t="shared" si="16"/>
        <v>0</v>
      </c>
      <c r="AJ11" s="43">
        <f t="shared" si="17"/>
        <v>8</v>
      </c>
      <c r="AK11" s="872">
        <f t="shared" si="18"/>
        <v>0.4210526316</v>
      </c>
    </row>
    <row r="12" ht="13.5" customHeight="1">
      <c r="A12" s="875">
        <f t="shared" si="1"/>
        <v>4</v>
      </c>
      <c r="B12" s="876" t="str">
        <f>IF(ISBLANK(IGRF!B17),"",IGRF!B17)</f>
        <v>16*</v>
      </c>
      <c r="C12" s="876" t="str">
        <f>IF(ISBLANK(IGRF!C17),"",IGRF!C17)</f>
        <v>Just Monroe</v>
      </c>
      <c r="D12" s="877">
        <f>IF($B12="","",SUMPRODUCT(--(Lineups!$G$4:$G$41=$B12),--(Lineups!$B$4:$B$41="")))</f>
        <v>0</v>
      </c>
      <c r="E12" s="878">
        <f t="shared" si="2"/>
        <v>0</v>
      </c>
      <c r="F12" s="873">
        <f>IF($B12="","",SUMPRODUCT(--(Lineups!$G$4:$G$41=$B12),--(Lineups!$B$4:$B$41="X")))</f>
        <v>0</v>
      </c>
      <c r="G12" s="873">
        <f>IF($B12="","",SUMPRODUCT(--(Lineups!K$4:K$41=$B12),--(Lineups!A$4:A$41&lt;&gt;"SP")))</f>
        <v>0</v>
      </c>
      <c r="H12" s="873">
        <f>IF($B12="","",SUMPRODUCT(--(Lineups!O$4:O$41=$B12),--(Lineups!A$4:A$41&lt;&gt;"SP")))</f>
        <v>0</v>
      </c>
      <c r="I12" s="873">
        <f>IF($B12="","",SUMPRODUCT(--(Lineups!S$4:S$41=$B12),--(Lineups!A$4:A$41&lt;&gt;"SP")))</f>
        <v>0</v>
      </c>
      <c r="J12" s="877">
        <f t="shared" si="3"/>
        <v>0</v>
      </c>
      <c r="K12" s="878">
        <f t="shared" si="4"/>
        <v>0</v>
      </c>
      <c r="L12" s="877">
        <f t="shared" si="5"/>
        <v>0</v>
      </c>
      <c r="M12" s="878">
        <f t="shared" si="6"/>
        <v>0</v>
      </c>
      <c r="N12" s="879" t="str">
        <f>IF(B12="","",IF(OR(SK!E181="",SK!E181=0),"",SK!H181))</f>
        <v/>
      </c>
      <c r="O12" s="877">
        <f>IF($B12="","",SUMPRODUCT(--(Lineups!C$4:C$41=$B12)))</f>
        <v>0</v>
      </c>
      <c r="P12" s="878">
        <f t="shared" si="7"/>
        <v>0</v>
      </c>
      <c r="Q12" s="877">
        <f t="shared" si="8"/>
        <v>0</v>
      </c>
      <c r="R12" s="878">
        <f t="shared" si="9"/>
        <v>0</v>
      </c>
      <c r="S12" s="43"/>
      <c r="T12" s="875">
        <f t="shared" si="10"/>
        <v>4</v>
      </c>
      <c r="U12" s="876" t="str">
        <f>IF(ISBLANK(IGRF!I17),"",IGRF!I17)</f>
        <v>13</v>
      </c>
      <c r="V12" s="876" t="str">
        <f>IF(ISBLANK(IGRF!J17),"",IGRF!J17)</f>
        <v>Libido Loca</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t="str">
        <f>IF(U12="","",IF(OR(SK!U181="",SK!U181=0),"",SK!X181))</f>
        <v/>
      </c>
      <c r="AH12" s="877">
        <f>IF($U12="","",SUMPRODUCT(--(Lineups!AC$4:AC$41=$U12)))</f>
        <v>0</v>
      </c>
      <c r="AI12" s="878">
        <f t="shared" si="16"/>
        <v>0</v>
      </c>
      <c r="AJ12" s="877">
        <f t="shared" si="17"/>
        <v>0</v>
      </c>
      <c r="AK12" s="878">
        <f t="shared" si="18"/>
        <v>0</v>
      </c>
    </row>
    <row r="13" ht="13.5" customHeight="1">
      <c r="A13" s="5">
        <f t="shared" si="1"/>
        <v>5</v>
      </c>
      <c r="B13" s="871" t="str">
        <f>IF(ISBLANK(IGRF!B18),"",IGRF!B18)</f>
        <v>22*</v>
      </c>
      <c r="C13" s="871" t="str">
        <f>IF(ISBLANK(IGRF!C18),"",IGRF!C18)</f>
        <v>Meche</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t="str">
        <f>IF(B13="","",IF(OR(SK!E184="",SK!E184=0),"",SK!H184))</f>
        <v/>
      </c>
      <c r="O13" s="43">
        <f>IF($B13="","",SUMPRODUCT(--(Lineups!C$4:C$41=$B13)))</f>
        <v>0</v>
      </c>
      <c r="P13" s="872">
        <f t="shared" si="7"/>
        <v>0</v>
      </c>
      <c r="Q13" s="43">
        <f t="shared" si="8"/>
        <v>0</v>
      </c>
      <c r="R13" s="872">
        <f t="shared" si="9"/>
        <v>0</v>
      </c>
      <c r="S13" s="43"/>
      <c r="T13" s="5">
        <f t="shared" si="10"/>
        <v>5</v>
      </c>
      <c r="U13" s="871" t="str">
        <f>IF(ISBLANK(IGRF!I18),"",IGRF!I18)</f>
        <v>15</v>
      </c>
      <c r="V13" s="871" t="str">
        <f>IF(ISBLANK(IGRF!J18),"",IGRF!J18)</f>
        <v>Harley Darlin</v>
      </c>
      <c r="W13" s="43">
        <f>IF($U13="","",SUMPRODUCT(--(Lineups!$AG$4:$AG$41=$U13),--(Lineups!$AB$4:$AB$41="")))</f>
        <v>0</v>
      </c>
      <c r="X13" s="872">
        <f t="shared" si="11"/>
        <v>0</v>
      </c>
      <c r="Y13" s="873">
        <f>IF($U13="","",SUMPRODUCT(--(Lineups!$AG$4:$AG$41=$U13),--(Lineups!$AB$4:$AB$41="X")))</f>
        <v>1</v>
      </c>
      <c r="Z13" s="873">
        <f>IF($U13="","",SUMPRODUCT(--(Lineups!AK$4:AK$41=$U13),--(Lineups!AA$4:AA$41&lt;&gt;"SP")))</f>
        <v>0</v>
      </c>
      <c r="AA13" s="873">
        <f>IF($U13="","",SUMPRODUCT(--(Lineups!AO$4:AO$41=$U13),--(Lineups!AA$4:AA$41&lt;&gt;"SP")))</f>
        <v>0</v>
      </c>
      <c r="AB13" s="873">
        <f>IF($U13="","",SUMPRODUCT(--(Lineups!AS$4:AS$41=$U13),--(Lineups!AA$4:AA$41&lt;&gt;"SP")))</f>
        <v>0</v>
      </c>
      <c r="AC13" s="43">
        <f t="shared" si="12"/>
        <v>1</v>
      </c>
      <c r="AD13" s="872">
        <f t="shared" si="13"/>
        <v>0.05263157895</v>
      </c>
      <c r="AE13" s="43">
        <f t="shared" si="14"/>
        <v>1</v>
      </c>
      <c r="AF13" s="872">
        <f t="shared" si="15"/>
        <v>0.05263157895</v>
      </c>
      <c r="AG13" s="874">
        <f>IF(U13="","",IF(OR(SK!U184="",SK!U184=0),"",SK!X184))</f>
        <v>2</v>
      </c>
      <c r="AH13" s="43">
        <f>IF($U13="","",SUMPRODUCT(--(Lineups!AC$4:AC$41=$U13)))</f>
        <v>5</v>
      </c>
      <c r="AI13" s="872">
        <f t="shared" si="16"/>
        <v>0.2631578947</v>
      </c>
      <c r="AJ13" s="43">
        <f t="shared" si="17"/>
        <v>6</v>
      </c>
      <c r="AK13" s="872">
        <f t="shared" si="18"/>
        <v>0.3157894737</v>
      </c>
    </row>
    <row r="14" ht="13.5" customHeight="1">
      <c r="A14" s="875">
        <f t="shared" si="1"/>
        <v>6</v>
      </c>
      <c r="B14" s="876" t="str">
        <f>IF(ISBLANK(IGRF!B19),"",IGRF!B19)</f>
        <v>24</v>
      </c>
      <c r="C14" s="876" t="str">
        <f>IF(ISBLANK(IGRF!C19),"",IGRF!C19)</f>
        <v>Ima BlowBya</v>
      </c>
      <c r="D14" s="877">
        <f>IF($B14="","",SUMPRODUCT(--(Lineups!$G$4:$G$41=$B14),--(Lineups!$B$4:$B$41="")))</f>
        <v>0</v>
      </c>
      <c r="E14" s="878">
        <f t="shared" si="2"/>
        <v>0</v>
      </c>
      <c r="F14" s="873">
        <f>IF($B14="","",SUMPRODUCT(--(Lineups!$G$4:$G$41=$B14),--(Lineups!$B$4:$B$41="X")))</f>
        <v>0</v>
      </c>
      <c r="G14" s="873">
        <f>IF($B14="","",SUMPRODUCT(--(Lineups!K$4:K$41=$B14),--(Lineups!A$4:A$41&lt;&gt;"SP")))</f>
        <v>5</v>
      </c>
      <c r="H14" s="873">
        <f>IF($B14="","",SUMPRODUCT(--(Lineups!O$4:O$41=$B14),--(Lineups!A$4:A$41&lt;&gt;"SP")))</f>
        <v>1</v>
      </c>
      <c r="I14" s="873">
        <f>IF($B14="","",SUMPRODUCT(--(Lineups!S$4:S$41=$B14),--(Lineups!A$4:A$41&lt;&gt;"SP")))</f>
        <v>3</v>
      </c>
      <c r="J14" s="877">
        <f t="shared" si="3"/>
        <v>9</v>
      </c>
      <c r="K14" s="878">
        <f t="shared" si="4"/>
        <v>0.4736842105</v>
      </c>
      <c r="L14" s="877">
        <f t="shared" si="5"/>
        <v>9</v>
      </c>
      <c r="M14" s="878">
        <f t="shared" si="6"/>
        <v>0.4736842105</v>
      </c>
      <c r="N14" s="879" t="str">
        <f>IF(B14="","",IF(OR(SK!E187="",SK!E187=0),"",SK!H187))</f>
        <v/>
      </c>
      <c r="O14" s="877">
        <f>IF($B14="","",SUMPRODUCT(--(Lineups!C$4:C$41=$B14)))</f>
        <v>0</v>
      </c>
      <c r="P14" s="878">
        <f t="shared" si="7"/>
        <v>0</v>
      </c>
      <c r="Q14" s="877">
        <f t="shared" si="8"/>
        <v>9</v>
      </c>
      <c r="R14" s="878">
        <f t="shared" si="9"/>
        <v>0.4736842105</v>
      </c>
      <c r="S14" s="43"/>
      <c r="T14" s="875">
        <f t="shared" si="10"/>
        <v>6</v>
      </c>
      <c r="U14" s="876" t="str">
        <f>IF(ISBLANK(IGRF!I19),"",IGRF!I19)</f>
        <v>21*</v>
      </c>
      <c r="V14" s="876" t="str">
        <f>IF(ISBLANK(IGRF!J19),"",IGRF!J19)</f>
        <v>Agatha KrisB</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t="str">
        <f>IF(U14="","",IF(OR(SK!U187="",SK!U187=0),"",SK!X187))</f>
        <v/>
      </c>
      <c r="AH14" s="877">
        <f>IF($U14="","",SUMPRODUCT(--(Lineups!AC$4:AC$41=$U14)))</f>
        <v>0</v>
      </c>
      <c r="AI14" s="878">
        <f t="shared" si="16"/>
        <v>0</v>
      </c>
      <c r="AJ14" s="877">
        <f t="shared" si="17"/>
        <v>0</v>
      </c>
      <c r="AK14" s="878">
        <f t="shared" si="18"/>
        <v>0</v>
      </c>
    </row>
    <row r="15" ht="13.5" customHeight="1">
      <c r="A15" s="5">
        <f t="shared" si="1"/>
        <v>7</v>
      </c>
      <c r="B15" s="871" t="str">
        <f>IF(ISBLANK(IGRF!B20),"",IGRF!B20)</f>
        <v>264</v>
      </c>
      <c r="C15" s="871" t="str">
        <f>IF(ISBLANK(IGRF!C20),"",IGRF!C20)</f>
        <v>Velasco Sauce</v>
      </c>
      <c r="D15" s="43">
        <f>IF($B15="","",SUMPRODUCT(--(Lineups!$G$4:$G$41=$B15),--(Lineups!$B$4:$B$41="")))</f>
        <v>0</v>
      </c>
      <c r="E15" s="872">
        <f t="shared" si="2"/>
        <v>0</v>
      </c>
      <c r="F15" s="873">
        <f>IF($B15="","",SUMPRODUCT(--(Lineups!$G$4:$G$41=$B15),--(Lineups!$B$4:$B$41="X")))</f>
        <v>0</v>
      </c>
      <c r="G15" s="873">
        <f>IF($B15="","",SUMPRODUCT(--(Lineups!K$4:K$41=$B15),--(Lineups!A$4:A$41&lt;&gt;"SP")))</f>
        <v>2</v>
      </c>
      <c r="H15" s="873">
        <f>IF($B15="","",SUMPRODUCT(--(Lineups!O$4:O$41=$B15),--(Lineups!A$4:A$41&lt;&gt;"SP")))</f>
        <v>5</v>
      </c>
      <c r="I15" s="873">
        <f>IF($B15="","",SUMPRODUCT(--(Lineups!S$4:S$41=$B15),--(Lineups!A$4:A$41&lt;&gt;"SP")))</f>
        <v>0</v>
      </c>
      <c r="J15" s="43">
        <f t="shared" si="3"/>
        <v>7</v>
      </c>
      <c r="K15" s="872">
        <f t="shared" si="4"/>
        <v>0.3684210526</v>
      </c>
      <c r="L15" s="43">
        <f t="shared" si="5"/>
        <v>7</v>
      </c>
      <c r="M15" s="872">
        <f t="shared" si="6"/>
        <v>0.3684210526</v>
      </c>
      <c r="N15" s="874" t="str">
        <f>IF(B15="","",IF(OR(SK!E190="",SK!E190=0),"",SK!H190))</f>
        <v/>
      </c>
      <c r="O15" s="43">
        <f>IF($B15="","",SUMPRODUCT(--(Lineups!C$4:C$41=$B15)))</f>
        <v>0</v>
      </c>
      <c r="P15" s="872">
        <f t="shared" si="7"/>
        <v>0</v>
      </c>
      <c r="Q15" s="43">
        <f t="shared" si="8"/>
        <v>7</v>
      </c>
      <c r="R15" s="872">
        <f t="shared" si="9"/>
        <v>0.3684210526</v>
      </c>
      <c r="S15" s="43"/>
      <c r="T15" s="5">
        <f t="shared" si="10"/>
        <v>7</v>
      </c>
      <c r="U15" s="871" t="str">
        <f>IF(ISBLANK(IGRF!I20),"",IGRF!I20)</f>
        <v>213</v>
      </c>
      <c r="V15" s="871" t="str">
        <f>IF(ISBLANK(IGRF!J20),"",IGRF!J20)</f>
        <v>IceBox</v>
      </c>
      <c r="W15" s="43">
        <f>IF($U15="","",SUMPRODUCT(--(Lineups!$AG$4:$AG$41=$U15),--(Lineups!$AB$4:$AB$41="")))</f>
        <v>0</v>
      </c>
      <c r="X15" s="872">
        <f t="shared" si="11"/>
        <v>0</v>
      </c>
      <c r="Y15" s="873">
        <f>IF($U15="","",SUMPRODUCT(--(Lineups!$AG$4:$AG$41=$U15),--(Lineups!$AB$4:$AB$41="X")))</f>
        <v>0</v>
      </c>
      <c r="Z15" s="873">
        <f>IF($U15="","",SUMPRODUCT(--(Lineups!AK$4:AK$41=$U15),--(Lineups!AA$4:AA$41&lt;&gt;"SP")))</f>
        <v>1</v>
      </c>
      <c r="AA15" s="873">
        <f>IF($U15="","",SUMPRODUCT(--(Lineups!AO$4:AO$41=$U15),--(Lineups!AA$4:AA$41&lt;&gt;"SP")))</f>
        <v>0</v>
      </c>
      <c r="AB15" s="873">
        <f>IF($U15="","",SUMPRODUCT(--(Lineups!AS$4:AS$41=$U15),--(Lineups!AA$4:AA$41&lt;&gt;"SP")))</f>
        <v>8</v>
      </c>
      <c r="AC15" s="43">
        <f t="shared" si="12"/>
        <v>9</v>
      </c>
      <c r="AD15" s="872">
        <f t="shared" si="13"/>
        <v>0.4736842105</v>
      </c>
      <c r="AE15" s="43">
        <f t="shared" si="14"/>
        <v>9</v>
      </c>
      <c r="AF15" s="872">
        <f t="shared" si="15"/>
        <v>0.4736842105</v>
      </c>
      <c r="AG15" s="874" t="str">
        <f>IF(U15="","",IF(OR(SK!U190="",SK!U190=0),"",SK!X190))</f>
        <v/>
      </c>
      <c r="AH15" s="43">
        <f>IF($U15="","",SUMPRODUCT(--(Lineups!AC$4:AC$41=$U15)))</f>
        <v>0</v>
      </c>
      <c r="AI15" s="872">
        <f t="shared" si="16"/>
        <v>0</v>
      </c>
      <c r="AJ15" s="43">
        <f t="shared" si="17"/>
        <v>9</v>
      </c>
      <c r="AK15" s="872">
        <f t="shared" si="18"/>
        <v>0.4736842105</v>
      </c>
    </row>
    <row r="16" ht="13.5" customHeight="1">
      <c r="A16" s="875">
        <f t="shared" si="1"/>
        <v>8</v>
      </c>
      <c r="B16" s="876" t="str">
        <f>IF(ISBLANK(IGRF!B21),"",IGRF!B21)</f>
        <v>27*</v>
      </c>
      <c r="C16" s="876" t="str">
        <f>IF(ISBLANK(IGRF!C21),"",IGRF!C21)</f>
        <v>Babethoven</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t="str">
        <f>IF(B16="","",IF(OR(SK!E193="",SK!E193=0),"",SK!H193))</f>
        <v/>
      </c>
      <c r="O16" s="877">
        <f>IF($B16="","",SUMPRODUCT(--(Lineups!C$4:C$41=$B16)))</f>
        <v>0</v>
      </c>
      <c r="P16" s="878">
        <f t="shared" si="7"/>
        <v>0</v>
      </c>
      <c r="Q16" s="877">
        <f t="shared" si="8"/>
        <v>0</v>
      </c>
      <c r="R16" s="878">
        <f t="shared" si="9"/>
        <v>0</v>
      </c>
      <c r="S16" s="43"/>
      <c r="T16" s="875">
        <f t="shared" si="10"/>
        <v>8</v>
      </c>
      <c r="U16" s="876" t="str">
        <f>IF(ISBLANK(IGRF!I21),"",IGRF!I21)</f>
        <v>221</v>
      </c>
      <c r="V16" s="876" t="str">
        <f>IF(ISBLANK(IGRF!J21),"",IGRF!J21)</f>
        <v>Syann</v>
      </c>
      <c r="W16" s="877">
        <f>IF($U16="","",SUMPRODUCT(--(Lineups!$AG$4:$AG$41=$U16),--(Lineups!$AB$4:$AB$41="")))</f>
        <v>0</v>
      </c>
      <c r="X16" s="878">
        <f t="shared" si="11"/>
        <v>0</v>
      </c>
      <c r="Y16" s="873">
        <f>IF($U16="","",SUMPRODUCT(--(Lineups!$AG$4:$AG$41=$U16),--(Lineups!$AB$4:$AB$41="X")))</f>
        <v>1</v>
      </c>
      <c r="Z16" s="873">
        <f>IF($U16="","",SUMPRODUCT(--(Lineups!AK$4:AK$41=$U16),--(Lineups!AA$4:AA$41&lt;&gt;"SP")))</f>
        <v>0</v>
      </c>
      <c r="AA16" s="873">
        <f>IF($U16="","",SUMPRODUCT(--(Lineups!AO$4:AO$41=$U16),--(Lineups!AA$4:AA$41&lt;&gt;"SP")))</f>
        <v>0</v>
      </c>
      <c r="AB16" s="873">
        <f>IF($U16="","",SUMPRODUCT(--(Lineups!AS$4:AS$41=$U16),--(Lineups!AA$4:AA$41&lt;&gt;"SP")))</f>
        <v>0</v>
      </c>
      <c r="AC16" s="877">
        <f t="shared" si="12"/>
        <v>1</v>
      </c>
      <c r="AD16" s="878">
        <f t="shared" si="13"/>
        <v>0.05263157895</v>
      </c>
      <c r="AE16" s="877">
        <f t="shared" si="14"/>
        <v>1</v>
      </c>
      <c r="AF16" s="878">
        <f t="shared" si="15"/>
        <v>0.05263157895</v>
      </c>
      <c r="AG16" s="879">
        <f>IF(U16="","",IF(OR(SK!U193="",SK!U193=0),"",SK!X193))</f>
        <v>0</v>
      </c>
      <c r="AH16" s="877">
        <f>IF($U16="","",SUMPRODUCT(--(Lineups!AC$4:AC$41=$U16)))</f>
        <v>3</v>
      </c>
      <c r="AI16" s="878">
        <f t="shared" si="16"/>
        <v>0.1578947368</v>
      </c>
      <c r="AJ16" s="877">
        <f t="shared" si="17"/>
        <v>4</v>
      </c>
      <c r="AK16" s="878">
        <f t="shared" si="18"/>
        <v>0.2105263158</v>
      </c>
    </row>
    <row r="17" ht="13.5" customHeight="1">
      <c r="A17" s="5">
        <f t="shared" si="1"/>
        <v>9</v>
      </c>
      <c r="B17" s="871" t="str">
        <f>IF(ISBLANK(IGRF!B22),"",IGRF!B22)</f>
        <v>3</v>
      </c>
      <c r="C17" s="871" t="str">
        <f>IF(ISBLANK(IGRF!C22),"",IGRF!C22)</f>
        <v>Alexia</v>
      </c>
      <c r="D17" s="43">
        <f>IF($B17="","",SUMPRODUCT(--(Lineups!$G$4:$G$41=$B17),--(Lineups!$B$4:$B$41="")))</f>
        <v>0</v>
      </c>
      <c r="E17" s="872">
        <f t="shared" si="2"/>
        <v>0</v>
      </c>
      <c r="F17" s="873">
        <f>IF($B17="","",SUMPRODUCT(--(Lineups!$G$4:$G$41=$B17),--(Lineups!$B$4:$B$41="X")))</f>
        <v>0</v>
      </c>
      <c r="G17" s="873">
        <f>IF($B17="","",SUMPRODUCT(--(Lineups!K$4:K$41=$B17),--(Lineups!A$4:A$41&lt;&gt;"SP")))</f>
        <v>2</v>
      </c>
      <c r="H17" s="873">
        <f>IF($B17="","",SUMPRODUCT(--(Lineups!O$4:O$41=$B17),--(Lineups!A$4:A$41&lt;&gt;"SP")))</f>
        <v>2</v>
      </c>
      <c r="I17" s="873">
        <f>IF($B17="","",SUMPRODUCT(--(Lineups!S$4:S$41=$B17),--(Lineups!A$4:A$41&lt;&gt;"SP")))</f>
        <v>2</v>
      </c>
      <c r="J17" s="43">
        <f t="shared" si="3"/>
        <v>6</v>
      </c>
      <c r="K17" s="872">
        <f t="shared" si="4"/>
        <v>0.3157894737</v>
      </c>
      <c r="L17" s="43">
        <f t="shared" si="5"/>
        <v>6</v>
      </c>
      <c r="M17" s="872">
        <f t="shared" si="6"/>
        <v>0.3157894737</v>
      </c>
      <c r="N17" s="874" t="str">
        <f>IF(B17="","",IF(OR(SK!E196="",SK!E196=0),"",SK!H196))</f>
        <v/>
      </c>
      <c r="O17" s="43">
        <f>IF($B17="","",SUMPRODUCT(--(Lineups!C$4:C$41=$B17)))</f>
        <v>0</v>
      </c>
      <c r="P17" s="872">
        <f t="shared" si="7"/>
        <v>0</v>
      </c>
      <c r="Q17" s="43">
        <f t="shared" si="8"/>
        <v>6</v>
      </c>
      <c r="R17" s="872">
        <f t="shared" si="9"/>
        <v>0.3157894737</v>
      </c>
      <c r="S17" s="43"/>
      <c r="T17" s="5">
        <f t="shared" si="10"/>
        <v>9</v>
      </c>
      <c r="U17" s="871" t="str">
        <f>IF(ISBLANK(IGRF!I22),"",IGRF!I22)</f>
        <v>28</v>
      </c>
      <c r="V17" s="871" t="str">
        <f>IF(ISBLANK(IGRF!J22),"",IGRF!J22)</f>
        <v>Hot Box</v>
      </c>
      <c r="W17" s="43">
        <f>IF($U17="","",SUMPRODUCT(--(Lineups!$AG$4:$AG$41=$U17),--(Lineups!$AB$4:$AB$41="")))</f>
        <v>9</v>
      </c>
      <c r="X17" s="872">
        <f t="shared" si="11"/>
        <v>0.4736842105</v>
      </c>
      <c r="Y17" s="873">
        <f>IF($U17="","",SUMPRODUCT(--(Lineups!$AG$4:$AG$41=$U17),--(Lineups!$AB$4:$AB$41="X")))</f>
        <v>0</v>
      </c>
      <c r="Z17" s="873">
        <f>IF($U17="","",SUMPRODUCT(--(Lineups!AK$4:AK$41=$U17),--(Lineups!AA$4:AA$41&lt;&gt;"SP")))</f>
        <v>0</v>
      </c>
      <c r="AA17" s="873">
        <f>IF($U17="","",SUMPRODUCT(--(Lineups!AO$4:AO$41=$U17),--(Lineups!AA$4:AA$41&lt;&gt;"SP")))</f>
        <v>0</v>
      </c>
      <c r="AB17" s="873">
        <f>IF($U17="","",SUMPRODUCT(--(Lineups!AS$4:AS$41=$U17),--(Lineups!AA$4:AA$41&lt;&gt;"SP")))</f>
        <v>0</v>
      </c>
      <c r="AC17" s="43">
        <f t="shared" si="12"/>
        <v>0</v>
      </c>
      <c r="AD17" s="872">
        <f t="shared" si="13"/>
        <v>0</v>
      </c>
      <c r="AE17" s="43">
        <f t="shared" si="14"/>
        <v>9</v>
      </c>
      <c r="AF17" s="872">
        <f t="shared" si="15"/>
        <v>0.4736842105</v>
      </c>
      <c r="AG17" s="874">
        <f>IF(U17="","",IF(OR(SK!U196="",SK!U196=0),"",SK!X196))</f>
        <v>0</v>
      </c>
      <c r="AH17" s="43">
        <f>IF($U17="","",SUMPRODUCT(--(Lineups!AC$4:AC$41=$U17)))</f>
        <v>4</v>
      </c>
      <c r="AI17" s="872">
        <f t="shared" si="16"/>
        <v>0.2105263158</v>
      </c>
      <c r="AJ17" s="43">
        <f t="shared" si="17"/>
        <v>13</v>
      </c>
      <c r="AK17" s="872">
        <f t="shared" si="18"/>
        <v>0.6842105263</v>
      </c>
    </row>
    <row r="18" ht="13.5" customHeight="1">
      <c r="A18" s="875">
        <f t="shared" si="1"/>
        <v>10</v>
      </c>
      <c r="B18" s="876" t="str">
        <f>IF(ISBLANK(IGRF!B23),"",IGRF!B23)</f>
        <v>31</v>
      </c>
      <c r="C18" s="876" t="str">
        <f>IF(ISBLANK(IGRF!C23),"",IGRF!C23)</f>
        <v>2x Force</v>
      </c>
      <c r="D18" s="877">
        <f>IF($B18="","",SUMPRODUCT(--(Lineups!$G$4:$G$41=$B18),--(Lineups!$B$4:$B$41="")))</f>
        <v>0</v>
      </c>
      <c r="E18" s="878">
        <f t="shared" si="2"/>
        <v>0</v>
      </c>
      <c r="F18" s="873">
        <f>IF($B18="","",SUMPRODUCT(--(Lineups!$G$4:$G$41=$B18),--(Lineups!$B$4:$B$41="X")))</f>
        <v>0</v>
      </c>
      <c r="G18" s="873">
        <f>IF($B18="","",SUMPRODUCT(--(Lineups!K$4:K$41=$B18),--(Lineups!A$4:A$41&lt;&gt;"SP")))</f>
        <v>2</v>
      </c>
      <c r="H18" s="873">
        <f>IF($B18="","",SUMPRODUCT(--(Lineups!O$4:O$41=$B18),--(Lineups!A$4:A$41&lt;&gt;"SP")))</f>
        <v>1</v>
      </c>
      <c r="I18" s="873">
        <f>IF($B18="","",SUMPRODUCT(--(Lineups!S$4:S$41=$B18),--(Lineups!A$4:A$41&lt;&gt;"SP")))</f>
        <v>3</v>
      </c>
      <c r="J18" s="877">
        <f t="shared" si="3"/>
        <v>6</v>
      </c>
      <c r="K18" s="878">
        <f t="shared" si="4"/>
        <v>0.3157894737</v>
      </c>
      <c r="L18" s="877">
        <f t="shared" si="5"/>
        <v>6</v>
      </c>
      <c r="M18" s="878">
        <f t="shared" si="6"/>
        <v>0.3157894737</v>
      </c>
      <c r="N18" s="879" t="str">
        <f>IF(B18="","",IF(OR(SK!E199="",SK!E199=0),"",SK!H199))</f>
        <v/>
      </c>
      <c r="O18" s="877">
        <f>IF($B18="","",SUMPRODUCT(--(Lineups!C$4:C$41=$B18)))</f>
        <v>0</v>
      </c>
      <c r="P18" s="878">
        <f t="shared" si="7"/>
        <v>0</v>
      </c>
      <c r="Q18" s="877">
        <f t="shared" si="8"/>
        <v>6</v>
      </c>
      <c r="R18" s="878">
        <f t="shared" si="9"/>
        <v>0.3157894737</v>
      </c>
      <c r="S18" s="43"/>
      <c r="T18" s="875">
        <f t="shared" si="10"/>
        <v>10</v>
      </c>
      <c r="U18" s="876" t="str">
        <f>IF(ISBLANK(IGRF!I23),"",IGRF!I23)</f>
        <v>321</v>
      </c>
      <c r="V18" s="876" t="str">
        <f>IF(ISBLANK(IGRF!J23),"",IGRF!J23)</f>
        <v>Rockit</v>
      </c>
      <c r="W18" s="877">
        <f>IF($U18="","",SUMPRODUCT(--(Lineups!$AG$4:$AG$41=$U18),--(Lineups!$AB$4:$AB$41="")))</f>
        <v>0</v>
      </c>
      <c r="X18" s="878">
        <f t="shared" si="11"/>
        <v>0</v>
      </c>
      <c r="Y18" s="873">
        <f>IF($U18="","",SUMPRODUCT(--(Lineups!$AG$4:$AG$41=$U18),--(Lineups!$AB$4:$AB$41="X")))</f>
        <v>0</v>
      </c>
      <c r="Z18" s="873">
        <f>IF($U18="","",SUMPRODUCT(--(Lineups!AK$4:AK$41=$U18),--(Lineups!AA$4:AA$41&lt;&gt;"SP")))</f>
        <v>1</v>
      </c>
      <c r="AA18" s="873">
        <f>IF($U18="","",SUMPRODUCT(--(Lineups!AO$4:AO$41=$U18),--(Lineups!AA$4:AA$41&lt;&gt;"SP")))</f>
        <v>3</v>
      </c>
      <c r="AB18" s="873">
        <f>IF($U18="","",SUMPRODUCT(--(Lineups!AS$4:AS$41=$U18),--(Lineups!AA$4:AA$41&lt;&gt;"SP")))</f>
        <v>5</v>
      </c>
      <c r="AC18" s="877">
        <f t="shared" si="12"/>
        <v>9</v>
      </c>
      <c r="AD18" s="878">
        <f t="shared" si="13"/>
        <v>0.4736842105</v>
      </c>
      <c r="AE18" s="877">
        <f t="shared" si="14"/>
        <v>9</v>
      </c>
      <c r="AF18" s="878">
        <f t="shared" si="15"/>
        <v>0.4736842105</v>
      </c>
      <c r="AG18" s="879" t="str">
        <f>IF(U18="","",IF(OR(SK!U199="",SK!U199=0),"",SK!X199))</f>
        <v/>
      </c>
      <c r="AH18" s="877">
        <f>IF($U18="","",SUMPRODUCT(--(Lineups!AC$4:AC$41=$U18)))</f>
        <v>0</v>
      </c>
      <c r="AI18" s="878">
        <f t="shared" si="16"/>
        <v>0</v>
      </c>
      <c r="AJ18" s="877">
        <f t="shared" si="17"/>
        <v>9</v>
      </c>
      <c r="AK18" s="878">
        <f t="shared" si="18"/>
        <v>0.4736842105</v>
      </c>
    </row>
    <row r="19" ht="13.5" customHeight="1">
      <c r="A19" s="5">
        <f t="shared" si="1"/>
        <v>11</v>
      </c>
      <c r="B19" s="871" t="str">
        <f>IF(ISBLANK(IGRF!B24),"",IGRF!B24)</f>
        <v>313</v>
      </c>
      <c r="C19" s="871" t="str">
        <f>IF(ISBLANK(IGRF!C24),"",IGRF!C24)</f>
        <v>WestCoast MaFia</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4</v>
      </c>
      <c r="O19" s="43">
        <f>IF($B19="","",SUMPRODUCT(--(Lineups!C$4:C$41=$B19)))</f>
        <v>5</v>
      </c>
      <c r="P19" s="872">
        <f t="shared" si="7"/>
        <v>0.2631578947</v>
      </c>
      <c r="Q19" s="43">
        <f t="shared" si="8"/>
        <v>5</v>
      </c>
      <c r="R19" s="872">
        <f t="shared" si="9"/>
        <v>0.2631578947</v>
      </c>
      <c r="S19" s="43"/>
      <c r="T19" s="5">
        <f t="shared" si="10"/>
        <v>11</v>
      </c>
      <c r="U19" s="871" t="str">
        <f>IF(ISBLANK(IGRF!I24),"",IGRF!I24)</f>
        <v>329</v>
      </c>
      <c r="V19" s="871" t="str">
        <f>IF(ISBLANK(IGRF!J24),"",IGRF!J24)</f>
        <v>Triple Axel Rose</v>
      </c>
      <c r="W19" s="43">
        <f>IF($U19="","",SUMPRODUCT(--(Lineups!$AG$4:$AG$41=$U19),--(Lineups!$AB$4:$AB$41="")))</f>
        <v>0</v>
      </c>
      <c r="X19" s="872">
        <f t="shared" si="11"/>
        <v>0</v>
      </c>
      <c r="Y19" s="873">
        <f>IF($U19="","",SUMPRODUCT(--(Lineups!$AG$4:$AG$41=$U19),--(Lineups!$AB$4:$AB$41="X")))</f>
        <v>2</v>
      </c>
      <c r="Z19" s="873">
        <f>IF($U19="","",SUMPRODUCT(--(Lineups!AK$4:AK$41=$U19),--(Lineups!AA$4:AA$41&lt;&gt;"SP")))</f>
        <v>0</v>
      </c>
      <c r="AA19" s="873">
        <f>IF($U19="","",SUMPRODUCT(--(Lineups!AO$4:AO$41=$U19),--(Lineups!AA$4:AA$41&lt;&gt;"SP")))</f>
        <v>0</v>
      </c>
      <c r="AB19" s="873">
        <f>IF($U19="","",SUMPRODUCT(--(Lineups!AS$4:AS$41=$U19),--(Lineups!AA$4:AA$41&lt;&gt;"SP")))</f>
        <v>0</v>
      </c>
      <c r="AC19" s="43">
        <f t="shared" si="12"/>
        <v>2</v>
      </c>
      <c r="AD19" s="872">
        <f t="shared" si="13"/>
        <v>0.1052631579</v>
      </c>
      <c r="AE19" s="43">
        <f t="shared" si="14"/>
        <v>2</v>
      </c>
      <c r="AF19" s="872">
        <f t="shared" si="15"/>
        <v>0.1052631579</v>
      </c>
      <c r="AG19" s="874">
        <f>IF(U19="","",IF(OR(SK!U202="",SK!U202=0),"",SK!X202))</f>
        <v>1</v>
      </c>
      <c r="AH19" s="43">
        <f>IF($U19="","",SUMPRODUCT(--(Lineups!AC$4:AC$41=$U19)))</f>
        <v>5</v>
      </c>
      <c r="AI19" s="872">
        <f t="shared" si="16"/>
        <v>0.2631578947</v>
      </c>
      <c r="AJ19" s="43">
        <f t="shared" si="17"/>
        <v>7</v>
      </c>
      <c r="AK19" s="872">
        <f t="shared" si="18"/>
        <v>0.3684210526</v>
      </c>
    </row>
    <row r="20" ht="13.5" customHeight="1">
      <c r="A20" s="875">
        <f t="shared" si="1"/>
        <v>12</v>
      </c>
      <c r="B20" s="876" t="str">
        <f>IF(ISBLANK(IGRF!B25),"",IGRF!B25)</f>
        <v>3381</v>
      </c>
      <c r="C20" s="876" t="str">
        <f>IF(ISBLANK(IGRF!C25),"",IGRF!C25)</f>
        <v>Hella Naughty</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f>IF(B20="","",IF(OR(SK!E205="",SK!E205=0),"",SK!H205))</f>
        <v>3</v>
      </c>
      <c r="O20" s="877">
        <f>IF($B20="","",SUMPRODUCT(--(Lineups!C$4:C$41=$B20)))</f>
        <v>5</v>
      </c>
      <c r="P20" s="878">
        <f t="shared" si="7"/>
        <v>0.2631578947</v>
      </c>
      <c r="Q20" s="877">
        <f t="shared" si="8"/>
        <v>5</v>
      </c>
      <c r="R20" s="878">
        <f t="shared" si="9"/>
        <v>0.2631578947</v>
      </c>
      <c r="S20" s="43"/>
      <c r="T20" s="875">
        <f t="shared" si="10"/>
        <v>12</v>
      </c>
      <c r="U20" s="876" t="str">
        <f>IF(ISBLANK(IGRF!I25),"",IGRF!I25)</f>
        <v>410</v>
      </c>
      <c r="V20" s="876" t="str">
        <f>IF(ISBLANK(IGRF!J25),"",IGRF!J25)</f>
        <v>Ricketts</v>
      </c>
      <c r="W20" s="877">
        <f>IF($U20="","",SUMPRODUCT(--(Lineups!$AG$4:$AG$41=$U20),--(Lineups!$AB$4:$AB$41="")))</f>
        <v>0</v>
      </c>
      <c r="X20" s="878">
        <f t="shared" si="11"/>
        <v>0</v>
      </c>
      <c r="Y20" s="873">
        <f>IF($U20="","",SUMPRODUCT(--(Lineups!$AG$4:$AG$41=$U20),--(Lineups!$AB$4:$AB$41="X")))</f>
        <v>0</v>
      </c>
      <c r="Z20" s="873">
        <f>IF($U20="","",SUMPRODUCT(--(Lineups!AK$4:AK$41=$U20),--(Lineups!AA$4:AA$41&lt;&gt;"SP")))</f>
        <v>4</v>
      </c>
      <c r="AA20" s="873">
        <f>IF($U20="","",SUMPRODUCT(--(Lineups!AO$4:AO$41=$U20),--(Lineups!AA$4:AA$41&lt;&gt;"SP")))</f>
        <v>5</v>
      </c>
      <c r="AB20" s="873">
        <f>IF($U20="","",SUMPRODUCT(--(Lineups!AS$4:AS$41=$U20),--(Lineups!AA$4:AA$41&lt;&gt;"SP")))</f>
        <v>0</v>
      </c>
      <c r="AC20" s="877">
        <f t="shared" si="12"/>
        <v>9</v>
      </c>
      <c r="AD20" s="878">
        <f t="shared" si="13"/>
        <v>0.4736842105</v>
      </c>
      <c r="AE20" s="877">
        <f t="shared" si="14"/>
        <v>9</v>
      </c>
      <c r="AF20" s="878">
        <f t="shared" si="15"/>
        <v>0.4736842105</v>
      </c>
      <c r="AG20" s="879" t="str">
        <f>IF(U20="","",IF(OR(SK!U205="",SK!U205=0),"",SK!X205))</f>
        <v/>
      </c>
      <c r="AH20" s="877">
        <f>IF($U20="","",SUMPRODUCT(--(Lineups!AC$4:AC$41=$U20)))</f>
        <v>0</v>
      </c>
      <c r="AI20" s="878">
        <f t="shared" si="16"/>
        <v>0</v>
      </c>
      <c r="AJ20" s="877">
        <f t="shared" si="17"/>
        <v>9</v>
      </c>
      <c r="AK20" s="878">
        <f t="shared" si="18"/>
        <v>0.4736842105</v>
      </c>
    </row>
    <row r="21" ht="13.5" customHeight="1">
      <c r="A21" s="5">
        <f t="shared" si="1"/>
        <v>13</v>
      </c>
      <c r="B21" s="871" t="str">
        <f>IF(ISBLANK(IGRF!B26),"",IGRF!B26)</f>
        <v>38</v>
      </c>
      <c r="C21" s="871" t="str">
        <f>IF(ISBLANK(IGRF!C26),"",IGRF!C26)</f>
        <v>Colette Razorcat</v>
      </c>
      <c r="D21" s="43">
        <f>IF($B21="","",SUMPRODUCT(--(Lineups!$G$4:$G$41=$B21),--(Lineups!$B$4:$B$41="")))</f>
        <v>0</v>
      </c>
      <c r="E21" s="872">
        <f t="shared" si="2"/>
        <v>0</v>
      </c>
      <c r="F21" s="873">
        <f>IF($B21="","",SUMPRODUCT(--(Lineups!$G$4:$G$41=$B21),--(Lineups!$B$4:$B$41="X")))</f>
        <v>0</v>
      </c>
      <c r="G21" s="873">
        <f>IF($B21="","",SUMPRODUCT(--(Lineups!K$4:K$41=$B21),--(Lineups!A$4:A$41&lt;&gt;"SP")))</f>
        <v>2</v>
      </c>
      <c r="H21" s="873">
        <f>IF($B21="","",SUMPRODUCT(--(Lineups!O$4:O$41=$B21),--(Lineups!A$4:A$41&lt;&gt;"SP")))</f>
        <v>3</v>
      </c>
      <c r="I21" s="873">
        <f>IF($B21="","",SUMPRODUCT(--(Lineups!S$4:S$41=$B21),--(Lineups!A$4:A$41&lt;&gt;"SP")))</f>
        <v>1</v>
      </c>
      <c r="J21" s="43">
        <f t="shared" si="3"/>
        <v>6</v>
      </c>
      <c r="K21" s="872">
        <f t="shared" si="4"/>
        <v>0.3157894737</v>
      </c>
      <c r="L21" s="43">
        <f t="shared" si="5"/>
        <v>6</v>
      </c>
      <c r="M21" s="872">
        <f t="shared" si="6"/>
        <v>0.3157894737</v>
      </c>
      <c r="N21" s="874" t="str">
        <f>IF(B21="","",IF(OR(SK!E208="",SK!E208=0),"",SK!H208))</f>
        <v/>
      </c>
      <c r="O21" s="43">
        <f>IF($B21="","",SUMPRODUCT(--(Lineups!C$4:C$41=$B21)))</f>
        <v>0</v>
      </c>
      <c r="P21" s="872">
        <f t="shared" si="7"/>
        <v>0</v>
      </c>
      <c r="Q21" s="43">
        <f t="shared" si="8"/>
        <v>6</v>
      </c>
      <c r="R21" s="872">
        <f t="shared" si="9"/>
        <v>0.3157894737</v>
      </c>
      <c r="S21" s="43"/>
      <c r="T21" s="5">
        <f t="shared" si="10"/>
        <v>13</v>
      </c>
      <c r="U21" s="871" t="str">
        <f>IF(ISBLANK(IGRF!I26),"",IGRF!I26)</f>
        <v>47</v>
      </c>
      <c r="V21" s="871" t="str">
        <f>IF(ISBLANK(IGRF!J26),"",IGRF!J26)</f>
        <v>Author of Pain</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394</v>
      </c>
      <c r="C22" s="876" t="str">
        <f>IF(ISBLANK(IGRF!C27),"",IGRF!C27)</f>
        <v>Punkie Pie</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f>IF(B22="","",IF(OR(SK!E211="",SK!E211=0),"",SK!H211))</f>
        <v>3</v>
      </c>
      <c r="O22" s="877">
        <f>IF($B22="","",SUMPRODUCT(--(Lineups!C$4:C$41=$B22)))</f>
        <v>4</v>
      </c>
      <c r="P22" s="878">
        <f t="shared" si="7"/>
        <v>0.2105263158</v>
      </c>
      <c r="Q22" s="877">
        <f t="shared" si="8"/>
        <v>4</v>
      </c>
      <c r="R22" s="878">
        <f t="shared" si="9"/>
        <v>0.2105263158</v>
      </c>
      <c r="S22" s="43"/>
      <c r="T22" s="875">
        <f t="shared" si="10"/>
        <v>14</v>
      </c>
      <c r="U22" s="876" t="str">
        <f>IF(ISBLANK(IGRF!I27),"",IGRF!I27)</f>
        <v>484*</v>
      </c>
      <c r="V22" s="876" t="str">
        <f>IF(ISBLANK(IGRF!J27),"",IGRF!J27)</f>
        <v>Gemineye</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t="str">
        <f>IF(U22="","",IF(OR(SK!U211="",SK!U211=0),"",SK!X211))</f>
        <v/>
      </c>
      <c r="AH22" s="877">
        <f>IF($U22="","",SUMPRODUCT(--(Lineups!AC$4:AC$41=$U22)))</f>
        <v>0</v>
      </c>
      <c r="AI22" s="878">
        <f t="shared" si="16"/>
        <v>0</v>
      </c>
      <c r="AJ22" s="877">
        <f t="shared" si="17"/>
        <v>0</v>
      </c>
      <c r="AK22" s="878">
        <f t="shared" si="18"/>
        <v>0</v>
      </c>
    </row>
    <row r="23" ht="13.5" customHeight="1">
      <c r="A23" s="5">
        <f t="shared" si="1"/>
        <v>15</v>
      </c>
      <c r="B23" s="871" t="str">
        <f>IF(ISBLANK(IGRF!B28),"",IGRF!B28)</f>
        <v>4</v>
      </c>
      <c r="C23" s="871" t="str">
        <f>IF(ISBLANK(IGRF!C28),"",IGRF!C28)</f>
        <v>Sure, man</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2</v>
      </c>
      <c r="I23" s="873">
        <f>IF($B23="","",SUMPRODUCT(--(Lineups!S$4:S$41=$B23),--(Lineups!A$4:A$41&lt;&gt;"SP")))</f>
        <v>4</v>
      </c>
      <c r="J23" s="43">
        <f t="shared" si="3"/>
        <v>6</v>
      </c>
      <c r="K23" s="872">
        <f t="shared" si="4"/>
        <v>0.3157894737</v>
      </c>
      <c r="L23" s="43">
        <f t="shared" si="5"/>
        <v>6</v>
      </c>
      <c r="M23" s="872">
        <f t="shared" si="6"/>
        <v>0.3157894737</v>
      </c>
      <c r="N23" s="874" t="str">
        <f>IF(B23="","",IF(OR(SK!E214="",SK!E214=0),"",SK!H214))</f>
        <v/>
      </c>
      <c r="O23" s="43">
        <f>IF($B23="","",SUMPRODUCT(--(Lineups!C$4:C$41=$B23)))</f>
        <v>0</v>
      </c>
      <c r="P23" s="872">
        <f t="shared" si="7"/>
        <v>0</v>
      </c>
      <c r="Q23" s="43">
        <f t="shared" si="8"/>
        <v>6</v>
      </c>
      <c r="R23" s="872">
        <f t="shared" si="9"/>
        <v>0.3157894737</v>
      </c>
      <c r="S23" s="43"/>
      <c r="T23" s="5">
        <f t="shared" si="10"/>
        <v>15</v>
      </c>
      <c r="U23" s="871" t="str">
        <f>IF(ISBLANK(IGRF!I28),"",IGRF!I28)</f>
        <v>505</v>
      </c>
      <c r="V23" s="871" t="str">
        <f>IF(ISBLANK(IGRF!J28),"",IGRF!J28)</f>
        <v>Swearin' Marie</v>
      </c>
      <c r="W23" s="43">
        <f>IF($U23="","",SUMPRODUCT(--(Lineups!$AG$4:$AG$41=$U23),--(Lineups!$AB$4:$AB$41="")))</f>
        <v>9</v>
      </c>
      <c r="X23" s="872">
        <f t="shared" si="11"/>
        <v>0.4736842105</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9</v>
      </c>
      <c r="AF23" s="872">
        <f t="shared" si="15"/>
        <v>0.4736842105</v>
      </c>
      <c r="AG23" s="874">
        <f>IF(U23="","",IF(OR(SK!U214="",SK!U214=0),"",SK!X214))</f>
        <v>0</v>
      </c>
      <c r="AH23" s="43">
        <f>IF($U23="","",SUMPRODUCT(--(Lineups!AC$4:AC$41=$U23)))</f>
        <v>3</v>
      </c>
      <c r="AI23" s="872">
        <f t="shared" si="16"/>
        <v>0.1578947368</v>
      </c>
      <c r="AJ23" s="43">
        <f t="shared" si="17"/>
        <v>12</v>
      </c>
      <c r="AK23" s="872">
        <f t="shared" si="18"/>
        <v>0.6315789474</v>
      </c>
    </row>
    <row r="24" ht="13.5" customHeight="1">
      <c r="A24" s="875">
        <f t="shared" si="1"/>
        <v>16</v>
      </c>
      <c r="B24" s="876" t="str">
        <f>IF(ISBLANK(IGRF!B29),"",IGRF!B29)</f>
        <v>602*</v>
      </c>
      <c r="C24" s="876" t="str">
        <f>IF(ISBLANK(IGRF!C29),"",IGRF!C29)</f>
        <v>Feen-X</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75*</v>
      </c>
      <c r="V24" s="876" t="str">
        <f>IF(ISBLANK(IGRF!J29),"",IGRF!J29)</f>
        <v>TamTrum</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7</v>
      </c>
      <c r="C25" s="871" t="str">
        <f>IF(ISBLANK(IGRF!C30),"",IGRF!C30)</f>
        <v>Skatie Katie</v>
      </c>
      <c r="D25" s="43">
        <f>IF($B25="","",SUMPRODUCT(--(Lineups!$G$4:$G$41=$B25),--(Lineups!$B$4:$B$41="")))</f>
        <v>4</v>
      </c>
      <c r="E25" s="872">
        <f t="shared" si="2"/>
        <v>0.2105263158</v>
      </c>
      <c r="F25" s="873">
        <f>IF($B25="","",SUMPRODUCT(--(Lineups!$G$4:$G$41=$B25),--(Lineups!$B$4:$B$41="X")))</f>
        <v>0</v>
      </c>
      <c r="G25" s="873">
        <f>IF($B25="","",SUMPRODUCT(--(Lineups!K$4:K$41=$B25),--(Lineups!A$4:A$41&lt;&gt;"SP")))</f>
        <v>1</v>
      </c>
      <c r="H25" s="873">
        <f>IF($B25="","",SUMPRODUCT(--(Lineups!O$4:O$41=$B25),--(Lineups!A$4:A$41&lt;&gt;"SP")))</f>
        <v>1</v>
      </c>
      <c r="I25" s="873">
        <f>IF($B25="","",SUMPRODUCT(--(Lineups!S$4:S$41=$B25),--(Lineups!A$4:A$41&lt;&gt;"SP")))</f>
        <v>2</v>
      </c>
      <c r="J25" s="43">
        <f t="shared" si="3"/>
        <v>4</v>
      </c>
      <c r="K25" s="872">
        <f t="shared" si="4"/>
        <v>0.2105263158</v>
      </c>
      <c r="L25" s="43">
        <f t="shared" si="5"/>
        <v>8</v>
      </c>
      <c r="M25" s="872">
        <f t="shared" si="6"/>
        <v>0.4210526316</v>
      </c>
      <c r="N25" s="874" t="str">
        <f>IF(B25="","",IF(OR(SK!E220="",SK!E220=0),"",SK!H220))</f>
        <v/>
      </c>
      <c r="O25" s="43">
        <f>IF($B25="","",SUMPRODUCT(--(Lineups!C$4:C$41=$B25)))</f>
        <v>0</v>
      </c>
      <c r="P25" s="872">
        <f t="shared" si="7"/>
        <v>0</v>
      </c>
      <c r="Q25" s="43">
        <f t="shared" si="8"/>
        <v>8</v>
      </c>
      <c r="R25" s="872">
        <f t="shared" si="9"/>
        <v>0.4210526316</v>
      </c>
      <c r="S25" s="43"/>
      <c r="T25" s="5">
        <f t="shared" si="10"/>
        <v>17</v>
      </c>
      <c r="U25" s="871" t="str">
        <f>IF(ISBLANK(IGRF!I30),"",IGRF!I30)</f>
        <v>88</v>
      </c>
      <c r="V25" s="871" t="str">
        <f>IF(ISBLANK(IGRF!J30),"",IGRF!J30)</f>
        <v>Rocktopus</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1</v>
      </c>
      <c r="AB25" s="873">
        <f>IF($U25="","",SUMPRODUCT(--(Lineups!AS$4:AS$41=$U25),--(Lineups!AA$4:AA$41&lt;&gt;"SP")))</f>
        <v>0</v>
      </c>
      <c r="AC25" s="43">
        <f t="shared" si="12"/>
        <v>1</v>
      </c>
      <c r="AD25" s="872">
        <f t="shared" si="13"/>
        <v>0.05263157895</v>
      </c>
      <c r="AE25" s="43">
        <f t="shared" si="14"/>
        <v>1</v>
      </c>
      <c r="AF25" s="872">
        <f t="shared" si="15"/>
        <v>0.05263157895</v>
      </c>
      <c r="AG25" s="874" t="str">
        <f>IF(U25="","",IF(OR(SK!U220="",SK!U220=0),"",SK!X220))</f>
        <v/>
      </c>
      <c r="AH25" s="43">
        <f>IF($U25="","",SUMPRODUCT(--(Lineups!AC$4:AC$41=$U25)))</f>
        <v>0</v>
      </c>
      <c r="AI25" s="872">
        <f t="shared" si="16"/>
        <v>0</v>
      </c>
      <c r="AJ25" s="43">
        <f t="shared" si="17"/>
        <v>1</v>
      </c>
      <c r="AK25" s="872">
        <f t="shared" si="18"/>
        <v>0.05263157895</v>
      </c>
    </row>
    <row r="26" ht="13.5" customHeight="1">
      <c r="A26" s="875">
        <f t="shared" si="1"/>
        <v>18</v>
      </c>
      <c r="B26" s="876" t="str">
        <f>IF(ISBLANK(IGRF!B31),"",IGRF!B31)</f>
        <v>76</v>
      </c>
      <c r="C26" s="876" t="str">
        <f>IF(ISBLANK(IGRF!C31),"",IGRF!C31)</f>
        <v>Queen Loseyateefa</v>
      </c>
      <c r="D26" s="877">
        <f>IF($B26="","",SUMPRODUCT(--(Lineups!$G$4:$G$41=$B26),--(Lineups!$B$4:$B$41="")))</f>
        <v>0</v>
      </c>
      <c r="E26" s="878">
        <f t="shared" si="2"/>
        <v>0</v>
      </c>
      <c r="F26" s="873">
        <f>IF($B26="","",SUMPRODUCT(--(Lineups!$G$4:$G$41=$B26),--(Lineups!$B$4:$B$41="X")))</f>
        <v>0</v>
      </c>
      <c r="G26" s="873">
        <f>IF($B26="","",SUMPRODUCT(--(Lineups!K$4:K$41=$B26),--(Lineups!A$4:A$41&lt;&gt;"SP")))</f>
        <v>3</v>
      </c>
      <c r="H26" s="873">
        <f>IF($B26="","",SUMPRODUCT(--(Lineups!O$4:O$41=$B26),--(Lineups!A$4:A$41&lt;&gt;"SP")))</f>
        <v>2</v>
      </c>
      <c r="I26" s="873">
        <f>IF($B26="","",SUMPRODUCT(--(Lineups!S$4:S$41=$B26),--(Lineups!A$4:A$41&lt;&gt;"SP")))</f>
        <v>3</v>
      </c>
      <c r="J26" s="877">
        <f t="shared" si="3"/>
        <v>8</v>
      </c>
      <c r="K26" s="878">
        <f t="shared" si="4"/>
        <v>0.4210526316</v>
      </c>
      <c r="L26" s="877">
        <f t="shared" si="5"/>
        <v>8</v>
      </c>
      <c r="M26" s="878">
        <f t="shared" si="6"/>
        <v>0.4210526316</v>
      </c>
      <c r="N26" s="879" t="str">
        <f>IF(B26="","",IF(OR(SK!E223="",SK!E223=0),"",SK!H223))</f>
        <v/>
      </c>
      <c r="O26" s="877">
        <f>IF($B26="","",SUMPRODUCT(--(Lineups!C$4:C$41=$B26)))</f>
        <v>0</v>
      </c>
      <c r="P26" s="878">
        <f t="shared" si="7"/>
        <v>0</v>
      </c>
      <c r="Q26" s="877">
        <f t="shared" si="8"/>
        <v>8</v>
      </c>
      <c r="R26" s="878">
        <f t="shared" si="9"/>
        <v>0.4210526316</v>
      </c>
      <c r="S26" s="43"/>
      <c r="T26" s="875">
        <f t="shared" si="10"/>
        <v>18</v>
      </c>
      <c r="U26" s="876" t="str">
        <f>IF(ISBLANK(IGRF!I31),"",IGRF!I31)</f>
        <v>9</v>
      </c>
      <c r="V26" s="876" t="str">
        <f>IF(ISBLANK(IGRF!J31),"",IGRF!J31)</f>
        <v>Kell's Inferno</v>
      </c>
      <c r="W26" s="877">
        <f>IF($U26="","",SUMPRODUCT(--(Lineups!$AG$4:$AG$41=$U26),--(Lineups!$AB$4:$AB$41="")))</f>
        <v>0</v>
      </c>
      <c r="X26" s="878">
        <f t="shared" si="11"/>
        <v>0</v>
      </c>
      <c r="Y26" s="873">
        <f>IF($U26="","",SUMPRODUCT(--(Lineups!$AG$4:$AG$41=$U26),--(Lineups!$AB$4:$AB$41="X")))</f>
        <v>2</v>
      </c>
      <c r="Z26" s="873">
        <f>IF($U26="","",SUMPRODUCT(--(Lineups!AK$4:AK$41=$U26),--(Lineups!AA$4:AA$41&lt;&gt;"SP")))</f>
        <v>0</v>
      </c>
      <c r="AA26" s="873">
        <f>IF($U26="","",SUMPRODUCT(--(Lineups!AO$4:AO$41=$U26),--(Lineups!AA$4:AA$41&lt;&gt;"SP")))</f>
        <v>0</v>
      </c>
      <c r="AB26" s="873">
        <f>IF($U26="","",SUMPRODUCT(--(Lineups!AS$4:AS$41=$U26),--(Lineups!AA$4:AA$41&lt;&gt;"SP")))</f>
        <v>0</v>
      </c>
      <c r="AC26" s="877">
        <f t="shared" si="12"/>
        <v>2</v>
      </c>
      <c r="AD26" s="878">
        <f t="shared" si="13"/>
        <v>0.1052631579</v>
      </c>
      <c r="AE26" s="877">
        <f t="shared" si="14"/>
        <v>2</v>
      </c>
      <c r="AF26" s="878">
        <f t="shared" si="15"/>
        <v>0.1052631579</v>
      </c>
      <c r="AG26" s="879">
        <f>IF(U26="","",IF(OR(SK!U223="",SK!U223=0),"",SK!X223))</f>
        <v>2</v>
      </c>
      <c r="AH26" s="877">
        <f>IF($U26="","",SUMPRODUCT(--(Lineups!AC$4:AC$41=$U26)))</f>
        <v>5</v>
      </c>
      <c r="AI26" s="878">
        <f t="shared" si="16"/>
        <v>0.2631578947</v>
      </c>
      <c r="AJ26" s="877">
        <f t="shared" si="17"/>
        <v>7</v>
      </c>
      <c r="AK26" s="878">
        <f t="shared" si="18"/>
        <v>0.3684210526</v>
      </c>
    </row>
    <row r="27" ht="13.5" customHeight="1">
      <c r="A27" s="5">
        <f t="shared" si="1"/>
        <v>19</v>
      </c>
      <c r="B27" s="871" t="str">
        <f>IF(ISBLANK(IGRF!B32),"",IGRF!B32)</f>
        <v>88</v>
      </c>
      <c r="C27" s="871" t="str">
        <f>IF(ISBLANK(IGRF!C32),"",IGRF!C32)</f>
        <v>MsMURDR</v>
      </c>
      <c r="D27" s="43">
        <f>IF($B27="","",SUMPRODUCT(--(Lineups!$G$4:$G$41=$B27),--(Lineups!$B$4:$B$41="")))</f>
        <v>5</v>
      </c>
      <c r="E27" s="872">
        <f t="shared" si="2"/>
        <v>0.2631578947</v>
      </c>
      <c r="F27" s="873">
        <f>IF($B27="","",SUMPRODUCT(--(Lineups!$G$4:$G$41=$B27),--(Lineups!$B$4:$B$41="X")))</f>
        <v>0</v>
      </c>
      <c r="G27" s="873">
        <f>IF($B27="","",SUMPRODUCT(--(Lineups!K$4:K$41=$B27),--(Lineups!A$4:A$41&lt;&gt;"SP")))</f>
        <v>0</v>
      </c>
      <c r="H27" s="873">
        <f>IF($B27="","",SUMPRODUCT(--(Lineups!O$4:O$41=$B27),--(Lineups!A$4:A$41&lt;&gt;"SP")))</f>
        <v>1</v>
      </c>
      <c r="I27" s="873">
        <f>IF($B27="","",SUMPRODUCT(--(Lineups!S$4:S$41=$B27),--(Lineups!A$4:A$41&lt;&gt;"SP")))</f>
        <v>1</v>
      </c>
      <c r="J27" s="43">
        <f t="shared" si="3"/>
        <v>2</v>
      </c>
      <c r="K27" s="872">
        <f t="shared" si="4"/>
        <v>0.1052631579</v>
      </c>
      <c r="L27" s="43">
        <f t="shared" si="5"/>
        <v>7</v>
      </c>
      <c r="M27" s="872">
        <f t="shared" si="6"/>
        <v>0.3684210526</v>
      </c>
      <c r="N27" s="874" t="str">
        <f>IF(B27="","",IF(OR(SK!E226="",SK!E226=0),"",SK!H226))</f>
        <v/>
      </c>
      <c r="O27" s="43">
        <f>IF($B27="","",SUMPRODUCT(--(Lineups!C$4:C$41=$B27)))</f>
        <v>0</v>
      </c>
      <c r="P27" s="872">
        <f t="shared" si="7"/>
        <v>0</v>
      </c>
      <c r="Q27" s="43">
        <f t="shared" si="8"/>
        <v>7</v>
      </c>
      <c r="R27" s="872">
        <f t="shared" si="9"/>
        <v>0.3684210526</v>
      </c>
      <c r="S27" s="43"/>
      <c r="T27" s="5">
        <f t="shared" si="10"/>
        <v>19</v>
      </c>
      <c r="U27" s="871" t="str">
        <f>IF(ISBLANK(IGRF!I32),"",IGRF!I32)</f>
        <v>913*</v>
      </c>
      <c r="V27" s="871" t="str">
        <f>IF(ISBLANK(IGRF!J32),"",IGRF!J32)</f>
        <v>Termiskater</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96*</v>
      </c>
      <c r="C28" s="876" t="str">
        <f>IF(ISBLANK(IGRF!C33),"",IGRF!C33)</f>
        <v>Weird Flex</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999</v>
      </c>
      <c r="V28" s="876" t="str">
        <f>IF(ISBLANK(IGRF!J33),"",IGRF!J33)</f>
        <v>Amanda Jamitinya</v>
      </c>
      <c r="W28" s="877">
        <f>IF($U28="","",SUMPRODUCT(--(Lineups!$AG$4:$AG$41=$U28),--(Lineups!$AB$4:$AB$41="")))</f>
        <v>1</v>
      </c>
      <c r="X28" s="878">
        <f t="shared" si="11"/>
        <v>0.05263157895</v>
      </c>
      <c r="Y28" s="873">
        <f>IF($U28="","",SUMPRODUCT(--(Lineups!$AG$4:$AG$41=$U28),--(Lineups!$AB$4:$AB$41="X")))</f>
        <v>0</v>
      </c>
      <c r="Z28" s="873">
        <f>IF($U28="","",SUMPRODUCT(--(Lineups!AK$4:AK$41=$U28),--(Lineups!AA$4:AA$41&lt;&gt;"SP")))</f>
        <v>4</v>
      </c>
      <c r="AA28" s="873">
        <f>IF($U28="","",SUMPRODUCT(--(Lineups!AO$4:AO$41=$U28),--(Lineups!AA$4:AA$41&lt;&gt;"SP")))</f>
        <v>4</v>
      </c>
      <c r="AB28" s="873">
        <f>IF($U28="","",SUMPRODUCT(--(Lineups!AS$4:AS$41=$U28),--(Lineups!AA$4:AA$41&lt;&gt;"SP")))</f>
        <v>1</v>
      </c>
      <c r="AC28" s="877">
        <f t="shared" si="12"/>
        <v>9</v>
      </c>
      <c r="AD28" s="878">
        <f t="shared" si="13"/>
        <v>0.4736842105</v>
      </c>
      <c r="AE28" s="877">
        <f t="shared" si="14"/>
        <v>10</v>
      </c>
      <c r="AF28" s="878">
        <f t="shared" si="15"/>
        <v>0.5263157895</v>
      </c>
      <c r="AG28" s="879" t="str">
        <f>IF(U28="","",IF(OR(SK!U229="",SK!U229=0),"",SK!X229))</f>
        <v/>
      </c>
      <c r="AH28" s="877">
        <f>IF($U28="","",SUMPRODUCT(--(Lineups!AC$4:AC$41=$U28)))</f>
        <v>0</v>
      </c>
      <c r="AI28" s="878">
        <f t="shared" si="16"/>
        <v>0</v>
      </c>
      <c r="AJ28" s="877">
        <f t="shared" si="17"/>
        <v>10</v>
      </c>
      <c r="AK28" s="878">
        <f t="shared" si="18"/>
        <v>0.5263157895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446</v>
      </c>
      <c r="B30" s="8"/>
      <c r="C30" s="9"/>
      <c r="D30" s="866"/>
      <c r="E30" s="866"/>
      <c r="F30" s="866"/>
      <c r="G30" s="866"/>
      <c r="H30" s="866"/>
      <c r="I30" s="866"/>
      <c r="J30" s="866"/>
      <c r="K30" s="866"/>
      <c r="L30" s="866"/>
      <c r="M30" s="866"/>
      <c r="N30" s="866"/>
      <c r="O30" s="866"/>
      <c r="P30" s="866"/>
      <c r="Q30" s="866"/>
      <c r="R30" s="866"/>
      <c r="S30" s="43"/>
      <c r="T30" s="865" t="s">
        <v>446</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436</v>
      </c>
      <c r="C31" s="867" t="s">
        <v>437</v>
      </c>
      <c r="D31" s="867" t="s">
        <v>292</v>
      </c>
      <c r="E31" s="5"/>
      <c r="F31" s="869" t="s">
        <v>293</v>
      </c>
      <c r="G31" s="869" t="s">
        <v>293</v>
      </c>
      <c r="H31" s="869" t="s">
        <v>293</v>
      </c>
      <c r="I31" s="869" t="s">
        <v>293</v>
      </c>
      <c r="J31" s="867" t="s">
        <v>439</v>
      </c>
      <c r="K31" s="5"/>
      <c r="L31" s="867" t="s">
        <v>441</v>
      </c>
      <c r="M31" s="5"/>
      <c r="N31" s="870" t="s">
        <v>443</v>
      </c>
      <c r="O31" s="867" t="s">
        <v>290</v>
      </c>
      <c r="P31" s="5"/>
      <c r="Q31" s="867" t="s">
        <v>410</v>
      </c>
      <c r="R31" s="5"/>
      <c r="S31" s="5"/>
      <c r="T31" s="867">
        <v>0.0</v>
      </c>
      <c r="U31" s="867" t="s">
        <v>436</v>
      </c>
      <c r="V31" s="867" t="s">
        <v>437</v>
      </c>
      <c r="W31" s="867" t="s">
        <v>292</v>
      </c>
      <c r="X31" s="5"/>
      <c r="Y31" s="869" t="s">
        <v>293</v>
      </c>
      <c r="Z31" s="869" t="s">
        <v>293</v>
      </c>
      <c r="AA31" s="869" t="s">
        <v>293</v>
      </c>
      <c r="AB31" s="869" t="s">
        <v>293</v>
      </c>
      <c r="AC31" s="867" t="s">
        <v>439</v>
      </c>
      <c r="AD31" s="5"/>
      <c r="AE31" s="867" t="s">
        <v>441</v>
      </c>
      <c r="AF31" s="5"/>
      <c r="AG31" s="870" t="s">
        <v>443</v>
      </c>
      <c r="AH31" s="867" t="s">
        <v>290</v>
      </c>
      <c r="AI31" s="5"/>
      <c r="AJ31" s="867" t="s">
        <v>410</v>
      </c>
      <c r="AK31" s="5"/>
    </row>
    <row r="32" ht="13.5" customHeight="1">
      <c r="A32" s="5">
        <f t="shared" ref="A32:A51" si="23">A31+1</f>
        <v>1</v>
      </c>
      <c r="B32" s="625" t="str">
        <f t="shared" ref="B32:C32" si="19">B9</f>
        <v>01</v>
      </c>
      <c r="C32" s="625" t="str">
        <f t="shared" si="19"/>
        <v>Goldy Knocks</v>
      </c>
      <c r="D32" s="5">
        <f t="shared" ref="D32:D51" si="25">IF($B32="","",D55-D78)</f>
        <v>26</v>
      </c>
      <c r="E32" s="43"/>
      <c r="F32" s="873">
        <f t="shared" ref="F32:I32" si="20">IF($B32="","",F55-F78)</f>
        <v>0</v>
      </c>
      <c r="G32" s="873">
        <f t="shared" si="20"/>
        <v>-9</v>
      </c>
      <c r="H32" s="873">
        <f t="shared" si="20"/>
        <v>12</v>
      </c>
      <c r="I32" s="873">
        <f t="shared" si="20"/>
        <v>0</v>
      </c>
      <c r="J32" s="5">
        <f t="shared" ref="J32:J51" si="27">IF(B32="","",SUM(F32:I32))</f>
        <v>3</v>
      </c>
      <c r="K32" s="43"/>
      <c r="L32" s="5">
        <f t="shared" ref="L32:L51" si="28">IF(B32="","",SUM(D32,J32))</f>
        <v>29</v>
      </c>
      <c r="M32" s="43"/>
      <c r="N32" s="43"/>
      <c r="O32" s="5">
        <f t="shared" ref="O32:O51" si="29">IF($B32="","",O55-O78)</f>
        <v>0</v>
      </c>
      <c r="P32" s="43"/>
      <c r="Q32" s="5">
        <f t="shared" ref="Q32:Q51" si="30">IF(B32="","",SUM(L32,O32))</f>
        <v>29</v>
      </c>
      <c r="R32" s="43"/>
      <c r="S32" s="43"/>
      <c r="T32" s="5">
        <f t="shared" ref="T32:T51" si="31">T31+1</f>
        <v>1</v>
      </c>
      <c r="U32" s="625" t="str">
        <f t="shared" ref="U32:V32" si="21">U9</f>
        <v>10*</v>
      </c>
      <c r="V32" s="625" t="str">
        <f t="shared" si="21"/>
        <v>BAMPF!</v>
      </c>
      <c r="W32" s="5">
        <f t="shared" ref="W32:W51" si="33">IF($U32="","",W55-W78)</f>
        <v>0</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5">
        <f t="shared" si="23"/>
        <v>2</v>
      </c>
      <c r="B33" s="880" t="str">
        <f t="shared" ref="B33:C33" si="24">B10</f>
        <v>024</v>
      </c>
      <c r="C33" s="880" t="str">
        <f t="shared" si="24"/>
        <v>Cutty</v>
      </c>
      <c r="D33" s="875">
        <f t="shared" si="25"/>
        <v>11</v>
      </c>
      <c r="E33" s="43"/>
      <c r="F33" s="873">
        <f t="shared" ref="F33:I33" si="26">IF($B33="","",F56-F79)</f>
        <v>0</v>
      </c>
      <c r="G33" s="873">
        <f t="shared" si="26"/>
        <v>0</v>
      </c>
      <c r="H33" s="873">
        <f t="shared" si="26"/>
        <v>0</v>
      </c>
      <c r="I33" s="873">
        <f t="shared" si="26"/>
        <v>0</v>
      </c>
      <c r="J33" s="875">
        <f t="shared" si="27"/>
        <v>0</v>
      </c>
      <c r="K33" s="43"/>
      <c r="L33" s="875">
        <f t="shared" si="28"/>
        <v>11</v>
      </c>
      <c r="M33" s="43"/>
      <c r="N33" s="43"/>
      <c r="O33" s="875">
        <f t="shared" si="29"/>
        <v>0</v>
      </c>
      <c r="P33" s="43"/>
      <c r="Q33" s="875">
        <f t="shared" si="30"/>
        <v>11</v>
      </c>
      <c r="R33" s="43"/>
      <c r="S33" s="43"/>
      <c r="T33" s="875">
        <f t="shared" si="31"/>
        <v>2</v>
      </c>
      <c r="U33" s="880" t="str">
        <f t="shared" ref="U33:V33" si="32">U10</f>
        <v>11</v>
      </c>
      <c r="V33" s="880" t="str">
        <f t="shared" si="32"/>
        <v>Killer Queen</v>
      </c>
      <c r="W33" s="875">
        <f t="shared" si="33"/>
        <v>0</v>
      </c>
      <c r="X33" s="43"/>
      <c r="Y33" s="873">
        <f t="shared" ref="Y33:AB33" si="34">IF($U33="","",Y56-Y79)</f>
        <v>0</v>
      </c>
      <c r="Z33" s="873">
        <f t="shared" si="34"/>
        <v>-28</v>
      </c>
      <c r="AA33" s="873">
        <f t="shared" si="34"/>
        <v>-19</v>
      </c>
      <c r="AB33" s="873">
        <f t="shared" si="34"/>
        <v>5</v>
      </c>
      <c r="AC33" s="875">
        <f t="shared" si="35"/>
        <v>-42</v>
      </c>
      <c r="AD33" s="43"/>
      <c r="AE33" s="875">
        <f t="shared" si="36"/>
        <v>-42</v>
      </c>
      <c r="AF33" s="43"/>
      <c r="AG33" s="43"/>
      <c r="AH33" s="875">
        <f t="shared" si="37"/>
        <v>0</v>
      </c>
      <c r="AI33" s="43"/>
      <c r="AJ33" s="875">
        <f t="shared" si="38"/>
        <v>-42</v>
      </c>
      <c r="AK33" s="43"/>
    </row>
    <row r="34" ht="13.5" customHeight="1">
      <c r="A34" s="5">
        <f t="shared" si="23"/>
        <v>3</v>
      </c>
      <c r="B34" s="625" t="str">
        <f t="shared" ref="B34:C34" si="39">B11</f>
        <v>10</v>
      </c>
      <c r="C34" s="625" t="str">
        <f t="shared" si="39"/>
        <v>Frida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22</v>
      </c>
      <c r="P34" s="43"/>
      <c r="Q34" s="5">
        <f t="shared" si="30"/>
        <v>22</v>
      </c>
      <c r="R34" s="43"/>
      <c r="S34" s="43"/>
      <c r="T34" s="5">
        <f t="shared" si="31"/>
        <v>3</v>
      </c>
      <c r="U34" s="625" t="str">
        <f t="shared" ref="U34:V34" si="41">U11</f>
        <v>120</v>
      </c>
      <c r="V34" s="625" t="str">
        <f t="shared" si="41"/>
        <v>Nikki Nail 'er</v>
      </c>
      <c r="W34" s="5">
        <f t="shared" si="33"/>
        <v>0</v>
      </c>
      <c r="X34" s="43"/>
      <c r="Y34" s="873">
        <f t="shared" ref="Y34:AB34" si="42">IF($U34="","",Y57-Y80)</f>
        <v>0</v>
      </c>
      <c r="Z34" s="873">
        <f t="shared" si="42"/>
        <v>-6</v>
      </c>
      <c r="AA34" s="873">
        <f t="shared" si="42"/>
        <v>-12</v>
      </c>
      <c r="AB34" s="873">
        <f t="shared" si="42"/>
        <v>-8</v>
      </c>
      <c r="AC34" s="5">
        <f t="shared" si="35"/>
        <v>-26</v>
      </c>
      <c r="AD34" s="43"/>
      <c r="AE34" s="5">
        <f t="shared" si="36"/>
        <v>-26</v>
      </c>
      <c r="AF34" s="43"/>
      <c r="AG34" s="43"/>
      <c r="AH34" s="5">
        <f t="shared" si="37"/>
        <v>0</v>
      </c>
      <c r="AI34" s="43"/>
      <c r="AJ34" s="5">
        <f t="shared" si="38"/>
        <v>-26</v>
      </c>
      <c r="AK34" s="43"/>
    </row>
    <row r="35" ht="13.5" customHeight="1">
      <c r="A35" s="875">
        <f t="shared" si="23"/>
        <v>4</v>
      </c>
      <c r="B35" s="880" t="str">
        <f t="shared" ref="B35:C35" si="43">B12</f>
        <v>16*</v>
      </c>
      <c r="C35" s="880" t="str">
        <f t="shared" si="43"/>
        <v>Just Monroe</v>
      </c>
      <c r="D35" s="875">
        <f t="shared" si="25"/>
        <v>0</v>
      </c>
      <c r="E35" s="43"/>
      <c r="F35" s="873">
        <f t="shared" ref="F35:I35" si="44">IF($B35="","",F58-F81)</f>
        <v>0</v>
      </c>
      <c r="G35" s="873">
        <f t="shared" si="44"/>
        <v>0</v>
      </c>
      <c r="H35" s="873">
        <f t="shared" si="44"/>
        <v>0</v>
      </c>
      <c r="I35" s="873">
        <f t="shared" si="44"/>
        <v>0</v>
      </c>
      <c r="J35" s="875">
        <f t="shared" si="27"/>
        <v>0</v>
      </c>
      <c r="K35" s="43"/>
      <c r="L35" s="875">
        <f t="shared" si="28"/>
        <v>0</v>
      </c>
      <c r="M35" s="43"/>
      <c r="N35" s="43"/>
      <c r="O35" s="875">
        <f t="shared" si="29"/>
        <v>0</v>
      </c>
      <c r="P35" s="43"/>
      <c r="Q35" s="875">
        <f t="shared" si="30"/>
        <v>0</v>
      </c>
      <c r="R35" s="43"/>
      <c r="S35" s="43"/>
      <c r="T35" s="875">
        <f t="shared" si="31"/>
        <v>4</v>
      </c>
      <c r="U35" s="880" t="str">
        <f t="shared" ref="U35:V35" si="45">U12</f>
        <v>13</v>
      </c>
      <c r="V35" s="880" t="str">
        <f t="shared" si="45"/>
        <v>Libido Loca</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0</v>
      </c>
      <c r="AI35" s="43"/>
      <c r="AJ35" s="875">
        <f t="shared" si="38"/>
        <v>0</v>
      </c>
      <c r="AK35" s="43"/>
    </row>
    <row r="36" ht="13.5" customHeight="1">
      <c r="A36" s="5">
        <f t="shared" si="23"/>
        <v>5</v>
      </c>
      <c r="B36" s="625" t="str">
        <f t="shared" ref="B36:C36" si="47">B13</f>
        <v>22*</v>
      </c>
      <c r="C36" s="625" t="str">
        <f t="shared" si="47"/>
        <v>Meche</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15</v>
      </c>
      <c r="V36" s="625" t="str">
        <f t="shared" si="49"/>
        <v>Harley Darlin</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-16</v>
      </c>
      <c r="AI36" s="43"/>
      <c r="AJ36" s="5">
        <f t="shared" si="38"/>
        <v>-16</v>
      </c>
      <c r="AK36" s="43"/>
    </row>
    <row r="37" ht="13.5" customHeight="1">
      <c r="A37" s="875">
        <f t="shared" si="23"/>
        <v>6</v>
      </c>
      <c r="B37" s="880" t="str">
        <f t="shared" ref="B37:C37" si="51">B14</f>
        <v>24</v>
      </c>
      <c r="C37" s="880" t="str">
        <f t="shared" si="51"/>
        <v>Ima BlowBya</v>
      </c>
      <c r="D37" s="875">
        <f t="shared" si="25"/>
        <v>0</v>
      </c>
      <c r="E37" s="43"/>
      <c r="F37" s="873">
        <f t="shared" ref="F37:I37" si="52">IF($B37="","",F60-F83)</f>
        <v>0</v>
      </c>
      <c r="G37" s="873">
        <f t="shared" si="52"/>
        <v>6</v>
      </c>
      <c r="H37" s="873">
        <f t="shared" si="52"/>
        <v>1</v>
      </c>
      <c r="I37" s="873">
        <f t="shared" si="52"/>
        <v>19</v>
      </c>
      <c r="J37" s="875">
        <f t="shared" si="27"/>
        <v>26</v>
      </c>
      <c r="K37" s="43"/>
      <c r="L37" s="875">
        <f t="shared" si="28"/>
        <v>26</v>
      </c>
      <c r="M37" s="43"/>
      <c r="N37" s="43"/>
      <c r="O37" s="875">
        <f t="shared" si="29"/>
        <v>0</v>
      </c>
      <c r="P37" s="43"/>
      <c r="Q37" s="875">
        <f t="shared" si="30"/>
        <v>26</v>
      </c>
      <c r="R37" s="43"/>
      <c r="S37" s="43"/>
      <c r="T37" s="875">
        <f t="shared" si="31"/>
        <v>6</v>
      </c>
      <c r="U37" s="880" t="str">
        <f t="shared" ref="U37:V37" si="53">U14</f>
        <v>21*</v>
      </c>
      <c r="V37" s="880" t="str">
        <f t="shared" si="53"/>
        <v>Agatha KrisB</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0</v>
      </c>
      <c r="AI37" s="43"/>
      <c r="AJ37" s="875">
        <f t="shared" si="38"/>
        <v>0</v>
      </c>
      <c r="AK37" s="43"/>
    </row>
    <row r="38" ht="13.5" customHeight="1">
      <c r="A38" s="5">
        <f t="shared" si="23"/>
        <v>7</v>
      </c>
      <c r="B38" s="625" t="str">
        <f t="shared" ref="B38:C38" si="55">B15</f>
        <v>264</v>
      </c>
      <c r="C38" s="625" t="str">
        <f t="shared" si="55"/>
        <v>Velasco Sauce</v>
      </c>
      <c r="D38" s="5">
        <f t="shared" si="25"/>
        <v>0</v>
      </c>
      <c r="E38" s="43"/>
      <c r="F38" s="873">
        <f t="shared" ref="F38:I38" si="56">IF($B38="","",F61-F84)</f>
        <v>0</v>
      </c>
      <c r="G38" s="873">
        <f t="shared" si="56"/>
        <v>13</v>
      </c>
      <c r="H38" s="873">
        <f t="shared" si="56"/>
        <v>17</v>
      </c>
      <c r="I38" s="873">
        <f t="shared" si="56"/>
        <v>0</v>
      </c>
      <c r="J38" s="5">
        <f t="shared" si="27"/>
        <v>30</v>
      </c>
      <c r="K38" s="43"/>
      <c r="L38" s="5">
        <f t="shared" si="28"/>
        <v>30</v>
      </c>
      <c r="M38" s="43"/>
      <c r="N38" s="43"/>
      <c r="O38" s="5">
        <f t="shared" si="29"/>
        <v>0</v>
      </c>
      <c r="P38" s="43"/>
      <c r="Q38" s="5">
        <f t="shared" si="30"/>
        <v>30</v>
      </c>
      <c r="R38" s="43"/>
      <c r="S38" s="43"/>
      <c r="T38" s="5">
        <f t="shared" si="31"/>
        <v>7</v>
      </c>
      <c r="U38" s="625" t="str">
        <f t="shared" ref="U38:V38" si="57">U15</f>
        <v>213</v>
      </c>
      <c r="V38" s="625" t="str">
        <f t="shared" si="57"/>
        <v>IceBox</v>
      </c>
      <c r="W38" s="5">
        <f t="shared" si="33"/>
        <v>0</v>
      </c>
      <c r="X38" s="43"/>
      <c r="Y38" s="873">
        <f t="shared" ref="Y38:AB38" si="58">IF($U38="","",Y61-Y84)</f>
        <v>0</v>
      </c>
      <c r="Z38" s="873">
        <f t="shared" si="58"/>
        <v>-4</v>
      </c>
      <c r="AA38" s="873">
        <f t="shared" si="58"/>
        <v>0</v>
      </c>
      <c r="AB38" s="873">
        <f t="shared" si="58"/>
        <v>-34</v>
      </c>
      <c r="AC38" s="5">
        <f t="shared" si="35"/>
        <v>-38</v>
      </c>
      <c r="AD38" s="43"/>
      <c r="AE38" s="5">
        <f t="shared" si="36"/>
        <v>-38</v>
      </c>
      <c r="AF38" s="43"/>
      <c r="AG38" s="43"/>
      <c r="AH38" s="5">
        <f t="shared" si="37"/>
        <v>0</v>
      </c>
      <c r="AI38" s="43"/>
      <c r="AJ38" s="5">
        <f t="shared" si="38"/>
        <v>-38</v>
      </c>
      <c r="AK38" s="43"/>
    </row>
    <row r="39" ht="13.5" customHeight="1">
      <c r="A39" s="875">
        <f t="shared" si="23"/>
        <v>8</v>
      </c>
      <c r="B39" s="880" t="str">
        <f t="shared" ref="B39:C39" si="59">B16</f>
        <v>27*</v>
      </c>
      <c r="C39" s="880" t="str">
        <f t="shared" si="59"/>
        <v>Babethoven</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221</v>
      </c>
      <c r="V39" s="880" t="str">
        <f t="shared" si="61"/>
        <v>Syann</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-20</v>
      </c>
      <c r="AI39" s="43"/>
      <c r="AJ39" s="875">
        <f t="shared" si="38"/>
        <v>-20</v>
      </c>
      <c r="AK39" s="43"/>
    </row>
    <row r="40" ht="13.5" customHeight="1">
      <c r="A40" s="5">
        <f t="shared" si="23"/>
        <v>9</v>
      </c>
      <c r="B40" s="625" t="str">
        <f t="shared" ref="B40:C40" si="63">B17</f>
        <v>3</v>
      </c>
      <c r="C40" s="625" t="str">
        <f t="shared" si="63"/>
        <v>Alexia</v>
      </c>
      <c r="D40" s="5">
        <f t="shared" si="25"/>
        <v>0</v>
      </c>
      <c r="E40" s="43"/>
      <c r="F40" s="873">
        <f t="shared" ref="F40:I40" si="64">IF($B40="","",F63-F86)</f>
        <v>0</v>
      </c>
      <c r="G40" s="873">
        <f t="shared" si="64"/>
        <v>12</v>
      </c>
      <c r="H40" s="873">
        <f t="shared" si="64"/>
        <v>-4</v>
      </c>
      <c r="I40" s="873">
        <f t="shared" si="64"/>
        <v>-9</v>
      </c>
      <c r="J40" s="5">
        <f t="shared" si="27"/>
        <v>-1</v>
      </c>
      <c r="K40" s="43"/>
      <c r="L40" s="5">
        <f t="shared" si="28"/>
        <v>-1</v>
      </c>
      <c r="M40" s="43"/>
      <c r="N40" s="43"/>
      <c r="O40" s="5">
        <f t="shared" si="29"/>
        <v>0</v>
      </c>
      <c r="P40" s="43"/>
      <c r="Q40" s="5">
        <f t="shared" si="30"/>
        <v>-1</v>
      </c>
      <c r="R40" s="43"/>
      <c r="S40" s="43"/>
      <c r="T40" s="5">
        <f t="shared" si="31"/>
        <v>9</v>
      </c>
      <c r="U40" s="625" t="str">
        <f t="shared" ref="U40:V40" si="65">U17</f>
        <v>28</v>
      </c>
      <c r="V40" s="625" t="str">
        <f t="shared" si="65"/>
        <v>Hot Box</v>
      </c>
      <c r="W40" s="5">
        <f t="shared" si="33"/>
        <v>-30</v>
      </c>
      <c r="X40" s="43"/>
      <c r="Y40" s="873">
        <f t="shared" ref="Y40:AB40" si="66">IF($U40="","",Y63-Y86)</f>
        <v>0</v>
      </c>
      <c r="Z40" s="873">
        <f t="shared" si="66"/>
        <v>0</v>
      </c>
      <c r="AA40" s="873">
        <f t="shared" si="66"/>
        <v>0</v>
      </c>
      <c r="AB40" s="873">
        <f t="shared" si="66"/>
        <v>0</v>
      </c>
      <c r="AC40" s="5">
        <f t="shared" si="35"/>
        <v>0</v>
      </c>
      <c r="AD40" s="43"/>
      <c r="AE40" s="5">
        <f t="shared" si="36"/>
        <v>-30</v>
      </c>
      <c r="AF40" s="43"/>
      <c r="AG40" s="43"/>
      <c r="AH40" s="5">
        <f t="shared" si="37"/>
        <v>0</v>
      </c>
      <c r="AI40" s="43"/>
      <c r="AJ40" s="5">
        <f t="shared" si="38"/>
        <v>-30</v>
      </c>
      <c r="AK40" s="43"/>
    </row>
    <row r="41" ht="13.5" customHeight="1">
      <c r="A41" s="875">
        <f t="shared" si="23"/>
        <v>10</v>
      </c>
      <c r="B41" s="880" t="str">
        <f t="shared" ref="B41:C41" si="67">B18</f>
        <v>31</v>
      </c>
      <c r="C41" s="880" t="str">
        <f t="shared" si="67"/>
        <v>2x Force</v>
      </c>
      <c r="D41" s="875">
        <f t="shared" si="25"/>
        <v>0</v>
      </c>
      <c r="E41" s="43"/>
      <c r="F41" s="873">
        <f t="shared" ref="F41:I41" si="68">IF($B41="","",F64-F87)</f>
        <v>0</v>
      </c>
      <c r="G41" s="873">
        <f t="shared" si="68"/>
        <v>16</v>
      </c>
      <c r="H41" s="873">
        <f t="shared" si="68"/>
        <v>8</v>
      </c>
      <c r="I41" s="873">
        <f t="shared" si="68"/>
        <v>15</v>
      </c>
      <c r="J41" s="875">
        <f t="shared" si="27"/>
        <v>39</v>
      </c>
      <c r="K41" s="43"/>
      <c r="L41" s="875">
        <f t="shared" si="28"/>
        <v>39</v>
      </c>
      <c r="M41" s="43"/>
      <c r="N41" s="43"/>
      <c r="O41" s="875">
        <f t="shared" si="29"/>
        <v>0</v>
      </c>
      <c r="P41" s="43"/>
      <c r="Q41" s="875">
        <f t="shared" si="30"/>
        <v>39</v>
      </c>
      <c r="R41" s="43"/>
      <c r="S41" s="43"/>
      <c r="T41" s="875">
        <f t="shared" si="31"/>
        <v>10</v>
      </c>
      <c r="U41" s="880" t="str">
        <f t="shared" ref="U41:V41" si="69">U18</f>
        <v>321</v>
      </c>
      <c r="V41" s="880" t="str">
        <f t="shared" si="69"/>
        <v>Rockit</v>
      </c>
      <c r="W41" s="875">
        <f t="shared" si="33"/>
        <v>0</v>
      </c>
      <c r="X41" s="43"/>
      <c r="Y41" s="873">
        <f t="shared" ref="Y41:AB41" si="70">IF($U41="","",Y64-Y87)</f>
        <v>0</v>
      </c>
      <c r="Z41" s="873">
        <f t="shared" si="70"/>
        <v>-4</v>
      </c>
      <c r="AA41" s="873">
        <f t="shared" si="70"/>
        <v>1</v>
      </c>
      <c r="AB41" s="873">
        <f t="shared" si="70"/>
        <v>-27</v>
      </c>
      <c r="AC41" s="875">
        <f t="shared" si="35"/>
        <v>-30</v>
      </c>
      <c r="AD41" s="43"/>
      <c r="AE41" s="875">
        <f t="shared" si="36"/>
        <v>-30</v>
      </c>
      <c r="AF41" s="43"/>
      <c r="AG41" s="43"/>
      <c r="AH41" s="875">
        <f t="shared" si="37"/>
        <v>0</v>
      </c>
      <c r="AI41" s="43"/>
      <c r="AJ41" s="875">
        <f t="shared" si="38"/>
        <v>-30</v>
      </c>
      <c r="AK41" s="43"/>
    </row>
    <row r="42" ht="13.5" customHeight="1">
      <c r="A42" s="5">
        <f t="shared" si="23"/>
        <v>11</v>
      </c>
      <c r="B42" s="625" t="str">
        <f t="shared" ref="B42:C42" si="71">B19</f>
        <v>313</v>
      </c>
      <c r="C42" s="625" t="str">
        <f t="shared" si="71"/>
        <v>WestCoast MaFia</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24</v>
      </c>
      <c r="P42" s="43"/>
      <c r="Q42" s="5">
        <f t="shared" si="30"/>
        <v>24</v>
      </c>
      <c r="R42" s="43"/>
      <c r="S42" s="43"/>
      <c r="T42" s="5">
        <f t="shared" si="31"/>
        <v>11</v>
      </c>
      <c r="U42" s="625" t="str">
        <f t="shared" ref="U42:V42" si="73">U19</f>
        <v>329</v>
      </c>
      <c r="V42" s="625" t="str">
        <f t="shared" si="73"/>
        <v>Triple Axel Rose</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-14</v>
      </c>
      <c r="AI42" s="43"/>
      <c r="AJ42" s="5">
        <f t="shared" si="38"/>
        <v>-14</v>
      </c>
      <c r="AK42" s="43"/>
    </row>
    <row r="43" ht="13.5" customHeight="1">
      <c r="A43" s="875">
        <f t="shared" si="23"/>
        <v>12</v>
      </c>
      <c r="B43" s="880" t="str">
        <f t="shared" ref="B43:C43" si="75">B20</f>
        <v>3381</v>
      </c>
      <c r="C43" s="880" t="str">
        <f t="shared" si="75"/>
        <v>Hella Naughty</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18</v>
      </c>
      <c r="P43" s="43"/>
      <c r="Q43" s="875">
        <f t="shared" si="30"/>
        <v>18</v>
      </c>
      <c r="R43" s="43"/>
      <c r="S43" s="43"/>
      <c r="T43" s="875">
        <f t="shared" si="31"/>
        <v>12</v>
      </c>
      <c r="U43" s="880" t="str">
        <f t="shared" ref="U43:V43" si="77">U20</f>
        <v>410</v>
      </c>
      <c r="V43" s="880" t="str">
        <f t="shared" si="77"/>
        <v>Ricketts</v>
      </c>
      <c r="W43" s="875">
        <f t="shared" si="33"/>
        <v>0</v>
      </c>
      <c r="X43" s="43"/>
      <c r="Y43" s="873">
        <f t="shared" ref="Y43:AB43" si="78">IF($U43="","",Y66-Y89)</f>
        <v>0</v>
      </c>
      <c r="Z43" s="873">
        <f t="shared" si="78"/>
        <v>-24</v>
      </c>
      <c r="AA43" s="873">
        <f t="shared" si="78"/>
        <v>-14</v>
      </c>
      <c r="AB43" s="873">
        <f t="shared" si="78"/>
        <v>0</v>
      </c>
      <c r="AC43" s="875">
        <f t="shared" si="35"/>
        <v>-38</v>
      </c>
      <c r="AD43" s="43"/>
      <c r="AE43" s="875">
        <f t="shared" si="36"/>
        <v>-38</v>
      </c>
      <c r="AF43" s="43"/>
      <c r="AG43" s="43"/>
      <c r="AH43" s="875">
        <f t="shared" si="37"/>
        <v>0</v>
      </c>
      <c r="AI43" s="43"/>
      <c r="AJ43" s="875">
        <f t="shared" si="38"/>
        <v>-38</v>
      </c>
      <c r="AK43" s="43"/>
    </row>
    <row r="44" ht="13.5" customHeight="1">
      <c r="A44" s="5">
        <f t="shared" si="23"/>
        <v>13</v>
      </c>
      <c r="B44" s="625" t="str">
        <f t="shared" ref="B44:C44" si="79">B21</f>
        <v>38</v>
      </c>
      <c r="C44" s="625" t="str">
        <f t="shared" si="79"/>
        <v>Colette Razorcat</v>
      </c>
      <c r="D44" s="5">
        <f t="shared" si="25"/>
        <v>0</v>
      </c>
      <c r="E44" s="43"/>
      <c r="F44" s="873">
        <f t="shared" ref="F44:I44" si="80">IF($B44="","",F67-F90)</f>
        <v>0</v>
      </c>
      <c r="G44" s="873">
        <f t="shared" si="80"/>
        <v>15</v>
      </c>
      <c r="H44" s="873">
        <f t="shared" si="80"/>
        <v>-1</v>
      </c>
      <c r="I44" s="873">
        <f t="shared" si="80"/>
        <v>8</v>
      </c>
      <c r="J44" s="5">
        <f t="shared" si="27"/>
        <v>22</v>
      </c>
      <c r="K44" s="43"/>
      <c r="L44" s="5">
        <f t="shared" si="28"/>
        <v>22</v>
      </c>
      <c r="M44" s="43"/>
      <c r="N44" s="43"/>
      <c r="O44" s="5">
        <f t="shared" si="29"/>
        <v>0</v>
      </c>
      <c r="P44" s="43"/>
      <c r="Q44" s="5">
        <f t="shared" si="30"/>
        <v>22</v>
      </c>
      <c r="R44" s="43"/>
      <c r="S44" s="43"/>
      <c r="T44" s="5">
        <f t="shared" si="31"/>
        <v>13</v>
      </c>
      <c r="U44" s="625" t="str">
        <f t="shared" ref="U44:V44" si="81">U21</f>
        <v>47</v>
      </c>
      <c r="V44" s="625" t="str">
        <f t="shared" si="81"/>
        <v>Author of Pain</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394</v>
      </c>
      <c r="C45" s="880" t="str">
        <f t="shared" si="83"/>
        <v>Punkie Pie</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12</v>
      </c>
      <c r="P45" s="43"/>
      <c r="Q45" s="875">
        <f t="shared" si="30"/>
        <v>12</v>
      </c>
      <c r="R45" s="43"/>
      <c r="S45" s="43"/>
      <c r="T45" s="875">
        <f t="shared" si="31"/>
        <v>14</v>
      </c>
      <c r="U45" s="880" t="str">
        <f t="shared" ref="U45:V45" si="85">U22</f>
        <v>484*</v>
      </c>
      <c r="V45" s="880" t="str">
        <f t="shared" si="85"/>
        <v>Gemineye</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0</v>
      </c>
      <c r="AI45" s="43"/>
      <c r="AJ45" s="875">
        <f t="shared" si="38"/>
        <v>0</v>
      </c>
      <c r="AK45" s="43"/>
    </row>
    <row r="46" ht="13.5" customHeight="1">
      <c r="A46" s="5">
        <f t="shared" si="23"/>
        <v>15</v>
      </c>
      <c r="B46" s="625" t="str">
        <f t="shared" ref="B46:C46" si="87">B23</f>
        <v>4</v>
      </c>
      <c r="C46" s="625" t="str">
        <f t="shared" si="87"/>
        <v>Sure, man</v>
      </c>
      <c r="D46" s="5">
        <f t="shared" si="25"/>
        <v>0</v>
      </c>
      <c r="E46" s="43"/>
      <c r="F46" s="873">
        <f t="shared" ref="F46:I46" si="88">IF($B46="","",F69-F92)</f>
        <v>0</v>
      </c>
      <c r="G46" s="873">
        <f t="shared" si="88"/>
        <v>0</v>
      </c>
      <c r="H46" s="873">
        <f t="shared" si="88"/>
        <v>15</v>
      </c>
      <c r="I46" s="873">
        <f t="shared" si="88"/>
        <v>16</v>
      </c>
      <c r="J46" s="5">
        <f t="shared" si="27"/>
        <v>31</v>
      </c>
      <c r="K46" s="43"/>
      <c r="L46" s="5">
        <f t="shared" si="28"/>
        <v>31</v>
      </c>
      <c r="M46" s="43"/>
      <c r="N46" s="43"/>
      <c r="O46" s="5">
        <f t="shared" si="29"/>
        <v>0</v>
      </c>
      <c r="P46" s="43"/>
      <c r="Q46" s="5">
        <f t="shared" si="30"/>
        <v>31</v>
      </c>
      <c r="R46" s="43"/>
      <c r="S46" s="43"/>
      <c r="T46" s="5">
        <f t="shared" si="31"/>
        <v>15</v>
      </c>
      <c r="U46" s="625" t="str">
        <f t="shared" ref="U46:V46" si="89">U23</f>
        <v>505</v>
      </c>
      <c r="V46" s="625" t="str">
        <f t="shared" si="89"/>
        <v>Swearin' Marie</v>
      </c>
      <c r="W46" s="5">
        <f t="shared" si="33"/>
        <v>-39</v>
      </c>
      <c r="X46" s="43"/>
      <c r="Y46" s="873">
        <f t="shared" ref="Y46:AB46" si="90">IF($U46="","",Y69-Y92)</f>
        <v>0</v>
      </c>
      <c r="Z46" s="873">
        <f t="shared" si="90"/>
        <v>0</v>
      </c>
      <c r="AA46" s="873">
        <f t="shared" si="90"/>
        <v>0</v>
      </c>
      <c r="AB46" s="873">
        <f t="shared" si="90"/>
        <v>0</v>
      </c>
      <c r="AC46" s="5">
        <f t="shared" si="35"/>
        <v>0</v>
      </c>
      <c r="AD46" s="43"/>
      <c r="AE46" s="5">
        <f t="shared" si="36"/>
        <v>-39</v>
      </c>
      <c r="AF46" s="43"/>
      <c r="AG46" s="43"/>
      <c r="AH46" s="5">
        <f t="shared" si="37"/>
        <v>-4</v>
      </c>
      <c r="AI46" s="43"/>
      <c r="AJ46" s="5">
        <f t="shared" si="38"/>
        <v>-43</v>
      </c>
      <c r="AK46" s="43"/>
    </row>
    <row r="47" ht="13.5" customHeight="1">
      <c r="A47" s="875">
        <f t="shared" si="23"/>
        <v>16</v>
      </c>
      <c r="B47" s="880" t="str">
        <f t="shared" ref="B47:C47" si="91">B24</f>
        <v>602*</v>
      </c>
      <c r="C47" s="880" t="str">
        <f t="shared" si="91"/>
        <v>Feen-X</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75*</v>
      </c>
      <c r="V47" s="880" t="str">
        <f t="shared" si="93"/>
        <v>TamTrum</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7</v>
      </c>
      <c r="C48" s="625" t="str">
        <f t="shared" si="95"/>
        <v>Skatie Katie</v>
      </c>
      <c r="D48" s="5">
        <f t="shared" si="25"/>
        <v>10</v>
      </c>
      <c r="E48" s="43"/>
      <c r="F48" s="873">
        <f t="shared" ref="F48:I48" si="96">IF($B48="","",F71-F94)</f>
        <v>0</v>
      </c>
      <c r="G48" s="873">
        <f t="shared" si="96"/>
        <v>4</v>
      </c>
      <c r="H48" s="873">
        <f t="shared" si="96"/>
        <v>12</v>
      </c>
      <c r="I48" s="873">
        <f t="shared" si="96"/>
        <v>5</v>
      </c>
      <c r="J48" s="5">
        <f t="shared" si="27"/>
        <v>21</v>
      </c>
      <c r="K48" s="43"/>
      <c r="L48" s="5">
        <f t="shared" si="28"/>
        <v>31</v>
      </c>
      <c r="M48" s="43"/>
      <c r="N48" s="43"/>
      <c r="O48" s="5">
        <f t="shared" si="29"/>
        <v>0</v>
      </c>
      <c r="P48" s="43"/>
      <c r="Q48" s="5">
        <f t="shared" si="30"/>
        <v>31</v>
      </c>
      <c r="R48" s="43"/>
      <c r="S48" s="43"/>
      <c r="T48" s="5">
        <f t="shared" si="31"/>
        <v>17</v>
      </c>
      <c r="U48" s="625" t="str">
        <f t="shared" ref="U48:V48" si="97">U25</f>
        <v>88</v>
      </c>
      <c r="V48" s="625" t="str">
        <f t="shared" si="97"/>
        <v>Rocktopus</v>
      </c>
      <c r="W48" s="5">
        <f t="shared" si="33"/>
        <v>0</v>
      </c>
      <c r="X48" s="43"/>
      <c r="Y48" s="873">
        <f t="shared" ref="Y48:AB48" si="98">IF($U48="","",Y71-Y94)</f>
        <v>0</v>
      </c>
      <c r="Z48" s="873">
        <f t="shared" si="98"/>
        <v>0</v>
      </c>
      <c r="AA48" s="873">
        <f t="shared" si="98"/>
        <v>-7</v>
      </c>
      <c r="AB48" s="873">
        <f t="shared" si="98"/>
        <v>0</v>
      </c>
      <c r="AC48" s="5">
        <f t="shared" si="35"/>
        <v>-7</v>
      </c>
      <c r="AD48" s="43"/>
      <c r="AE48" s="5">
        <f t="shared" si="36"/>
        <v>-7</v>
      </c>
      <c r="AF48" s="43"/>
      <c r="AG48" s="43"/>
      <c r="AH48" s="5">
        <f t="shared" si="37"/>
        <v>0</v>
      </c>
      <c r="AI48" s="43"/>
      <c r="AJ48" s="5">
        <f t="shared" si="38"/>
        <v>-7</v>
      </c>
      <c r="AK48" s="43"/>
    </row>
    <row r="49" ht="13.5" customHeight="1">
      <c r="A49" s="875">
        <f t="shared" si="23"/>
        <v>18</v>
      </c>
      <c r="B49" s="880" t="str">
        <f t="shared" ref="B49:C49" si="99">B26</f>
        <v>76</v>
      </c>
      <c r="C49" s="880" t="str">
        <f t="shared" si="99"/>
        <v>Queen Loseyateefa</v>
      </c>
      <c r="D49" s="875">
        <f t="shared" si="25"/>
        <v>0</v>
      </c>
      <c r="E49" s="43"/>
      <c r="F49" s="873">
        <f t="shared" ref="F49:I49" si="100">IF($B49="","",F72-F95)</f>
        <v>0</v>
      </c>
      <c r="G49" s="873">
        <f t="shared" si="100"/>
        <v>19</v>
      </c>
      <c r="H49" s="873">
        <f t="shared" si="100"/>
        <v>8</v>
      </c>
      <c r="I49" s="873">
        <f t="shared" si="100"/>
        <v>18</v>
      </c>
      <c r="J49" s="875">
        <f t="shared" si="27"/>
        <v>45</v>
      </c>
      <c r="K49" s="43"/>
      <c r="L49" s="875">
        <f t="shared" si="28"/>
        <v>45</v>
      </c>
      <c r="M49" s="43"/>
      <c r="N49" s="43"/>
      <c r="O49" s="875">
        <f t="shared" si="29"/>
        <v>0</v>
      </c>
      <c r="P49" s="43"/>
      <c r="Q49" s="875">
        <f t="shared" si="30"/>
        <v>45</v>
      </c>
      <c r="R49" s="43"/>
      <c r="S49" s="43"/>
      <c r="T49" s="875">
        <f t="shared" si="31"/>
        <v>18</v>
      </c>
      <c r="U49" s="880" t="str">
        <f t="shared" ref="U49:V49" si="101">U26</f>
        <v>9</v>
      </c>
      <c r="V49" s="880" t="str">
        <f t="shared" si="101"/>
        <v>Kell's Inferno</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-22</v>
      </c>
      <c r="AI49" s="43"/>
      <c r="AJ49" s="875">
        <f t="shared" si="38"/>
        <v>-22</v>
      </c>
      <c r="AK49" s="43"/>
    </row>
    <row r="50" ht="13.5" customHeight="1">
      <c r="A50" s="5">
        <f t="shared" si="23"/>
        <v>19</v>
      </c>
      <c r="B50" s="625" t="str">
        <f t="shared" ref="B50:C50" si="103">B27</f>
        <v>88</v>
      </c>
      <c r="C50" s="625" t="str">
        <f t="shared" si="103"/>
        <v>MsMURDR</v>
      </c>
      <c r="D50" s="5">
        <f t="shared" si="25"/>
        <v>29</v>
      </c>
      <c r="E50" s="43"/>
      <c r="F50" s="873">
        <f t="shared" ref="F50:I50" si="104">IF($B50="","",F73-F96)</f>
        <v>0</v>
      </c>
      <c r="G50" s="873">
        <f t="shared" si="104"/>
        <v>0</v>
      </c>
      <c r="H50" s="873">
        <f t="shared" si="104"/>
        <v>8</v>
      </c>
      <c r="I50" s="873">
        <f t="shared" si="104"/>
        <v>4</v>
      </c>
      <c r="J50" s="5">
        <f t="shared" si="27"/>
        <v>12</v>
      </c>
      <c r="K50" s="43"/>
      <c r="L50" s="5">
        <f t="shared" si="28"/>
        <v>41</v>
      </c>
      <c r="M50" s="43"/>
      <c r="N50" s="43"/>
      <c r="O50" s="5">
        <f t="shared" si="29"/>
        <v>0</v>
      </c>
      <c r="P50" s="43"/>
      <c r="Q50" s="5">
        <f t="shared" si="30"/>
        <v>41</v>
      </c>
      <c r="R50" s="43"/>
      <c r="S50" s="43"/>
      <c r="T50" s="5">
        <f t="shared" si="31"/>
        <v>19</v>
      </c>
      <c r="U50" s="625" t="str">
        <f t="shared" ref="U50:V50" si="105">U27</f>
        <v>913*</v>
      </c>
      <c r="V50" s="625" t="str">
        <f t="shared" si="105"/>
        <v>Termiskater</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96*</v>
      </c>
      <c r="C51" s="880" t="str">
        <f t="shared" si="107"/>
        <v>Weird Flex</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999</v>
      </c>
      <c r="V51" s="880" t="str">
        <f t="shared" si="109"/>
        <v>Amanda Jamitinya</v>
      </c>
      <c r="W51" s="875">
        <f t="shared" si="33"/>
        <v>-7</v>
      </c>
      <c r="X51" s="43"/>
      <c r="Y51" s="873">
        <f t="shared" ref="Y51:AB51" si="110">IF($U51="","",Y74-Y97)</f>
        <v>0</v>
      </c>
      <c r="Z51" s="873">
        <f t="shared" si="110"/>
        <v>-10</v>
      </c>
      <c r="AA51" s="873">
        <f t="shared" si="110"/>
        <v>-25</v>
      </c>
      <c r="AB51" s="873">
        <f t="shared" si="110"/>
        <v>-4</v>
      </c>
      <c r="AC51" s="875">
        <f t="shared" si="35"/>
        <v>-39</v>
      </c>
      <c r="AD51" s="43"/>
      <c r="AE51" s="875">
        <f t="shared" si="36"/>
        <v>-46</v>
      </c>
      <c r="AF51" s="43"/>
      <c r="AG51" s="43"/>
      <c r="AH51" s="875">
        <f t="shared" si="37"/>
        <v>0</v>
      </c>
      <c r="AI51" s="43"/>
      <c r="AJ51" s="875">
        <f t="shared" si="38"/>
        <v>-46</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447</v>
      </c>
      <c r="B53" s="8"/>
      <c r="C53" s="9"/>
      <c r="D53" s="866"/>
      <c r="E53" s="866"/>
      <c r="F53" s="866"/>
      <c r="G53" s="866"/>
      <c r="H53" s="866"/>
      <c r="I53" s="866"/>
      <c r="J53" s="866"/>
      <c r="K53" s="866"/>
      <c r="L53" s="866"/>
      <c r="M53" s="866"/>
      <c r="N53" s="866"/>
      <c r="O53" s="866"/>
      <c r="P53" s="866"/>
      <c r="Q53" s="866"/>
      <c r="R53" s="866"/>
      <c r="S53" s="43"/>
      <c r="T53" s="865" t="s">
        <v>447</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436</v>
      </c>
      <c r="C54" s="867" t="s">
        <v>437</v>
      </c>
      <c r="D54" s="867" t="s">
        <v>292</v>
      </c>
      <c r="E54" s="5"/>
      <c r="F54" s="869" t="s">
        <v>293</v>
      </c>
      <c r="G54" s="869" t="s">
        <v>293</v>
      </c>
      <c r="H54" s="869" t="s">
        <v>293</v>
      </c>
      <c r="I54" s="869" t="s">
        <v>293</v>
      </c>
      <c r="J54" s="867" t="s">
        <v>439</v>
      </c>
      <c r="K54" s="5"/>
      <c r="L54" s="867" t="s">
        <v>441</v>
      </c>
      <c r="M54" s="5"/>
      <c r="N54" s="870" t="s">
        <v>443</v>
      </c>
      <c r="O54" s="867" t="s">
        <v>290</v>
      </c>
      <c r="P54" s="5"/>
      <c r="Q54" s="867" t="s">
        <v>410</v>
      </c>
      <c r="R54" s="5"/>
      <c r="S54" s="5"/>
      <c r="T54" s="867">
        <v>0.0</v>
      </c>
      <c r="U54" s="867" t="s">
        <v>436</v>
      </c>
      <c r="V54" s="867" t="s">
        <v>437</v>
      </c>
      <c r="W54" s="867" t="s">
        <v>292</v>
      </c>
      <c r="X54" s="5"/>
      <c r="Y54" s="869" t="s">
        <v>293</v>
      </c>
      <c r="Z54" s="869" t="s">
        <v>293</v>
      </c>
      <c r="AA54" s="869" t="s">
        <v>293</v>
      </c>
      <c r="AB54" s="869" t="s">
        <v>293</v>
      </c>
      <c r="AC54" s="867" t="s">
        <v>439</v>
      </c>
      <c r="AD54" s="5"/>
      <c r="AE54" s="867" t="s">
        <v>441</v>
      </c>
      <c r="AF54" s="5"/>
      <c r="AG54" s="870" t="s">
        <v>443</v>
      </c>
      <c r="AH54" s="867" t="s">
        <v>290</v>
      </c>
      <c r="AI54" s="5"/>
      <c r="AJ54" s="867" t="s">
        <v>410</v>
      </c>
      <c r="AK54" s="5"/>
    </row>
    <row r="55" ht="13.5" customHeight="1">
      <c r="A55" s="5">
        <f t="shared" ref="A55:A74" si="113">A54+1</f>
        <v>1</v>
      </c>
      <c r="B55" s="625" t="str">
        <f t="shared" ref="B55:C55" si="111">B9</f>
        <v>01</v>
      </c>
      <c r="C55" s="625" t="str">
        <f t="shared" si="111"/>
        <v>Goldy Knocks</v>
      </c>
      <c r="D55" s="5">
        <f>IF($B55="","",SUMPRODUCT(--(Lineups!$G$4:$G$41=$B55),--(Lineups!$B$4:$B$41=""),Lineups!$W$4:$W$41))</f>
        <v>45</v>
      </c>
      <c r="E55" s="43"/>
      <c r="F55" s="873">
        <f>IF($B55="","",SUMPRODUCT(--(Lineups!$G$4:$G$41=$B55),--(Lineups!$B$4:$B$41="X"),Lineups!$W$4:$W$41))</f>
        <v>0</v>
      </c>
      <c r="G55" s="873">
        <f>IF($B55="","",SUMPRODUCT(--(Lineups!$K$4:$K$41=$B55),Lineups!$W$4:$W$41))</f>
        <v>7</v>
      </c>
      <c r="H55" s="873">
        <f>IF($B55="","",SUMPRODUCT(--(Lineups!$O$4:$O$41=$B55),Lineups!$W$4:$W$41))</f>
        <v>12</v>
      </c>
      <c r="I55" s="873">
        <f>IF($B55="","",SUMPRODUCT(--(Lineups!$S$4:$S$41=$B55),Lineups!$W$4:$W$41))</f>
        <v>0</v>
      </c>
      <c r="J55" s="5">
        <f t="shared" ref="J55:J74" si="115">IF(B55="","",SUM(F55:I55))</f>
        <v>19</v>
      </c>
      <c r="K55" s="43"/>
      <c r="L55" s="5">
        <f t="shared" ref="L55:L74" si="116">IF(B55="","",SUM(D55,J55))</f>
        <v>64</v>
      </c>
      <c r="M55" s="43"/>
      <c r="N55" s="43"/>
      <c r="O55" s="5">
        <f>IF($B55="","",SUMPRODUCT(--(Lineups!$C$4:$C$41=$B55),Lineups!$W$4:$W$41))</f>
        <v>0</v>
      </c>
      <c r="P55" s="43"/>
      <c r="Q55" s="5">
        <f t="shared" ref="Q55:Q74" si="117">IF(B55="","",SUM(L55,O55))</f>
        <v>64</v>
      </c>
      <c r="R55" s="43"/>
      <c r="S55" s="43"/>
      <c r="T55" s="5">
        <f t="shared" ref="T55:T74" si="118">T54+1</f>
        <v>1</v>
      </c>
      <c r="U55" s="625" t="str">
        <f t="shared" ref="U55:V55" si="112">U9</f>
        <v>10*</v>
      </c>
      <c r="V55" s="625" t="str">
        <f t="shared" si="112"/>
        <v>BAMPF!</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5">
        <f t="shared" si="113"/>
        <v>2</v>
      </c>
      <c r="B56" s="880" t="str">
        <f t="shared" ref="B56:C56" si="114">B10</f>
        <v>024</v>
      </c>
      <c r="C56" s="880" t="str">
        <f t="shared" si="114"/>
        <v>Cutty</v>
      </c>
      <c r="D56" s="875">
        <f>IF($B56="","",SUMPRODUCT(--(Lineups!$G$4:$G$41=$B56),--(Lineups!$B$4:$B$41=""),Lineups!$W$4:$W$41))</f>
        <v>27</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27</v>
      </c>
      <c r="M56" s="43"/>
      <c r="N56" s="43"/>
      <c r="O56" s="875">
        <f>IF($B56="","",SUMPRODUCT(--(Lineups!$C$4:$C$41=$B56),Lineups!$W$4:$W$41))</f>
        <v>0</v>
      </c>
      <c r="P56" s="43"/>
      <c r="Q56" s="875">
        <f t="shared" si="117"/>
        <v>27</v>
      </c>
      <c r="R56" s="43"/>
      <c r="S56" s="43"/>
      <c r="T56" s="875">
        <f t="shared" si="118"/>
        <v>2</v>
      </c>
      <c r="U56" s="880" t="str">
        <f t="shared" ref="U56:V56" si="119">U10</f>
        <v>11</v>
      </c>
      <c r="V56" s="880" t="str">
        <f t="shared" si="119"/>
        <v>Killer Queen</v>
      </c>
      <c r="W56" s="875">
        <f>IF($U56="","",SUMPRODUCT(--(Lineups!$AG$4:$AG$41=$U56),--(Lineups!$AB$4:$AB$41=""),Lineups!$AW$4:$AW$41))</f>
        <v>0</v>
      </c>
      <c r="X56" s="43"/>
      <c r="Y56" s="873">
        <f>IF($U56="","",SUMPRODUCT(--(Lineups!$AG$4:$AG$41=$U56),--(Lineups!$AB$4:$AB$41="X"),Lineups!$AW$4:$AW$41))</f>
        <v>0</v>
      </c>
      <c r="Z56" s="873">
        <f>IF($U56="","",SUMPRODUCT(--(Lineups!$AK$4:$AK$41=$U56),Lineups!$AW$4:$AW$41))</f>
        <v>8</v>
      </c>
      <c r="AA56" s="873">
        <f>IF($U56="","",SUMPRODUCT(--(Lineups!$AO$4:$AO$41=$U56),Lineups!$AW$4:$AW$41))</f>
        <v>14</v>
      </c>
      <c r="AB56" s="873">
        <f>IF($U56="","",SUMPRODUCT(--(Lineups!$AS$4:$AS$41=$U56),Lineups!$AW$4:$AW$41))</f>
        <v>12</v>
      </c>
      <c r="AC56" s="875">
        <f t="shared" si="120"/>
        <v>34</v>
      </c>
      <c r="AD56" s="43"/>
      <c r="AE56" s="875">
        <f t="shared" si="121"/>
        <v>34</v>
      </c>
      <c r="AF56" s="43"/>
      <c r="AG56" s="43"/>
      <c r="AH56" s="875">
        <f>IF($U56="","",SUMPRODUCT(--(Lineups!$AC$4:$AC$41=$U56),Lineups!$AW$4:$AW$41))</f>
        <v>0</v>
      </c>
      <c r="AI56" s="43"/>
      <c r="AJ56" s="875">
        <f t="shared" si="122"/>
        <v>34</v>
      </c>
      <c r="AK56" s="43"/>
    </row>
    <row r="57" ht="13.5" customHeight="1">
      <c r="A57" s="5">
        <f t="shared" si="113"/>
        <v>3</v>
      </c>
      <c r="B57" s="625" t="str">
        <f t="shared" ref="B57:C57" si="123">B11</f>
        <v>10</v>
      </c>
      <c r="C57" s="625" t="str">
        <f t="shared" si="123"/>
        <v>Frida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29</v>
      </c>
      <c r="P57" s="43"/>
      <c r="Q57" s="5">
        <f t="shared" si="117"/>
        <v>29</v>
      </c>
      <c r="R57" s="43"/>
      <c r="S57" s="43"/>
      <c r="T57" s="5">
        <f t="shared" si="118"/>
        <v>3</v>
      </c>
      <c r="U57" s="625" t="str">
        <f t="shared" ref="U57:V57" si="124">U11</f>
        <v>120</v>
      </c>
      <c r="V57" s="625" t="str">
        <f t="shared" si="124"/>
        <v>Nikki Nail 'er</v>
      </c>
      <c r="W57" s="5">
        <f>IF($U57="","",SUMPRODUCT(--(Lineups!$AG$4:$AG$41=$U57),--(Lineups!$AB$4:$AB$41=""),Lineups!$AW$4:$AW$41))</f>
        <v>0</v>
      </c>
      <c r="X57" s="43"/>
      <c r="Y57" s="873">
        <f>IF($U57="","",SUMPRODUCT(--(Lineups!$AG$4:$AG$41=$U57),--(Lineups!$AB$4:$AB$41="X"),Lineups!$AW$4:$AW$41))</f>
        <v>0</v>
      </c>
      <c r="Z57" s="873">
        <f>IF($U57="","",SUMPRODUCT(--(Lineups!$AK$4:$AK$41=$U57),Lineups!$AW$4:$AW$41))</f>
        <v>26</v>
      </c>
      <c r="AA57" s="873">
        <f>IF($U57="","",SUMPRODUCT(--(Lineups!$AO$4:$AO$41=$U57),Lineups!$AW$4:$AW$41))</f>
        <v>0</v>
      </c>
      <c r="AB57" s="873">
        <f>IF($U57="","",SUMPRODUCT(--(Lineups!$AS$4:$AS$41=$U57),Lineups!$AW$4:$AW$41))</f>
        <v>4</v>
      </c>
      <c r="AC57" s="5">
        <f t="shared" si="120"/>
        <v>30</v>
      </c>
      <c r="AD57" s="43"/>
      <c r="AE57" s="5">
        <f t="shared" si="121"/>
        <v>30</v>
      </c>
      <c r="AF57" s="43"/>
      <c r="AG57" s="43"/>
      <c r="AH57" s="5">
        <f>IF($U57="","",SUMPRODUCT(--(Lineups!$AC$4:$AC$41=$U57),Lineups!$AW$4:$AW$41))</f>
        <v>0</v>
      </c>
      <c r="AI57" s="43"/>
      <c r="AJ57" s="5">
        <f t="shared" si="122"/>
        <v>30</v>
      </c>
      <c r="AK57" s="43"/>
    </row>
    <row r="58" ht="13.5" customHeight="1">
      <c r="A58" s="875">
        <f t="shared" si="113"/>
        <v>4</v>
      </c>
      <c r="B58" s="880" t="str">
        <f t="shared" ref="B58:C58" si="125">B12</f>
        <v>16*</v>
      </c>
      <c r="C58" s="880" t="str">
        <f t="shared" si="125"/>
        <v>Just Monroe</v>
      </c>
      <c r="D58" s="875">
        <f>IF($B58="","",SUMPRODUCT(--(Lineups!$G$4:$G$41=$B58),--(Lineups!$B$4:$B$41=""),Lineups!$W$4:$W$41))</f>
        <v>0</v>
      </c>
      <c r="E58" s="43"/>
      <c r="F58" s="873">
        <f>IF($B58="","",SUMPRODUCT(--(Lineups!$G$4:$G$41=$B58),--(Lineups!$B$4:$B$41="X"),Lineups!$W$4:$W$41))</f>
        <v>0</v>
      </c>
      <c r="G58" s="873">
        <f>IF($B58="","",SUMPRODUCT(--(Lineups!$K$4:$K$41=$B58),Lineups!$W$4:$W$41))</f>
        <v>0</v>
      </c>
      <c r="H58" s="873">
        <f>IF($B58="","",SUMPRODUCT(--(Lineups!$O$4:$O$41=$B58),Lineups!$W$4:$W$41))</f>
        <v>0</v>
      </c>
      <c r="I58" s="873">
        <f>IF($B58="","",SUMPRODUCT(--(Lineups!$S$4:$S$41=$B58),Lineups!$W$4:$W$41))</f>
        <v>0</v>
      </c>
      <c r="J58" s="875">
        <f t="shared" si="115"/>
        <v>0</v>
      </c>
      <c r="K58" s="43"/>
      <c r="L58" s="875">
        <f t="shared" si="116"/>
        <v>0</v>
      </c>
      <c r="M58" s="43"/>
      <c r="N58" s="43"/>
      <c r="O58" s="875">
        <f>IF($B58="","",SUMPRODUCT(--(Lineups!$C$4:$C$41=$B58),Lineups!$W$4:$W$41))</f>
        <v>0</v>
      </c>
      <c r="P58" s="43"/>
      <c r="Q58" s="875">
        <f t="shared" si="117"/>
        <v>0</v>
      </c>
      <c r="R58" s="43"/>
      <c r="S58" s="43"/>
      <c r="T58" s="875">
        <f t="shared" si="118"/>
        <v>4</v>
      </c>
      <c r="U58" s="880" t="str">
        <f t="shared" ref="U58:V58" si="126">U12</f>
        <v>13</v>
      </c>
      <c r="V58" s="880" t="str">
        <f t="shared" si="126"/>
        <v>Libido Loca</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0</v>
      </c>
      <c r="AI58" s="43"/>
      <c r="AJ58" s="875">
        <f t="shared" si="122"/>
        <v>0</v>
      </c>
      <c r="AK58" s="43"/>
    </row>
    <row r="59" ht="13.5" customHeight="1">
      <c r="A59" s="5">
        <f t="shared" si="113"/>
        <v>5</v>
      </c>
      <c r="B59" s="625" t="str">
        <f t="shared" ref="B59:C59" si="127">B13</f>
        <v>22*</v>
      </c>
      <c r="C59" s="625" t="str">
        <f t="shared" si="127"/>
        <v>Meche</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15</v>
      </c>
      <c r="V59" s="625" t="str">
        <f t="shared" si="128"/>
        <v>Harley Darlin</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11</v>
      </c>
      <c r="AI59" s="43"/>
      <c r="AJ59" s="5">
        <f t="shared" si="122"/>
        <v>11</v>
      </c>
      <c r="AK59" s="43"/>
    </row>
    <row r="60" ht="13.5" customHeight="1">
      <c r="A60" s="875">
        <f t="shared" si="113"/>
        <v>6</v>
      </c>
      <c r="B60" s="880" t="str">
        <f t="shared" ref="B60:C60" si="129">B14</f>
        <v>24</v>
      </c>
      <c r="C60" s="880" t="str">
        <f t="shared" si="129"/>
        <v>Ima BlowBya</v>
      </c>
      <c r="D60" s="875">
        <f>IF($B60="","",SUMPRODUCT(--(Lineups!$G$4:$G$41=$B60),--(Lineups!$B$4:$B$41=""),Lineups!$W$4:$W$41))</f>
        <v>0</v>
      </c>
      <c r="E60" s="43"/>
      <c r="F60" s="873">
        <f>IF($B60="","",SUMPRODUCT(--(Lineups!$G$4:$G$41=$B60),--(Lineups!$B$4:$B$41="X"),Lineups!$W$4:$W$41))</f>
        <v>0</v>
      </c>
      <c r="G60" s="873">
        <f>IF($B60="","",SUMPRODUCT(--(Lineups!$K$4:$K$41=$B60),Lineups!$W$4:$W$41))</f>
        <v>17</v>
      </c>
      <c r="H60" s="873">
        <f>IF($B60="","",SUMPRODUCT(--(Lineups!$O$4:$O$41=$B60),Lineups!$W$4:$W$41))</f>
        <v>3</v>
      </c>
      <c r="I60" s="873">
        <f>IF($B60="","",SUMPRODUCT(--(Lineups!$S$4:$S$41=$B60),Lineups!$W$4:$W$41))</f>
        <v>24</v>
      </c>
      <c r="J60" s="875">
        <f t="shared" si="115"/>
        <v>44</v>
      </c>
      <c r="K60" s="43"/>
      <c r="L60" s="875">
        <f t="shared" si="116"/>
        <v>44</v>
      </c>
      <c r="M60" s="43"/>
      <c r="N60" s="43"/>
      <c r="O60" s="875">
        <f>IF($B60="","",SUMPRODUCT(--(Lineups!$C$4:$C$41=$B60),Lineups!$W$4:$W$41))</f>
        <v>0</v>
      </c>
      <c r="P60" s="43"/>
      <c r="Q60" s="875">
        <f t="shared" si="117"/>
        <v>44</v>
      </c>
      <c r="R60" s="43"/>
      <c r="S60" s="43"/>
      <c r="T60" s="875">
        <f t="shared" si="118"/>
        <v>6</v>
      </c>
      <c r="U60" s="880" t="str">
        <f t="shared" ref="U60:V60" si="130">U14</f>
        <v>21*</v>
      </c>
      <c r="V60" s="880" t="str">
        <f t="shared" si="130"/>
        <v>Agatha KrisB</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3.5" customHeight="1">
      <c r="A61" s="5">
        <f t="shared" si="113"/>
        <v>7</v>
      </c>
      <c r="B61" s="625" t="str">
        <f t="shared" ref="B61:C61" si="131">B15</f>
        <v>264</v>
      </c>
      <c r="C61" s="625" t="str">
        <f t="shared" si="131"/>
        <v>Velasco Sauce</v>
      </c>
      <c r="D61" s="5">
        <f>IF($B61="","",SUMPRODUCT(--(Lineups!$G$4:$G$41=$B61),--(Lineups!$B$4:$B$41=""),Lineups!$W$4:$W$41))</f>
        <v>0</v>
      </c>
      <c r="E61" s="43"/>
      <c r="F61" s="873">
        <f>IF($B61="","",SUMPRODUCT(--(Lineups!$G$4:$G$41=$B61),--(Lineups!$B$4:$B$41="X"),Lineups!$W$4:$W$41))</f>
        <v>0</v>
      </c>
      <c r="G61" s="873">
        <f>IF($B61="","",SUMPRODUCT(--(Lineups!$K$4:$K$41=$B61),Lineups!$W$4:$W$41))</f>
        <v>15</v>
      </c>
      <c r="H61" s="873">
        <f>IF($B61="","",SUMPRODUCT(--(Lineups!$O$4:$O$41=$B61),Lineups!$W$4:$W$41))</f>
        <v>33</v>
      </c>
      <c r="I61" s="873">
        <f>IF($B61="","",SUMPRODUCT(--(Lineups!$S$4:$S$41=$B61),Lineups!$W$4:$W$41))</f>
        <v>0</v>
      </c>
      <c r="J61" s="5">
        <f t="shared" si="115"/>
        <v>48</v>
      </c>
      <c r="K61" s="43"/>
      <c r="L61" s="5">
        <f t="shared" si="116"/>
        <v>48</v>
      </c>
      <c r="M61" s="43"/>
      <c r="N61" s="43"/>
      <c r="O61" s="5">
        <f>IF($B61="","",SUMPRODUCT(--(Lineups!$C$4:$C$41=$B61),Lineups!$W$4:$W$41))</f>
        <v>0</v>
      </c>
      <c r="P61" s="43"/>
      <c r="Q61" s="5">
        <f t="shared" si="117"/>
        <v>48</v>
      </c>
      <c r="R61" s="43"/>
      <c r="S61" s="43"/>
      <c r="T61" s="5">
        <f t="shared" si="118"/>
        <v>7</v>
      </c>
      <c r="U61" s="625" t="str">
        <f t="shared" ref="U61:V61" si="132">U15</f>
        <v>213</v>
      </c>
      <c r="V61" s="625" t="str">
        <f t="shared" si="132"/>
        <v>IceBox</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18</v>
      </c>
      <c r="AC61" s="5">
        <f t="shared" si="120"/>
        <v>18</v>
      </c>
      <c r="AD61" s="43"/>
      <c r="AE61" s="5">
        <f t="shared" si="121"/>
        <v>18</v>
      </c>
      <c r="AF61" s="43"/>
      <c r="AG61" s="43"/>
      <c r="AH61" s="5">
        <f>IF($U61="","",SUMPRODUCT(--(Lineups!$AC$4:$AC$41=$U61),Lineups!$AW$4:$AW$41))</f>
        <v>0</v>
      </c>
      <c r="AI61" s="43"/>
      <c r="AJ61" s="5">
        <f t="shared" si="122"/>
        <v>18</v>
      </c>
      <c r="AK61" s="43"/>
    </row>
    <row r="62" ht="13.5" customHeight="1">
      <c r="A62" s="875">
        <f t="shared" si="113"/>
        <v>8</v>
      </c>
      <c r="B62" s="880" t="str">
        <f t="shared" ref="B62:C62" si="133">B16</f>
        <v>27*</v>
      </c>
      <c r="C62" s="880" t="str">
        <f t="shared" si="133"/>
        <v>Babethoven</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0</v>
      </c>
      <c r="P62" s="43"/>
      <c r="Q62" s="875">
        <f t="shared" si="117"/>
        <v>0</v>
      </c>
      <c r="R62" s="43"/>
      <c r="S62" s="43"/>
      <c r="T62" s="875">
        <f t="shared" si="118"/>
        <v>8</v>
      </c>
      <c r="U62" s="880" t="str">
        <f t="shared" ref="U62:V62" si="134">U16</f>
        <v>221</v>
      </c>
      <c r="V62" s="880" t="str">
        <f t="shared" si="134"/>
        <v>Syann</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4</v>
      </c>
      <c r="AI62" s="43"/>
      <c r="AJ62" s="875">
        <f t="shared" si="122"/>
        <v>4</v>
      </c>
      <c r="AK62" s="43"/>
    </row>
    <row r="63" ht="13.5" customHeight="1">
      <c r="A63" s="5">
        <f t="shared" si="113"/>
        <v>9</v>
      </c>
      <c r="B63" s="625" t="str">
        <f t="shared" ref="B63:C63" si="135">B17</f>
        <v>3</v>
      </c>
      <c r="C63" s="625" t="str">
        <f t="shared" si="135"/>
        <v>Alexia</v>
      </c>
      <c r="D63" s="5">
        <f>IF($B63="","",SUMPRODUCT(--(Lineups!$G$4:$G$41=$B63),--(Lineups!$B$4:$B$41=""),Lineups!$W$4:$W$41))</f>
        <v>0</v>
      </c>
      <c r="E63" s="43"/>
      <c r="F63" s="873">
        <f>IF($B63="","",SUMPRODUCT(--(Lineups!$G$4:$G$41=$B63),--(Lineups!$B$4:$B$41="X"),Lineups!$W$4:$W$41))</f>
        <v>0</v>
      </c>
      <c r="G63" s="873">
        <f>IF($B63="","",SUMPRODUCT(--(Lineups!$K$4:$K$41=$B63),Lineups!$W$4:$W$41))</f>
        <v>12</v>
      </c>
      <c r="H63" s="873">
        <f>IF($B63="","",SUMPRODUCT(--(Lineups!$O$4:$O$41=$B63),Lineups!$W$4:$W$41))</f>
        <v>4</v>
      </c>
      <c r="I63" s="873">
        <f>IF($B63="","",SUMPRODUCT(--(Lineups!$S$4:$S$41=$B63),Lineups!$W$4:$W$41))</f>
        <v>3</v>
      </c>
      <c r="J63" s="5">
        <f t="shared" si="115"/>
        <v>19</v>
      </c>
      <c r="K63" s="43"/>
      <c r="L63" s="5">
        <f t="shared" si="116"/>
        <v>19</v>
      </c>
      <c r="M63" s="43"/>
      <c r="N63" s="43"/>
      <c r="O63" s="5">
        <f>IF($B63="","",SUMPRODUCT(--(Lineups!$C$4:$C$41=$B63),Lineups!$W$4:$W$41))</f>
        <v>0</v>
      </c>
      <c r="P63" s="43"/>
      <c r="Q63" s="5">
        <f t="shared" si="117"/>
        <v>19</v>
      </c>
      <c r="R63" s="43"/>
      <c r="S63" s="43"/>
      <c r="T63" s="5">
        <f t="shared" si="118"/>
        <v>9</v>
      </c>
      <c r="U63" s="625" t="str">
        <f t="shared" ref="U63:V63" si="136">U17</f>
        <v>28</v>
      </c>
      <c r="V63" s="625" t="str">
        <f t="shared" si="136"/>
        <v>Hot Box</v>
      </c>
      <c r="W63" s="5">
        <f>IF($U63="","",SUMPRODUCT(--(Lineups!$AG$4:$AG$41=$U63),--(Lineups!$AB$4:$AB$41=""),Lineups!$AW$4:$AW$41))</f>
        <v>30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30</v>
      </c>
      <c r="AF63" s="43"/>
      <c r="AG63" s="43"/>
      <c r="AH63" s="5">
        <f>IF($U63="","",SUMPRODUCT(--(Lineups!$AC$4:$AC$41=$U63),Lineups!$AW$4:$AW$41))</f>
        <v>0</v>
      </c>
      <c r="AI63" s="43"/>
      <c r="AJ63" s="5">
        <f t="shared" si="122"/>
        <v>30</v>
      </c>
      <c r="AK63" s="43"/>
    </row>
    <row r="64" ht="13.5" customHeight="1">
      <c r="A64" s="875">
        <f t="shared" si="113"/>
        <v>10</v>
      </c>
      <c r="B64" s="880" t="str">
        <f t="shared" ref="B64:C64" si="137">B18</f>
        <v>31</v>
      </c>
      <c r="C64" s="880" t="str">
        <f t="shared" si="137"/>
        <v>2x Force</v>
      </c>
      <c r="D64" s="875">
        <f>IF($B64="","",SUMPRODUCT(--(Lineups!$G$4:$G$41=$B64),--(Lineups!$B$4:$B$41=""),Lineups!$W$4:$W$41))</f>
        <v>0</v>
      </c>
      <c r="E64" s="43"/>
      <c r="F64" s="873">
        <f>IF($B64="","",SUMPRODUCT(--(Lineups!$G$4:$G$41=$B64),--(Lineups!$B$4:$B$41="X"),Lineups!$W$4:$W$41))</f>
        <v>0</v>
      </c>
      <c r="G64" s="873">
        <f>IF($B64="","",SUMPRODUCT(--(Lineups!$K$4:$K$41=$B64),Lineups!$W$4:$W$41))</f>
        <v>16</v>
      </c>
      <c r="H64" s="873">
        <f>IF($B64="","",SUMPRODUCT(--(Lineups!$O$4:$O$41=$B64),Lineups!$W$4:$W$41))</f>
        <v>8</v>
      </c>
      <c r="I64" s="873">
        <f>IF($B64="","",SUMPRODUCT(--(Lineups!$S$4:$S$41=$B64),Lineups!$W$4:$W$41))</f>
        <v>29</v>
      </c>
      <c r="J64" s="875">
        <f t="shared" si="115"/>
        <v>53</v>
      </c>
      <c r="K64" s="43"/>
      <c r="L64" s="875">
        <f t="shared" si="116"/>
        <v>53</v>
      </c>
      <c r="M64" s="43"/>
      <c r="N64" s="43"/>
      <c r="O64" s="875">
        <f>IF($B64="","",SUMPRODUCT(--(Lineups!$C$4:$C$41=$B64),Lineups!$W$4:$W$41))</f>
        <v>0</v>
      </c>
      <c r="P64" s="43"/>
      <c r="Q64" s="875">
        <f t="shared" si="117"/>
        <v>53</v>
      </c>
      <c r="R64" s="43"/>
      <c r="S64" s="43"/>
      <c r="T64" s="875">
        <f t="shared" si="118"/>
        <v>10</v>
      </c>
      <c r="U64" s="880" t="str">
        <f t="shared" ref="U64:V64" si="138">U18</f>
        <v>321</v>
      </c>
      <c r="V64" s="880" t="str">
        <f t="shared" si="138"/>
        <v>Rockit</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16</v>
      </c>
      <c r="AB64" s="873">
        <f>IF($U64="","",SUMPRODUCT(--(Lineups!$AS$4:$AS$41=$U64),Lineups!$AW$4:$AW$41))</f>
        <v>14</v>
      </c>
      <c r="AC64" s="875">
        <f t="shared" si="120"/>
        <v>30</v>
      </c>
      <c r="AD64" s="43"/>
      <c r="AE64" s="875">
        <f t="shared" si="121"/>
        <v>30</v>
      </c>
      <c r="AF64" s="43"/>
      <c r="AG64" s="43"/>
      <c r="AH64" s="875">
        <f>IF($U64="","",SUMPRODUCT(--(Lineups!$AC$4:$AC$41=$U64),Lineups!$AW$4:$AW$41))</f>
        <v>0</v>
      </c>
      <c r="AI64" s="43"/>
      <c r="AJ64" s="875">
        <f t="shared" si="122"/>
        <v>30</v>
      </c>
      <c r="AK64" s="43"/>
    </row>
    <row r="65" ht="13.5" customHeight="1">
      <c r="A65" s="5">
        <f t="shared" si="113"/>
        <v>11</v>
      </c>
      <c r="B65" s="625" t="str">
        <f t="shared" ref="B65:C65" si="139">B19</f>
        <v>313</v>
      </c>
      <c r="C65" s="625" t="str">
        <f t="shared" si="139"/>
        <v>WestCoast MaFia</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35</v>
      </c>
      <c r="P65" s="43"/>
      <c r="Q65" s="5">
        <f t="shared" si="117"/>
        <v>35</v>
      </c>
      <c r="R65" s="43"/>
      <c r="S65" s="43"/>
      <c r="T65" s="5">
        <f t="shared" si="118"/>
        <v>11</v>
      </c>
      <c r="U65" s="625" t="str">
        <f t="shared" ref="U65:V65" si="140">U19</f>
        <v>329</v>
      </c>
      <c r="V65" s="625" t="str">
        <f t="shared" si="140"/>
        <v>Triple Axel Rose</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26</v>
      </c>
      <c r="AI65" s="43"/>
      <c r="AJ65" s="5">
        <f t="shared" si="122"/>
        <v>26</v>
      </c>
      <c r="AK65" s="43"/>
    </row>
    <row r="66" ht="13.5" customHeight="1">
      <c r="A66" s="875">
        <f t="shared" si="113"/>
        <v>12</v>
      </c>
      <c r="B66" s="880" t="str">
        <f t="shared" ref="B66:C66" si="141">B20</f>
        <v>3381</v>
      </c>
      <c r="C66" s="880" t="str">
        <f t="shared" si="141"/>
        <v>Hella Naughty</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40</v>
      </c>
      <c r="P66" s="43"/>
      <c r="Q66" s="875">
        <f t="shared" si="117"/>
        <v>40</v>
      </c>
      <c r="R66" s="43"/>
      <c r="S66" s="43"/>
      <c r="T66" s="875">
        <f t="shared" si="118"/>
        <v>12</v>
      </c>
      <c r="U66" s="880" t="str">
        <f t="shared" ref="U66:V66" si="142">U20</f>
        <v>410</v>
      </c>
      <c r="V66" s="880" t="str">
        <f t="shared" si="142"/>
        <v>Ricketts</v>
      </c>
      <c r="W66" s="875">
        <f>IF($U66="","",SUMPRODUCT(--(Lineups!$AG$4:$AG$41=$U66),--(Lineups!$AB$4:$AB$41=""),Lineups!$AW$4:$AW$41))</f>
        <v>0</v>
      </c>
      <c r="X66" s="43"/>
      <c r="Y66" s="873">
        <f>IF($U66="","",SUMPRODUCT(--(Lineups!$AG$4:$AG$41=$U66),--(Lineups!$AB$4:$AB$41="X"),Lineups!$AW$4:$AW$41))</f>
        <v>0</v>
      </c>
      <c r="Z66" s="873">
        <f>IF($U66="","",SUMPRODUCT(--(Lineups!$AK$4:$AK$41=$U66),Lineups!$AW$4:$AW$41))</f>
        <v>7</v>
      </c>
      <c r="AA66" s="873">
        <f>IF($U66="","",SUMPRODUCT(--(Lineups!$AO$4:$AO$41=$U66),Lineups!$AW$4:$AW$41))</f>
        <v>7</v>
      </c>
      <c r="AB66" s="873">
        <f>IF($U66="","",SUMPRODUCT(--(Lineups!$AS$4:$AS$41=$U66),Lineups!$AW$4:$AW$41))</f>
        <v>0</v>
      </c>
      <c r="AC66" s="875">
        <f t="shared" si="120"/>
        <v>14</v>
      </c>
      <c r="AD66" s="43"/>
      <c r="AE66" s="875">
        <f t="shared" si="121"/>
        <v>14</v>
      </c>
      <c r="AF66" s="43"/>
      <c r="AG66" s="43"/>
      <c r="AH66" s="875">
        <f>IF($U66="","",SUMPRODUCT(--(Lineups!$AC$4:$AC$41=$U66),Lineups!$AW$4:$AW$41))</f>
        <v>0</v>
      </c>
      <c r="AI66" s="43"/>
      <c r="AJ66" s="875">
        <f t="shared" si="122"/>
        <v>14</v>
      </c>
      <c r="AK66" s="43"/>
    </row>
    <row r="67" ht="13.5" customHeight="1">
      <c r="A67" s="5">
        <f t="shared" si="113"/>
        <v>13</v>
      </c>
      <c r="B67" s="625" t="str">
        <f t="shared" ref="B67:C67" si="143">B21</f>
        <v>38</v>
      </c>
      <c r="C67" s="625" t="str">
        <f t="shared" si="143"/>
        <v>Colette Razorcat</v>
      </c>
      <c r="D67" s="5">
        <f>IF($B67="","",SUMPRODUCT(--(Lineups!$G$4:$G$41=$B67),--(Lineups!$B$4:$B$41=""),Lineups!$W$4:$W$41))</f>
        <v>0</v>
      </c>
      <c r="E67" s="43"/>
      <c r="F67" s="873">
        <f>IF($B67="","",SUMPRODUCT(--(Lineups!$G$4:$G$41=$B67),--(Lineups!$B$4:$B$41="X"),Lineups!$W$4:$W$41))</f>
        <v>0</v>
      </c>
      <c r="G67" s="873">
        <f>IF($B67="","",SUMPRODUCT(--(Lineups!$K$4:$K$41=$B67),Lineups!$W$4:$W$41))</f>
        <v>25</v>
      </c>
      <c r="H67" s="873">
        <f>IF($B67="","",SUMPRODUCT(--(Lineups!$O$4:$O$41=$B67),Lineups!$W$4:$W$41))</f>
        <v>11</v>
      </c>
      <c r="I67" s="873">
        <f>IF($B67="","",SUMPRODUCT(--(Lineups!$S$4:$S$41=$B67),Lineups!$W$4:$W$41))</f>
        <v>8</v>
      </c>
      <c r="J67" s="5">
        <f t="shared" si="115"/>
        <v>44</v>
      </c>
      <c r="K67" s="43"/>
      <c r="L67" s="5">
        <f t="shared" si="116"/>
        <v>44</v>
      </c>
      <c r="M67" s="43"/>
      <c r="N67" s="43"/>
      <c r="O67" s="5">
        <f>IF($B67="","",SUMPRODUCT(--(Lineups!$C$4:$C$41=$B67),Lineups!$W$4:$W$41))</f>
        <v>0</v>
      </c>
      <c r="P67" s="43"/>
      <c r="Q67" s="5">
        <f t="shared" si="117"/>
        <v>44</v>
      </c>
      <c r="R67" s="43"/>
      <c r="S67" s="43"/>
      <c r="T67" s="5">
        <f t="shared" si="118"/>
        <v>13</v>
      </c>
      <c r="U67" s="625" t="str">
        <f t="shared" ref="U67:V67" si="144">U21</f>
        <v>47</v>
      </c>
      <c r="V67" s="625" t="str">
        <f t="shared" si="144"/>
        <v>Author of Pain</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394</v>
      </c>
      <c r="C68" s="880" t="str">
        <f t="shared" si="145"/>
        <v>Punkie Pie</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20</v>
      </c>
      <c r="P68" s="43"/>
      <c r="Q68" s="875">
        <f t="shared" si="117"/>
        <v>20</v>
      </c>
      <c r="R68" s="43"/>
      <c r="S68" s="43"/>
      <c r="T68" s="875">
        <f t="shared" si="118"/>
        <v>14</v>
      </c>
      <c r="U68" s="880" t="str">
        <f t="shared" ref="U68:V68" si="146">U22</f>
        <v>484*</v>
      </c>
      <c r="V68" s="880" t="str">
        <f t="shared" si="146"/>
        <v>Gemineye</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0</v>
      </c>
      <c r="AI68" s="43"/>
      <c r="AJ68" s="875">
        <f t="shared" si="122"/>
        <v>0</v>
      </c>
      <c r="AK68" s="43"/>
    </row>
    <row r="69" ht="13.5" customHeight="1">
      <c r="A69" s="5">
        <f t="shared" si="113"/>
        <v>15</v>
      </c>
      <c r="B69" s="625" t="str">
        <f t="shared" ref="B69:C69" si="147">B23</f>
        <v>4</v>
      </c>
      <c r="C69" s="625" t="str">
        <f t="shared" si="147"/>
        <v>Sure, man</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25</v>
      </c>
      <c r="I69" s="873">
        <f>IF($B69="","",SUMPRODUCT(--(Lineups!$S$4:$S$41=$B69),Lineups!$W$4:$W$41))</f>
        <v>20</v>
      </c>
      <c r="J69" s="5">
        <f t="shared" si="115"/>
        <v>45</v>
      </c>
      <c r="K69" s="43"/>
      <c r="L69" s="5">
        <f t="shared" si="116"/>
        <v>45</v>
      </c>
      <c r="M69" s="43"/>
      <c r="N69" s="43"/>
      <c r="O69" s="5">
        <f>IF($B69="","",SUMPRODUCT(--(Lineups!$C$4:$C$41=$B69),Lineups!$W$4:$W$41))</f>
        <v>0</v>
      </c>
      <c r="P69" s="43"/>
      <c r="Q69" s="5">
        <f t="shared" si="117"/>
        <v>45</v>
      </c>
      <c r="R69" s="43"/>
      <c r="S69" s="43"/>
      <c r="T69" s="5">
        <f t="shared" si="118"/>
        <v>15</v>
      </c>
      <c r="U69" s="625" t="str">
        <f t="shared" ref="U69:V69" si="148">U23</f>
        <v>505</v>
      </c>
      <c r="V69" s="625" t="str">
        <f t="shared" si="148"/>
        <v>Swearin' Marie</v>
      </c>
      <c r="W69" s="5">
        <f>IF($U69="","",SUMPRODUCT(--(Lineups!$AG$4:$AG$41=$U69),--(Lineups!$AB$4:$AB$41=""),Lineups!$AW$4:$AW$41))</f>
        <v>13</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13</v>
      </c>
      <c r="AF69" s="43"/>
      <c r="AG69" s="43"/>
      <c r="AH69" s="5">
        <f>IF($U69="","",SUMPRODUCT(--(Lineups!$AC$4:$AC$41=$U69),Lineups!$AW$4:$AW$41))</f>
        <v>0</v>
      </c>
      <c r="AI69" s="43"/>
      <c r="AJ69" s="5">
        <f t="shared" si="122"/>
        <v>13</v>
      </c>
      <c r="AK69" s="43"/>
    </row>
    <row r="70" ht="13.5" customHeight="1">
      <c r="A70" s="875">
        <f t="shared" si="113"/>
        <v>16</v>
      </c>
      <c r="B70" s="880" t="str">
        <f t="shared" ref="B70:C70" si="149">B24</f>
        <v>602*</v>
      </c>
      <c r="C70" s="880" t="str">
        <f t="shared" si="149"/>
        <v>Feen-X</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75*</v>
      </c>
      <c r="V70" s="880" t="str">
        <f t="shared" si="150"/>
        <v>TamTrum</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7</v>
      </c>
      <c r="C71" s="625" t="str">
        <f t="shared" si="151"/>
        <v>Skatie Katie</v>
      </c>
      <c r="D71" s="5">
        <f>IF($B71="","",SUMPRODUCT(--(Lineups!$G$4:$G$41=$B71),--(Lineups!$B$4:$B$41=""),Lineups!$W$4:$W$41))</f>
        <v>21</v>
      </c>
      <c r="E71" s="43"/>
      <c r="F71" s="873">
        <f>IF($B71="","",SUMPRODUCT(--(Lineups!$G$4:$G$41=$B71),--(Lineups!$B$4:$B$41="X"),Lineups!$W$4:$W$41))</f>
        <v>0</v>
      </c>
      <c r="G71" s="873">
        <f>IF($B71="","",SUMPRODUCT(--(Lineups!$K$4:$K$41=$B71),Lineups!$W$4:$W$41))</f>
        <v>4</v>
      </c>
      <c r="H71" s="873">
        <f>IF($B71="","",SUMPRODUCT(--(Lineups!$O$4:$O$41=$B71),Lineups!$W$4:$W$41))</f>
        <v>12</v>
      </c>
      <c r="I71" s="873">
        <f>IF($B71="","",SUMPRODUCT(--(Lineups!$S$4:$S$41=$B71),Lineups!$W$4:$W$41))</f>
        <v>7</v>
      </c>
      <c r="J71" s="5">
        <f t="shared" si="115"/>
        <v>23</v>
      </c>
      <c r="K71" s="43"/>
      <c r="L71" s="5">
        <f t="shared" si="116"/>
        <v>44</v>
      </c>
      <c r="M71" s="43"/>
      <c r="N71" s="43"/>
      <c r="O71" s="5">
        <f>IF($B71="","",SUMPRODUCT(--(Lineups!$C$4:$C$41=$B71),Lineups!$W$4:$W$41))</f>
        <v>0</v>
      </c>
      <c r="P71" s="43"/>
      <c r="Q71" s="5">
        <f t="shared" si="117"/>
        <v>44</v>
      </c>
      <c r="R71" s="43"/>
      <c r="S71" s="43"/>
      <c r="T71" s="5">
        <f t="shared" si="118"/>
        <v>17</v>
      </c>
      <c r="U71" s="625" t="str">
        <f t="shared" ref="U71:V71" si="152">U25</f>
        <v>88</v>
      </c>
      <c r="V71" s="625" t="str">
        <f t="shared" si="152"/>
        <v>Rocktopus</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5</v>
      </c>
      <c r="AB71" s="873">
        <f>IF($U71="","",SUMPRODUCT(--(Lineups!$AS$4:$AS$41=$U71),Lineups!$AW$4:$AW$41))</f>
        <v>0</v>
      </c>
      <c r="AC71" s="5">
        <f t="shared" si="120"/>
        <v>5</v>
      </c>
      <c r="AD71" s="43"/>
      <c r="AE71" s="5">
        <f t="shared" si="121"/>
        <v>5</v>
      </c>
      <c r="AF71" s="43"/>
      <c r="AG71" s="43"/>
      <c r="AH71" s="5">
        <f>IF($U71="","",SUMPRODUCT(--(Lineups!$AC$4:$AC$41=$U71),Lineups!$AW$4:$AW$41))</f>
        <v>0</v>
      </c>
      <c r="AI71" s="43"/>
      <c r="AJ71" s="5">
        <f t="shared" si="122"/>
        <v>5</v>
      </c>
      <c r="AK71" s="43"/>
    </row>
    <row r="72" ht="13.5" customHeight="1">
      <c r="A72" s="875">
        <f t="shared" si="113"/>
        <v>18</v>
      </c>
      <c r="B72" s="880" t="str">
        <f t="shared" ref="B72:C72" si="153">B26</f>
        <v>76</v>
      </c>
      <c r="C72" s="880" t="str">
        <f t="shared" si="153"/>
        <v>Queen Loseyateefa</v>
      </c>
      <c r="D72" s="875">
        <f>IF($B72="","",SUMPRODUCT(--(Lineups!$G$4:$G$41=$B72),--(Lineups!$B$4:$B$41=""),Lineups!$W$4:$W$41))</f>
        <v>0</v>
      </c>
      <c r="E72" s="43"/>
      <c r="F72" s="873">
        <f>IF($B72="","",SUMPRODUCT(--(Lineups!$G$4:$G$41=$B72),--(Lineups!$B$4:$B$41="X"),Lineups!$W$4:$W$41))</f>
        <v>0</v>
      </c>
      <c r="G72" s="873">
        <f>IF($B72="","",SUMPRODUCT(--(Lineups!$K$4:$K$41=$B72),Lineups!$W$4:$W$41))</f>
        <v>28</v>
      </c>
      <c r="H72" s="873">
        <f>IF($B72="","",SUMPRODUCT(--(Lineups!$O$4:$O$41=$B72),Lineups!$W$4:$W$41))</f>
        <v>8</v>
      </c>
      <c r="I72" s="873">
        <f>IF($B72="","",SUMPRODUCT(--(Lineups!$S$4:$S$41=$B72),Lineups!$W$4:$W$41))</f>
        <v>25</v>
      </c>
      <c r="J72" s="875">
        <f t="shared" si="115"/>
        <v>61</v>
      </c>
      <c r="K72" s="43"/>
      <c r="L72" s="875">
        <f t="shared" si="116"/>
        <v>61</v>
      </c>
      <c r="M72" s="43"/>
      <c r="N72" s="43"/>
      <c r="O72" s="875">
        <f>IF($B72="","",SUMPRODUCT(--(Lineups!$C$4:$C$41=$B72),Lineups!$W$4:$W$41))</f>
        <v>0</v>
      </c>
      <c r="P72" s="43"/>
      <c r="Q72" s="875">
        <f t="shared" si="117"/>
        <v>61</v>
      </c>
      <c r="R72" s="43"/>
      <c r="S72" s="43"/>
      <c r="T72" s="875">
        <f t="shared" si="118"/>
        <v>18</v>
      </c>
      <c r="U72" s="880" t="str">
        <f t="shared" ref="U72:V72" si="154">U26</f>
        <v>9</v>
      </c>
      <c r="V72" s="880" t="str">
        <f t="shared" si="154"/>
        <v>Kell's Inferno</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7</v>
      </c>
      <c r="AI72" s="43"/>
      <c r="AJ72" s="875">
        <f t="shared" si="122"/>
        <v>7</v>
      </c>
      <c r="AK72" s="43"/>
    </row>
    <row r="73" ht="13.5" customHeight="1">
      <c r="A73" s="5">
        <f t="shared" si="113"/>
        <v>19</v>
      </c>
      <c r="B73" s="625" t="str">
        <f t="shared" ref="B73:C73" si="155">B27</f>
        <v>88</v>
      </c>
      <c r="C73" s="625" t="str">
        <f t="shared" si="155"/>
        <v>MsMURDR</v>
      </c>
      <c r="D73" s="5">
        <f>IF($B73="","",SUMPRODUCT(--(Lineups!$G$4:$G$41=$B73),--(Lineups!$B$4:$B$41=""),Lineups!$W$4:$W$41))</f>
        <v>31</v>
      </c>
      <c r="E73" s="43"/>
      <c r="F73" s="873">
        <f>IF($B73="","",SUMPRODUCT(--(Lineups!$G$4:$G$41=$B73),--(Lineups!$B$4:$B$41="X"),Lineups!$W$4:$W$41))</f>
        <v>0</v>
      </c>
      <c r="G73" s="873">
        <f>IF($B73="","",SUMPRODUCT(--(Lineups!$K$4:$K$41=$B73),Lineups!$W$4:$W$41))</f>
        <v>0</v>
      </c>
      <c r="H73" s="873">
        <f>IF($B73="","",SUMPRODUCT(--(Lineups!$O$4:$O$41=$B73),Lineups!$W$4:$W$41))</f>
        <v>8</v>
      </c>
      <c r="I73" s="873">
        <f>IF($B73="","",SUMPRODUCT(--(Lineups!$S$4:$S$41=$B73),Lineups!$W$4:$W$41))</f>
        <v>8</v>
      </c>
      <c r="J73" s="5">
        <f t="shared" si="115"/>
        <v>16</v>
      </c>
      <c r="K73" s="43"/>
      <c r="L73" s="5">
        <f t="shared" si="116"/>
        <v>47</v>
      </c>
      <c r="M73" s="43"/>
      <c r="N73" s="43"/>
      <c r="O73" s="5">
        <f>IF($B73="","",SUMPRODUCT(--(Lineups!$C$4:$C$41=$B73),Lineups!$W$4:$W$41))</f>
        <v>0</v>
      </c>
      <c r="P73" s="43"/>
      <c r="Q73" s="5">
        <f t="shared" si="117"/>
        <v>47</v>
      </c>
      <c r="R73" s="43"/>
      <c r="S73" s="43"/>
      <c r="T73" s="5">
        <f t="shared" si="118"/>
        <v>19</v>
      </c>
      <c r="U73" s="625" t="str">
        <f t="shared" ref="U73:V73" si="156">U27</f>
        <v>913*</v>
      </c>
      <c r="V73" s="625" t="str">
        <f t="shared" si="156"/>
        <v>Termiskater</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96*</v>
      </c>
      <c r="C74" s="880" t="str">
        <f t="shared" si="157"/>
        <v>Weird Flex</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999</v>
      </c>
      <c r="V74" s="880" t="str">
        <f t="shared" si="158"/>
        <v>Amanda Jamitinya</v>
      </c>
      <c r="W74" s="875">
        <f>IF($U74="","",SUMPRODUCT(--(Lineups!$AG$4:$AG$41=$U74),--(Lineups!$AB$4:$AB$41=""),Lineups!$AW$4:$AW$41))</f>
        <v>5</v>
      </c>
      <c r="X74" s="43"/>
      <c r="Y74" s="873">
        <f>IF($U74="","",SUMPRODUCT(--(Lineups!$AG$4:$AG$41=$U74),--(Lineups!$AB$4:$AB$41="X"),Lineups!$AW$4:$AW$41))</f>
        <v>0</v>
      </c>
      <c r="Z74" s="873">
        <f>IF($U74="","",SUMPRODUCT(--(Lineups!$AK$4:$AK$41=$U74),Lineups!$AW$4:$AW$41))</f>
        <v>7</v>
      </c>
      <c r="AA74" s="873">
        <f>IF($U74="","",SUMPRODUCT(--(Lineups!$AO$4:$AO$41=$U74),Lineups!$AW$4:$AW$41))</f>
        <v>6</v>
      </c>
      <c r="AB74" s="873">
        <f>IF($U74="","",SUMPRODUCT(--(Lineups!$AS$4:$AS$41=$U74),Lineups!$AW$4:$AW$41))</f>
        <v>0</v>
      </c>
      <c r="AC74" s="875">
        <f t="shared" si="120"/>
        <v>13</v>
      </c>
      <c r="AD74" s="43"/>
      <c r="AE74" s="875">
        <f t="shared" si="121"/>
        <v>18</v>
      </c>
      <c r="AF74" s="43"/>
      <c r="AG74" s="43"/>
      <c r="AH74" s="875">
        <f>IF($U74="","",SUMPRODUCT(--(Lineups!$AC$4:$AC$41=$U74),Lineups!$AW$4:$AW$41))</f>
        <v>0</v>
      </c>
      <c r="AI74" s="43"/>
      <c r="AJ74" s="875">
        <f t="shared" si="122"/>
        <v>18</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448</v>
      </c>
      <c r="B76" s="8"/>
      <c r="C76" s="9"/>
      <c r="D76" s="866"/>
      <c r="E76" s="866"/>
      <c r="F76" s="866"/>
      <c r="G76" s="866"/>
      <c r="H76" s="866"/>
      <c r="I76" s="866"/>
      <c r="J76" s="866"/>
      <c r="K76" s="866"/>
      <c r="L76" s="866"/>
      <c r="M76" s="866"/>
      <c r="N76" s="866"/>
      <c r="O76" s="866"/>
      <c r="P76" s="866"/>
      <c r="Q76" s="866"/>
      <c r="R76" s="866"/>
      <c r="S76" s="43"/>
      <c r="T76" s="865" t="s">
        <v>448</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436</v>
      </c>
      <c r="C77" s="867" t="s">
        <v>437</v>
      </c>
      <c r="D77" s="867" t="s">
        <v>292</v>
      </c>
      <c r="E77" s="5"/>
      <c r="F77" s="869" t="s">
        <v>293</v>
      </c>
      <c r="G77" s="869" t="s">
        <v>293</v>
      </c>
      <c r="H77" s="869" t="s">
        <v>293</v>
      </c>
      <c r="I77" s="869" t="s">
        <v>293</v>
      </c>
      <c r="J77" s="867" t="s">
        <v>439</v>
      </c>
      <c r="K77" s="5"/>
      <c r="L77" s="867" t="s">
        <v>441</v>
      </c>
      <c r="M77" s="5"/>
      <c r="N77" s="870" t="s">
        <v>443</v>
      </c>
      <c r="O77" s="867" t="s">
        <v>290</v>
      </c>
      <c r="P77" s="5"/>
      <c r="Q77" s="867" t="s">
        <v>410</v>
      </c>
      <c r="R77" s="5"/>
      <c r="S77" s="5"/>
      <c r="T77" s="867">
        <v>0.0</v>
      </c>
      <c r="U77" s="867" t="s">
        <v>436</v>
      </c>
      <c r="V77" s="867" t="s">
        <v>437</v>
      </c>
      <c r="W77" s="867" t="s">
        <v>292</v>
      </c>
      <c r="X77" s="5"/>
      <c r="Y77" s="869" t="s">
        <v>293</v>
      </c>
      <c r="Z77" s="869" t="s">
        <v>293</v>
      </c>
      <c r="AA77" s="869" t="s">
        <v>293</v>
      </c>
      <c r="AB77" s="869" t="s">
        <v>293</v>
      </c>
      <c r="AC77" s="867" t="s">
        <v>439</v>
      </c>
      <c r="AD77" s="5"/>
      <c r="AE77" s="867" t="s">
        <v>441</v>
      </c>
      <c r="AF77" s="5"/>
      <c r="AG77" s="870" t="s">
        <v>443</v>
      </c>
      <c r="AH77" s="867" t="s">
        <v>290</v>
      </c>
      <c r="AI77" s="5"/>
      <c r="AJ77" s="867" t="s">
        <v>410</v>
      </c>
      <c r="AK77" s="5"/>
    </row>
    <row r="78" ht="13.5" customHeight="1">
      <c r="A78" s="5">
        <f t="shared" ref="A78:A97" si="161">A77+1</f>
        <v>1</v>
      </c>
      <c r="B78" s="625" t="str">
        <f t="shared" ref="B78:C78" si="159">B9</f>
        <v>01</v>
      </c>
      <c r="C78" s="625" t="str">
        <f t="shared" si="159"/>
        <v>Goldy Knocks</v>
      </c>
      <c r="D78" s="5">
        <f>IF($B78="","",SUMPRODUCT(--(Lineups!$G$4:$G$41=$B78),--(Lineups!$B$4:$B$41=""),Lineups!$AW$4:$AW$41)+SUMPRODUCT(--(Lineups!$A$5:$A$42="SP*"),--(Lineups!$G$4:$G$41=$B78),--(Lineups!$B$4:$B$41=""),Lineups!$AW$5:$AW$42))</f>
        <v>19</v>
      </c>
      <c r="E78" s="43"/>
      <c r="F78" s="873">
        <f>IF($B78="","",SUMPRODUCT(--(Lineups!$G$4:$G$41=$B78),--(Lineups!$B$4:$B$41="X"),Lineups!$AW$4:$AW$41)+SUMPRODUCT(--(Lineups!$A$5:$A$42="SP*"),--(Lineups!$G$4:$G$41=$B78),--(Lineups!$B$4:$B$41="X"),Lineups!$AW$5:$AW$42))</f>
        <v>0</v>
      </c>
      <c r="G78" s="873">
        <f>IF($B78="","",SUMPRODUCT(--(Lineups!$K$4:$K$41=$B78),Lineups!$AW$4:$AW$41) + SUMPRODUCT(--(Lineups!$A$5:$A$42="SP*"),--(Lineups!$K$4:$K$41=$B78),Lineups!$AW$5:$AW$42))</f>
        <v>16</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16</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25" t="str">
        <f t="shared" ref="U78:V78" si="160">U9</f>
        <v>10*</v>
      </c>
      <c r="V78" s="625" t="str">
        <f t="shared" si="160"/>
        <v>BAMPF!</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5">
        <f t="shared" si="161"/>
        <v>2</v>
      </c>
      <c r="B79" s="880" t="str">
        <f t="shared" ref="B79:C79" si="162">B10</f>
        <v>024</v>
      </c>
      <c r="C79" s="880" t="str">
        <f t="shared" si="162"/>
        <v>Cutty</v>
      </c>
      <c r="D79" s="875">
        <f>IF($B79="","",SUMPRODUCT(--(Lineups!$G$4:$G$41=$B79),--(Lineups!$B$4:$B$41=""),Lineups!$AW$4:$AW$41)+SUMPRODUCT(--(Lineups!$A$5:$A$42="SP*"),--(Lineups!$G$4:$G$41=$B79),--(Lineups!$B$4:$B$41=""),Lineups!$AW$5:$AW$42))</f>
        <v>16</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16</v>
      </c>
      <c r="M79" s="43"/>
      <c r="N79" s="43"/>
      <c r="O79" s="875">
        <f>IF($B79="","",SUMPRODUCT(--(Lineups!$C$4:$C$41=$B79),Lineups!$AW$4:$AW$41) + SUMPRODUCT(--(Lineups!$A$5:$A$42="SP*"),--(Lineups!$C$4:$C$41=$B79),Lineups!$AW$5:$AW$42))</f>
        <v>0</v>
      </c>
      <c r="P79" s="43"/>
      <c r="Q79" s="875">
        <f t="shared" si="165"/>
        <v>16</v>
      </c>
      <c r="R79" s="43"/>
      <c r="S79" s="43"/>
      <c r="T79" s="875">
        <f t="shared" si="166"/>
        <v>2</v>
      </c>
      <c r="U79" s="880" t="str">
        <f t="shared" ref="U79:V79" si="167">U10</f>
        <v>11</v>
      </c>
      <c r="V79" s="880" t="str">
        <f t="shared" si="167"/>
        <v>Killer Queen</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36</v>
      </c>
      <c r="AA79" s="873">
        <f>IF($U79="","",SUMPRODUCT(--(Lineups!$AO$4:$AO$41=$U79),Lineups!$W$4:$W$41) + SUMPRODUCT(--(Lineups!$AA$5:$AA$42="SP*"),--(Lineups!$AO$4:$AO$41=$U79),Lineups!$W$5:$W$42))</f>
        <v>33</v>
      </c>
      <c r="AB79" s="873">
        <f>IF($U79="","",SUMPRODUCT(--(Lineups!$AS$4:$AS$41=$U79),Lineups!$W$4:$W$41) + SUMPRODUCT(--(Lineups!$AA$5:$AA$42="SP*"),--(Lineups!$AS$4:$AS$41=$U79),Lineups!$W$5:$W$42))</f>
        <v>7</v>
      </c>
      <c r="AC79" s="875">
        <f t="shared" si="168"/>
        <v>76</v>
      </c>
      <c r="AD79" s="43"/>
      <c r="AE79" s="875">
        <f t="shared" si="169"/>
        <v>76</v>
      </c>
      <c r="AF79" s="43"/>
      <c r="AG79" s="43"/>
      <c r="AH79" s="875">
        <f>IF($U79="","",SUMPRODUCT(--(Lineups!$AC$4:$AC$41=$U79),Lineups!$W$4:$W$41) + SUMPRODUCT(--(Lineups!$AA$5:$AA$42="SP*"),--(Lineups!$AC$4:$AC$41=$U79),Lineups!$W$5:$W$42))</f>
        <v>0</v>
      </c>
      <c r="AI79" s="43"/>
      <c r="AJ79" s="875">
        <f t="shared" si="170"/>
        <v>76</v>
      </c>
      <c r="AK79" s="43"/>
    </row>
    <row r="80" ht="13.5" customHeight="1">
      <c r="A80" s="5">
        <f t="shared" si="161"/>
        <v>3</v>
      </c>
      <c r="B80" s="625" t="str">
        <f t="shared" ref="B80:C80" si="171">B11</f>
        <v>10</v>
      </c>
      <c r="C80" s="625" t="str">
        <f t="shared" si="171"/>
        <v>Frida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25" t="str">
        <f t="shared" ref="U80:V80" si="172">U11</f>
        <v>120</v>
      </c>
      <c r="V80" s="625" t="str">
        <f t="shared" si="172"/>
        <v>Nikki Nail 'er</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32</v>
      </c>
      <c r="AA80" s="873">
        <f>IF($U80="","",SUMPRODUCT(--(Lineups!$AO$4:$AO$41=$U80),Lineups!$W$4:$W$41) + SUMPRODUCT(--(Lineups!$AA$5:$AA$42="SP*"),--(Lineups!$AO$4:$AO$41=$U80),Lineups!$W$5:$W$42))</f>
        <v>12</v>
      </c>
      <c r="AB80" s="873">
        <f>IF($U80="","",SUMPRODUCT(--(Lineups!$AS$4:$AS$41=$U80),Lineups!$W$4:$W$41) + SUMPRODUCT(--(Lineups!$AA$5:$AA$42="SP*"),--(Lineups!$AS$4:$AS$41=$U80),Lineups!$W$5:$W$42))</f>
        <v>12</v>
      </c>
      <c r="AC80" s="5">
        <f t="shared" si="168"/>
        <v>56</v>
      </c>
      <c r="AD80" s="43"/>
      <c r="AE80" s="5">
        <f t="shared" si="169"/>
        <v>56</v>
      </c>
      <c r="AF80" s="43"/>
      <c r="AG80" s="43"/>
      <c r="AH80" s="5">
        <f>IF($U80="","",SUMPRODUCT(--(Lineups!$AC$4:$AC$41=$U80),Lineups!$W$4:$W$41) + SUMPRODUCT(--(Lineups!$AA$5:$AA$42="SP*"),--(Lineups!$AC$4:$AC$41=$U80),Lineups!$W$5:$W$42))</f>
        <v>0</v>
      </c>
      <c r="AI80" s="43"/>
      <c r="AJ80" s="5">
        <f t="shared" si="170"/>
        <v>56</v>
      </c>
      <c r="AK80" s="43"/>
    </row>
    <row r="81" ht="13.5" customHeight="1">
      <c r="A81" s="875">
        <f t="shared" si="161"/>
        <v>4</v>
      </c>
      <c r="B81" s="880" t="str">
        <f t="shared" ref="B81:C81" si="173">B12</f>
        <v>16*</v>
      </c>
      <c r="C81" s="880" t="str">
        <f t="shared" si="173"/>
        <v>Just Monroe</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0</v>
      </c>
      <c r="P81" s="43"/>
      <c r="Q81" s="875">
        <f t="shared" si="165"/>
        <v>0</v>
      </c>
      <c r="R81" s="43"/>
      <c r="S81" s="43"/>
      <c r="T81" s="875">
        <f t="shared" si="166"/>
        <v>4</v>
      </c>
      <c r="U81" s="880" t="str">
        <f t="shared" ref="U81:V81" si="174">U12</f>
        <v>13</v>
      </c>
      <c r="V81" s="880" t="str">
        <f t="shared" si="174"/>
        <v>Libido Loca</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0</v>
      </c>
      <c r="AI81" s="43"/>
      <c r="AJ81" s="875">
        <f t="shared" si="170"/>
        <v>0</v>
      </c>
      <c r="AK81" s="43"/>
    </row>
    <row r="82" ht="13.5" customHeight="1">
      <c r="A82" s="5">
        <f t="shared" si="161"/>
        <v>5</v>
      </c>
      <c r="B82" s="625" t="str">
        <f t="shared" ref="B82:C82" si="175">B13</f>
        <v>22*</v>
      </c>
      <c r="C82" s="625" t="str">
        <f t="shared" si="175"/>
        <v>Meche</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15</v>
      </c>
      <c r="V82" s="625" t="str">
        <f t="shared" si="176"/>
        <v>Harley Darlin</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27</v>
      </c>
      <c r="AI82" s="43"/>
      <c r="AJ82" s="5">
        <f t="shared" si="170"/>
        <v>27</v>
      </c>
      <c r="AK82" s="43"/>
    </row>
    <row r="83" ht="13.5" customHeight="1">
      <c r="A83" s="875">
        <f t="shared" si="161"/>
        <v>6</v>
      </c>
      <c r="B83" s="880" t="str">
        <f t="shared" ref="B83:C83" si="177">B14</f>
        <v>24</v>
      </c>
      <c r="C83" s="880" t="str">
        <f t="shared" si="177"/>
        <v>Ima BlowBya</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11</v>
      </c>
      <c r="H83" s="873">
        <f>IF($B83="","",SUMPRODUCT(--(Lineups!$O$4:$O$41=$B83),Lineups!$AW$4:$AW$41) + SUMPRODUCT(--(Lineups!$A$5:$A$42="SP*"),--(Lineups!$O$4:$O$41=$B83),Lineups!$AW$5:$AW$42))</f>
        <v>2</v>
      </c>
      <c r="I83" s="873">
        <f>IF($B83="","",SUMPRODUCT(--(Lineups!$S$4:$S$41=$B83),Lineups!$AW$4:$AW$41) + SUMPRODUCT(--(Lineups!$A$5:$A$42="SP*"),--(Lineups!$S$4:$S$41=$B83),Lineups!$AW$5:$AW$42))</f>
        <v>5</v>
      </c>
      <c r="J83" s="875">
        <f t="shared" si="163"/>
        <v>18</v>
      </c>
      <c r="K83" s="43"/>
      <c r="L83" s="875">
        <f t="shared" si="164"/>
        <v>18</v>
      </c>
      <c r="M83" s="43"/>
      <c r="N83" s="43"/>
      <c r="O83" s="875">
        <f>IF($B83="","",SUMPRODUCT(--(Lineups!$C$4:$C$41=$B83),Lineups!$AW$4:$AW$41) + SUMPRODUCT(--(Lineups!$A$5:$A$42="SP*"),--(Lineups!$C$4:$C$41=$B83),Lineups!$AW$5:$AW$42))</f>
        <v>0</v>
      </c>
      <c r="P83" s="43"/>
      <c r="Q83" s="875">
        <f t="shared" si="165"/>
        <v>18</v>
      </c>
      <c r="R83" s="43"/>
      <c r="S83" s="43"/>
      <c r="T83" s="875">
        <f t="shared" si="166"/>
        <v>6</v>
      </c>
      <c r="U83" s="880" t="str">
        <f t="shared" ref="U83:V83" si="178">U14</f>
        <v>21*</v>
      </c>
      <c r="V83" s="880" t="str">
        <f t="shared" si="178"/>
        <v>Agatha KrisB</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3.5" customHeight="1">
      <c r="A84" s="5">
        <f t="shared" si="161"/>
        <v>7</v>
      </c>
      <c r="B84" s="625" t="str">
        <f t="shared" ref="B84:C84" si="179">B15</f>
        <v>264</v>
      </c>
      <c r="C84" s="625" t="str">
        <f t="shared" si="179"/>
        <v>Velasco Sauce</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2</v>
      </c>
      <c r="H84" s="873">
        <f>IF($B84="","",SUMPRODUCT(--(Lineups!$O$4:$O$41=$B84),Lineups!$AW$4:$AW$41) + SUMPRODUCT(--(Lineups!$A$5:$A$42="SP*"),--(Lineups!$O$4:$O$41=$B84),Lineups!$AW$5:$AW$42))</f>
        <v>16</v>
      </c>
      <c r="I84" s="873">
        <f>IF($B84="","",SUMPRODUCT(--(Lineups!$S$4:$S$41=$B84),Lineups!$AW$4:$AW$41) + SUMPRODUCT(--(Lineups!$A$5:$A$42="SP*"),--(Lineups!$S$4:$S$41=$B84),Lineups!$AW$5:$AW$42))</f>
        <v>0</v>
      </c>
      <c r="J84" s="5">
        <f t="shared" si="163"/>
        <v>18</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25" t="str">
        <f t="shared" ref="U84:V84" si="180">U15</f>
        <v>213</v>
      </c>
      <c r="V84" s="625" t="str">
        <f t="shared" si="180"/>
        <v>IceBox</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4</v>
      </c>
      <c r="AA84" s="873">
        <f>IF($U84="","",SUMPRODUCT(--(Lineups!$AO$4:$AO$41=$U84),Lineups!$W$4:$W$41) + SUMPRODUCT(--(Lineups!$AA$5:$AA$42="SP*"),--(Lineups!$AO$4:$AO$41=$U84),Lineups!$W$5:$W$42))</f>
        <v>0</v>
      </c>
      <c r="AB84" s="873">
        <f>IF($U84="","",SUMPRODUCT(--(Lineups!$AS$4:$AS$41=$U84),Lineups!$W$4:$W$41) + SUMPRODUCT(--(Lineups!$AA$5:$AA$42="SP*"),--(Lineups!$AS$4:$AS$41=$U84),Lineups!$W$5:$W$42))</f>
        <v>52</v>
      </c>
      <c r="AC84" s="5">
        <f t="shared" si="168"/>
        <v>56</v>
      </c>
      <c r="AD84" s="43"/>
      <c r="AE84" s="5">
        <f t="shared" si="169"/>
        <v>56</v>
      </c>
      <c r="AF84" s="43"/>
      <c r="AG84" s="43"/>
      <c r="AH84" s="5">
        <f>IF($U84="","",SUMPRODUCT(--(Lineups!$AC$4:$AC$41=$U84),Lineups!$W$4:$W$41) + SUMPRODUCT(--(Lineups!$AA$5:$AA$42="SP*"),--(Lineups!$AC$4:$AC$41=$U84),Lineups!$W$5:$W$42))</f>
        <v>0</v>
      </c>
      <c r="AI84" s="43"/>
      <c r="AJ84" s="5">
        <f t="shared" si="170"/>
        <v>56</v>
      </c>
      <c r="AK84" s="43"/>
    </row>
    <row r="85" ht="13.5" customHeight="1">
      <c r="A85" s="875">
        <f t="shared" si="161"/>
        <v>8</v>
      </c>
      <c r="B85" s="880" t="str">
        <f t="shared" ref="B85:C85" si="181">B16</f>
        <v>27*</v>
      </c>
      <c r="C85" s="880" t="str">
        <f t="shared" si="181"/>
        <v>Babethoven</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0</v>
      </c>
      <c r="P85" s="43"/>
      <c r="Q85" s="875">
        <f t="shared" si="165"/>
        <v>0</v>
      </c>
      <c r="R85" s="43"/>
      <c r="S85" s="43"/>
      <c r="T85" s="875">
        <f t="shared" si="166"/>
        <v>8</v>
      </c>
      <c r="U85" s="880" t="str">
        <f t="shared" ref="U85:V85" si="182">U16</f>
        <v>221</v>
      </c>
      <c r="V85" s="880" t="str">
        <f t="shared" si="182"/>
        <v>Syann</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24</v>
      </c>
      <c r="AI85" s="43"/>
      <c r="AJ85" s="875">
        <f t="shared" si="170"/>
        <v>24</v>
      </c>
      <c r="AK85" s="43"/>
    </row>
    <row r="86" ht="13.5" customHeight="1">
      <c r="A86" s="5">
        <f t="shared" si="161"/>
        <v>9</v>
      </c>
      <c r="B86" s="625" t="str">
        <f t="shared" ref="B86:C86" si="183">B17</f>
        <v>3</v>
      </c>
      <c r="C86" s="625" t="str">
        <f t="shared" si="183"/>
        <v>Alexia</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8</v>
      </c>
      <c r="I86" s="873">
        <f>IF($B86="","",SUMPRODUCT(--(Lineups!$S$4:$S$41=$B86),Lineups!$AW$4:$AW$41) + SUMPRODUCT(--(Lineups!$A$5:$A$42="SP*"),--(Lineups!$S$4:$S$41=$B86),Lineups!$AW$5:$AW$42))</f>
        <v>12</v>
      </c>
      <c r="J86" s="5">
        <f t="shared" si="163"/>
        <v>20</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25" t="str">
        <f t="shared" ref="U86:V86" si="184">U17</f>
        <v>28</v>
      </c>
      <c r="V86" s="625" t="str">
        <f t="shared" si="184"/>
        <v>Hot Box</v>
      </c>
      <c r="W86" s="5">
        <f>IF($U86="","",SUMPRODUCT(--(Lineups!$AG$4:$AG$41=$U86),--(Lineups!$AB$4:$AB$41=""),Lineups!$W$4:$W$41)+SUMPRODUCT(--(Lineups!$AA$5:$AA$42="SP*"),--(Lineups!$AG$4:$AG$41=$U86),--(Lineups!$AB$4:$AB$41=""),Lineups!$W$5:$W$42))</f>
        <v>60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0</v>
      </c>
      <c r="AC86" s="5">
        <f t="shared" si="168"/>
        <v>0</v>
      </c>
      <c r="AD86" s="43"/>
      <c r="AE86" s="5">
        <f t="shared" si="169"/>
        <v>60</v>
      </c>
      <c r="AF86" s="43"/>
      <c r="AG86" s="43"/>
      <c r="AH86" s="5">
        <f>IF($U86="","",SUMPRODUCT(--(Lineups!$AC$4:$AC$41=$U86),Lineups!$W$4:$W$41) + SUMPRODUCT(--(Lineups!$AA$5:$AA$42="SP*"),--(Lineups!$AC$4:$AC$41=$U86),Lineups!$W$5:$W$42))</f>
        <v>0</v>
      </c>
      <c r="AI86" s="43"/>
      <c r="AJ86" s="5">
        <f t="shared" si="170"/>
        <v>60</v>
      </c>
      <c r="AK86" s="43"/>
    </row>
    <row r="87" ht="13.5" customHeight="1">
      <c r="A87" s="875">
        <f t="shared" si="161"/>
        <v>10</v>
      </c>
      <c r="B87" s="880" t="str">
        <f t="shared" ref="B87:C87" si="185">B18</f>
        <v>31</v>
      </c>
      <c r="C87" s="880" t="str">
        <f t="shared" si="185"/>
        <v>2x Force</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14</v>
      </c>
      <c r="J87" s="875">
        <f t="shared" si="163"/>
        <v>14</v>
      </c>
      <c r="K87" s="43"/>
      <c r="L87" s="875">
        <f t="shared" si="164"/>
        <v>14</v>
      </c>
      <c r="M87" s="43"/>
      <c r="N87" s="43"/>
      <c r="O87" s="875">
        <f>IF($B87="","",SUMPRODUCT(--(Lineups!$C$4:$C$41=$B87),Lineups!$AW$4:$AW$41) + SUMPRODUCT(--(Lineups!$A$5:$A$42="SP*"),--(Lineups!$C$4:$C$41=$B87),Lineups!$AW$5:$AW$42))</f>
        <v>0</v>
      </c>
      <c r="P87" s="43"/>
      <c r="Q87" s="875">
        <f t="shared" si="165"/>
        <v>14</v>
      </c>
      <c r="R87" s="43"/>
      <c r="S87" s="43"/>
      <c r="T87" s="875">
        <f t="shared" si="166"/>
        <v>10</v>
      </c>
      <c r="U87" s="880" t="str">
        <f t="shared" ref="U87:V87" si="186">U18</f>
        <v>321</v>
      </c>
      <c r="V87" s="880" t="str">
        <f t="shared" si="186"/>
        <v>Rockit</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4</v>
      </c>
      <c r="AA87" s="873">
        <f>IF($U87="","",SUMPRODUCT(--(Lineups!$AO$4:$AO$41=$U87),Lineups!$W$4:$W$41) + SUMPRODUCT(--(Lineups!$AA$5:$AA$42="SP*"),--(Lineups!$AO$4:$AO$41=$U87),Lineups!$W$5:$W$42))</f>
        <v>15</v>
      </c>
      <c r="AB87" s="873">
        <f>IF($U87="","",SUMPRODUCT(--(Lineups!$AS$4:$AS$41=$U87),Lineups!$W$4:$W$41) + SUMPRODUCT(--(Lineups!$AA$5:$AA$42="SP*"),--(Lineups!$AS$4:$AS$41=$U87),Lineups!$W$5:$W$42))</f>
        <v>41</v>
      </c>
      <c r="AC87" s="875">
        <f t="shared" si="168"/>
        <v>60</v>
      </c>
      <c r="AD87" s="43"/>
      <c r="AE87" s="875">
        <f t="shared" si="169"/>
        <v>60</v>
      </c>
      <c r="AF87" s="43"/>
      <c r="AG87" s="43"/>
      <c r="AH87" s="875">
        <f>IF($U87="","",SUMPRODUCT(--(Lineups!$AC$4:$AC$41=$U87),Lineups!$W$4:$W$41) + SUMPRODUCT(--(Lineups!$AA$5:$AA$42="SP*"),--(Lineups!$AC$4:$AC$41=$U87),Lineups!$W$5:$W$42))</f>
        <v>0</v>
      </c>
      <c r="AI87" s="43"/>
      <c r="AJ87" s="875">
        <f t="shared" si="170"/>
        <v>60</v>
      </c>
      <c r="AK87" s="43"/>
    </row>
    <row r="88" ht="13.5" customHeight="1">
      <c r="A88" s="5">
        <f t="shared" si="161"/>
        <v>11</v>
      </c>
      <c r="B88" s="625" t="str">
        <f t="shared" ref="B88:C88" si="187">B19</f>
        <v>313</v>
      </c>
      <c r="C88" s="625" t="str">
        <f t="shared" si="187"/>
        <v>WestCoast MaFia</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11</v>
      </c>
      <c r="P88" s="43"/>
      <c r="Q88" s="5">
        <f t="shared" si="165"/>
        <v>11</v>
      </c>
      <c r="R88" s="43"/>
      <c r="S88" s="43"/>
      <c r="T88" s="5">
        <f t="shared" si="166"/>
        <v>11</v>
      </c>
      <c r="U88" s="625" t="str">
        <f t="shared" ref="U88:V88" si="188">U19</f>
        <v>329</v>
      </c>
      <c r="V88" s="625" t="str">
        <f t="shared" si="188"/>
        <v>Triple Axel Rose</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40</v>
      </c>
      <c r="AI88" s="43"/>
      <c r="AJ88" s="5">
        <f t="shared" si="170"/>
        <v>40</v>
      </c>
      <c r="AK88" s="43"/>
    </row>
    <row r="89" ht="13.5" customHeight="1">
      <c r="A89" s="875">
        <f t="shared" si="161"/>
        <v>12</v>
      </c>
      <c r="B89" s="880" t="str">
        <f t="shared" ref="B89:C89" si="189">B20</f>
        <v>3381</v>
      </c>
      <c r="C89" s="880" t="str">
        <f t="shared" si="189"/>
        <v>Hella Naughty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22</v>
      </c>
      <c r="P89" s="43"/>
      <c r="Q89" s="875">
        <f t="shared" si="165"/>
        <v>22</v>
      </c>
      <c r="R89" s="43"/>
      <c r="S89" s="43"/>
      <c r="T89" s="875">
        <f t="shared" si="166"/>
        <v>12</v>
      </c>
      <c r="U89" s="880" t="str">
        <f t="shared" ref="U89:V89" si="190">U20</f>
        <v>410</v>
      </c>
      <c r="V89" s="880" t="str">
        <f t="shared" si="190"/>
        <v>Ricketts</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31</v>
      </c>
      <c r="AA89" s="873">
        <f>IF($U89="","",SUMPRODUCT(--(Lineups!$AO$4:$AO$41=$U89),Lineups!$W$4:$W$41) + SUMPRODUCT(--(Lineups!$AA$5:$AA$42="SP*"),--(Lineups!$AO$4:$AO$41=$U89),Lineups!$W$5:$W$42))</f>
        <v>21</v>
      </c>
      <c r="AB89" s="873">
        <f>IF($U89="","",SUMPRODUCT(--(Lineups!$AS$4:$AS$41=$U89),Lineups!$W$4:$W$41) + SUMPRODUCT(--(Lineups!$AA$5:$AA$42="SP*"),--(Lineups!$AS$4:$AS$41=$U89),Lineups!$W$5:$W$42))</f>
        <v>0</v>
      </c>
      <c r="AC89" s="875">
        <f t="shared" si="168"/>
        <v>52</v>
      </c>
      <c r="AD89" s="43"/>
      <c r="AE89" s="875">
        <f t="shared" si="169"/>
        <v>52</v>
      </c>
      <c r="AF89" s="43"/>
      <c r="AG89" s="43"/>
      <c r="AH89" s="875">
        <f>IF($U89="","",SUMPRODUCT(--(Lineups!$AC$4:$AC$41=$U89),Lineups!$W$4:$W$41) + SUMPRODUCT(--(Lineups!$AA$5:$AA$42="SP*"),--(Lineups!$AC$4:$AC$41=$U89),Lineups!$W$5:$W$42))</f>
        <v>0</v>
      </c>
      <c r="AI89" s="43"/>
      <c r="AJ89" s="875">
        <f t="shared" si="170"/>
        <v>52</v>
      </c>
      <c r="AK89" s="43"/>
    </row>
    <row r="90" ht="13.5" customHeight="1">
      <c r="A90" s="5">
        <f t="shared" si="161"/>
        <v>13</v>
      </c>
      <c r="B90" s="625" t="str">
        <f t="shared" ref="B90:C90" si="191">B21</f>
        <v>38</v>
      </c>
      <c r="C90" s="625" t="str">
        <f t="shared" si="191"/>
        <v>Colette Razorcat</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10</v>
      </c>
      <c r="H90" s="873">
        <f>IF($B90="","",SUMPRODUCT(--(Lineups!$O$4:$O$41=$B90),Lineups!$AW$4:$AW$41) + SUMPRODUCT(--(Lineups!$A$5:$A$42="SP*"),--(Lineups!$O$4:$O$41=$B90),Lineups!$AW$5:$AW$42))</f>
        <v>12</v>
      </c>
      <c r="I90" s="873">
        <f>IF($B90="","",SUMPRODUCT(--(Lineups!$S$4:$S$41=$B90),Lineups!$AW$4:$AW$41) + SUMPRODUCT(--(Lineups!$A$5:$A$42="SP*"),--(Lineups!$S$4:$S$41=$B90),Lineups!$AW$5:$AW$42))</f>
        <v>0</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25" t="str">
        <f t="shared" ref="U90:V90" si="192">U21</f>
        <v>47</v>
      </c>
      <c r="V90" s="625" t="str">
        <f t="shared" si="192"/>
        <v>Author of Pain</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394</v>
      </c>
      <c r="C91" s="880" t="str">
        <f t="shared" si="193"/>
        <v>Punkie Pie</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8</v>
      </c>
      <c r="P91" s="43"/>
      <c r="Q91" s="875">
        <f t="shared" si="165"/>
        <v>8</v>
      </c>
      <c r="R91" s="43"/>
      <c r="S91" s="43"/>
      <c r="T91" s="875">
        <f t="shared" si="166"/>
        <v>14</v>
      </c>
      <c r="U91" s="880" t="str">
        <f t="shared" ref="U91:V91" si="194">U22</f>
        <v>484*</v>
      </c>
      <c r="V91" s="880" t="str">
        <f t="shared" si="194"/>
        <v>Gemineye</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0</v>
      </c>
      <c r="AI91" s="43"/>
      <c r="AJ91" s="875">
        <f t="shared" si="170"/>
        <v>0</v>
      </c>
      <c r="AK91" s="43"/>
    </row>
    <row r="92" ht="13.5" customHeight="1">
      <c r="A92" s="5">
        <f t="shared" si="161"/>
        <v>15</v>
      </c>
      <c r="B92" s="625" t="str">
        <f t="shared" ref="B92:C92" si="195">B23</f>
        <v>4</v>
      </c>
      <c r="C92" s="625" t="str">
        <f t="shared" si="195"/>
        <v>Sure, man</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10</v>
      </c>
      <c r="I92" s="873">
        <f>IF($B92="","",SUMPRODUCT(--(Lineups!$S$4:$S$41=$B92),Lineups!$AW$4:$AW$41) + SUMPRODUCT(--(Lineups!$A$5:$A$42="SP*"),--(Lineups!$S$4:$S$41=$B92),Lineups!$AW$5:$AW$42))</f>
        <v>4</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25" t="str">
        <f t="shared" ref="U92:V92" si="196">U23</f>
        <v>505</v>
      </c>
      <c r="V92" s="625" t="str">
        <f t="shared" si="196"/>
        <v>Swearin' Marie</v>
      </c>
      <c r="W92" s="5">
        <f>IF($U92="","",SUMPRODUCT(--(Lineups!$AG$4:$AG$41=$U92),--(Lineups!$AB$4:$AB$41=""),Lineups!$W$4:$W$41)+SUMPRODUCT(--(Lineups!$AA$5:$AA$42="SP*"),--(Lineups!$AG$4:$AG$41=$U92),--(Lineups!$AB$4:$AB$41=""),Lineups!$W$5:$W$42))</f>
        <v>52</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52</v>
      </c>
      <c r="AF92" s="43"/>
      <c r="AG92" s="43"/>
      <c r="AH92" s="5">
        <f>IF($U92="","",SUMPRODUCT(--(Lineups!$AC$4:$AC$41=$U92),Lineups!$W$4:$W$41) + SUMPRODUCT(--(Lineups!$AA$5:$AA$42="SP*"),--(Lineups!$AC$4:$AC$41=$U92),Lineups!$W$5:$W$42))</f>
        <v>4</v>
      </c>
      <c r="AI92" s="43"/>
      <c r="AJ92" s="5">
        <f t="shared" si="170"/>
        <v>56</v>
      </c>
      <c r="AK92" s="43"/>
    </row>
    <row r="93" ht="13.5" customHeight="1">
      <c r="A93" s="875">
        <f t="shared" si="161"/>
        <v>16</v>
      </c>
      <c r="B93" s="880" t="str">
        <f t="shared" ref="B93:C93" si="197">B24</f>
        <v>602*</v>
      </c>
      <c r="C93" s="880" t="str">
        <f t="shared" si="197"/>
        <v>Feen-X</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75*</v>
      </c>
      <c r="V93" s="880" t="str">
        <f t="shared" si="198"/>
        <v>TamTrum</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7</v>
      </c>
      <c r="C94" s="625" t="str">
        <f t="shared" si="199"/>
        <v>Skatie Katie</v>
      </c>
      <c r="D94" s="5">
        <f>IF($B94="","",SUMPRODUCT(--(Lineups!$G$4:$G$41=$B94),--(Lineups!$B$4:$B$41=""),Lineups!$AW$4:$AW$41)+SUMPRODUCT(--(Lineups!$A$5:$A$42="SP*"),--(Lineups!$G$4:$G$41=$B94),--(Lineups!$B$4:$B$41=""),Lineups!$AW$5:$AW$42))</f>
        <v>11</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2</v>
      </c>
      <c r="J94" s="5">
        <f t="shared" si="163"/>
        <v>2</v>
      </c>
      <c r="K94" s="43"/>
      <c r="L94" s="5">
        <f t="shared" si="164"/>
        <v>13</v>
      </c>
      <c r="M94" s="43"/>
      <c r="N94" s="43"/>
      <c r="O94" s="5">
        <f>IF($B94="","",SUMPRODUCT(--(Lineups!$C$4:$C$41=$B94),Lineups!$AW$4:$AW$41) + SUMPRODUCT(--(Lineups!$A$5:$A$42="SP*"),--(Lineups!$C$4:$C$41=$B94),Lineups!$AW$5:$AW$42))</f>
        <v>0</v>
      </c>
      <c r="P94" s="43"/>
      <c r="Q94" s="5">
        <f t="shared" si="165"/>
        <v>13</v>
      </c>
      <c r="R94" s="43"/>
      <c r="S94" s="43"/>
      <c r="T94" s="5">
        <f t="shared" si="166"/>
        <v>17</v>
      </c>
      <c r="U94" s="625" t="str">
        <f t="shared" ref="U94:V94" si="200">U25</f>
        <v>88</v>
      </c>
      <c r="V94" s="625" t="str">
        <f t="shared" si="200"/>
        <v>Rocktopus</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12</v>
      </c>
      <c r="AB94" s="873">
        <f>IF($U94="","",SUMPRODUCT(--(Lineups!$AS$4:$AS$41=$U94),Lineups!$W$4:$W$41) + SUMPRODUCT(--(Lineups!$AA$5:$AA$42="SP*"),--(Lineups!$AS$4:$AS$41=$U94),Lineups!$W$5:$W$42))</f>
        <v>0</v>
      </c>
      <c r="AC94" s="5">
        <f t="shared" si="168"/>
        <v>12</v>
      </c>
      <c r="AD94" s="43"/>
      <c r="AE94" s="5">
        <f t="shared" si="169"/>
        <v>12</v>
      </c>
      <c r="AF94" s="43"/>
      <c r="AG94" s="43"/>
      <c r="AH94" s="5">
        <f>IF($U94="","",SUMPRODUCT(--(Lineups!$AC$4:$AC$41=$U94),Lineups!$W$4:$W$41) + SUMPRODUCT(--(Lineups!$AA$5:$AA$42="SP*"),--(Lineups!$AC$4:$AC$41=$U94),Lineups!$W$5:$W$42))</f>
        <v>0</v>
      </c>
      <c r="AI94" s="43"/>
      <c r="AJ94" s="5">
        <f t="shared" si="170"/>
        <v>12</v>
      </c>
      <c r="AK94" s="43"/>
    </row>
    <row r="95" ht="13.5" customHeight="1">
      <c r="A95" s="875">
        <f t="shared" si="161"/>
        <v>18</v>
      </c>
      <c r="B95" s="880" t="str">
        <f t="shared" ref="B95:C95" si="201">B26</f>
        <v>76</v>
      </c>
      <c r="C95" s="880" t="str">
        <f t="shared" si="201"/>
        <v>Queen Loseyateefa</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9</v>
      </c>
      <c r="H95" s="873">
        <f>IF($B95="","",SUMPRODUCT(--(Lineups!$O$4:$O$41=$B95),Lineups!$AW$4:$AW$41) + SUMPRODUCT(--(Lineups!$A$5:$A$42="SP*"),--(Lineups!$O$4:$O$41=$B95),Lineups!$AW$5:$AW$42))</f>
        <v>0</v>
      </c>
      <c r="I95" s="873">
        <f>IF($B95="","",SUMPRODUCT(--(Lineups!$S$4:$S$41=$B95),Lineups!$AW$4:$AW$41) + SUMPRODUCT(--(Lineups!$A$5:$A$42="SP*"),--(Lineups!$S$4:$S$41=$B95),Lineups!$AW$5:$AW$42))</f>
        <v>7</v>
      </c>
      <c r="J95" s="875">
        <f t="shared" si="163"/>
        <v>16</v>
      </c>
      <c r="K95" s="43"/>
      <c r="L95" s="875">
        <f t="shared" si="164"/>
        <v>16</v>
      </c>
      <c r="M95" s="43"/>
      <c r="N95" s="43"/>
      <c r="O95" s="875">
        <f>IF($B95="","",SUMPRODUCT(--(Lineups!$C$4:$C$41=$B95),Lineups!$AW$4:$AW$41) + SUMPRODUCT(--(Lineups!$A$5:$A$42="SP*"),--(Lineups!$C$4:$C$41=$B95),Lineups!$AW$5:$AW$42))</f>
        <v>0</v>
      </c>
      <c r="P95" s="43"/>
      <c r="Q95" s="875">
        <f t="shared" si="165"/>
        <v>16</v>
      </c>
      <c r="R95" s="43"/>
      <c r="S95" s="43"/>
      <c r="T95" s="875">
        <f t="shared" si="166"/>
        <v>18</v>
      </c>
      <c r="U95" s="880" t="str">
        <f t="shared" ref="U95:V95" si="202">U26</f>
        <v>9</v>
      </c>
      <c r="V95" s="880" t="str">
        <f t="shared" si="202"/>
        <v>Kell's Inferno</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29</v>
      </c>
      <c r="AI95" s="43"/>
      <c r="AJ95" s="875">
        <f t="shared" si="170"/>
        <v>29</v>
      </c>
      <c r="AK95" s="43"/>
    </row>
    <row r="96" ht="13.5" customHeight="1">
      <c r="A96" s="5">
        <f t="shared" si="161"/>
        <v>19</v>
      </c>
      <c r="B96" s="625" t="str">
        <f t="shared" ref="B96:C96" si="203">B27</f>
        <v>88</v>
      </c>
      <c r="C96" s="625" t="str">
        <f t="shared" si="203"/>
        <v>MsMURDR</v>
      </c>
      <c r="D96" s="5">
        <f>IF($B96="","",SUMPRODUCT(--(Lineups!$G$4:$G$41=$B96),--(Lineups!$B$4:$B$41=""),Lineups!$AW$4:$AW$41)+SUMPRODUCT(--(Lineups!$A$5:$A$42="SP*"),--(Lineups!$G$4:$G$41=$B96),--(Lineups!$B$4:$B$41=""),Lineups!$AW$5:$AW$42))</f>
        <v>2</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4</v>
      </c>
      <c r="J96" s="5">
        <f t="shared" si="163"/>
        <v>4</v>
      </c>
      <c r="K96" s="43"/>
      <c r="L96" s="5">
        <f t="shared" si="164"/>
        <v>6</v>
      </c>
      <c r="M96" s="43"/>
      <c r="N96" s="43"/>
      <c r="O96" s="5">
        <f>IF($B96="","",SUMPRODUCT(--(Lineups!$C$4:$C$41=$B96),Lineups!$AW$4:$AW$41) + SUMPRODUCT(--(Lineups!$A$5:$A$42="SP*"),--(Lineups!$C$4:$C$41=$B96),Lineups!$AW$5:$AW$42))</f>
        <v>0</v>
      </c>
      <c r="P96" s="43"/>
      <c r="Q96" s="5">
        <f t="shared" si="165"/>
        <v>6</v>
      </c>
      <c r="R96" s="43"/>
      <c r="S96" s="43"/>
      <c r="T96" s="5">
        <f t="shared" si="166"/>
        <v>19</v>
      </c>
      <c r="U96" s="625" t="str">
        <f t="shared" ref="U96:V96" si="204">U27</f>
        <v>913*</v>
      </c>
      <c r="V96" s="625" t="str">
        <f t="shared" si="204"/>
        <v>Termiskater</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96*</v>
      </c>
      <c r="C97" s="880" t="str">
        <f t="shared" si="205"/>
        <v>Weird Flex</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999</v>
      </c>
      <c r="V97" s="880" t="str">
        <f t="shared" si="206"/>
        <v>Amanda Jamitinya</v>
      </c>
      <c r="W97" s="875">
        <f>IF($U97="","",SUMPRODUCT(--(Lineups!$AG$4:$AG$41=$U97),--(Lineups!$AB$4:$AB$41=""),Lineups!$W$4:$W$41)+SUMPRODUCT(--(Lineups!$AA$5:$AA$42="SP*"),--(Lineups!$AG$4:$AG$41=$U97),--(Lineups!$AB$4:$AB$41=""),Lineups!$W$5:$W$42))</f>
        <v>12</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17</v>
      </c>
      <c r="AA97" s="873">
        <f>IF($U97="","",SUMPRODUCT(--(Lineups!$AO$4:$AO$41=$U97),Lineups!$W$4:$W$41) + SUMPRODUCT(--(Lineups!$AA$5:$AA$42="SP*"),--(Lineups!$AO$4:$AO$41=$U97),Lineups!$W$5:$W$42))</f>
        <v>31</v>
      </c>
      <c r="AB97" s="873">
        <f>IF($U97="","",SUMPRODUCT(--(Lineups!$AS$4:$AS$41=$U97),Lineups!$W$4:$W$41) + SUMPRODUCT(--(Lineups!$AA$5:$AA$42="SP*"),--(Lineups!$AS$4:$AS$41=$U97),Lineups!$W$5:$W$42))</f>
        <v>4</v>
      </c>
      <c r="AC97" s="875">
        <f t="shared" si="168"/>
        <v>52</v>
      </c>
      <c r="AD97" s="43"/>
      <c r="AE97" s="875">
        <f t="shared" si="169"/>
        <v>64</v>
      </c>
      <c r="AF97" s="43"/>
      <c r="AG97" s="43"/>
      <c r="AH97" s="875">
        <f>IF($U97="","",SUMPRODUCT(--(Lineups!$AC$4:$AC$41=$U97),Lineups!$W$4:$W$41) + SUMPRODUCT(--(Lineups!$AA$5:$AA$42="SP*"),--(Lineups!$AC$4:$AC$41=$U97),Lineups!$W$5:$W$42))</f>
        <v>0</v>
      </c>
      <c r="AI97" s="43"/>
      <c r="AJ97" s="875">
        <f t="shared" si="170"/>
        <v>64</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3.5" customHeight="1">
      <c r="A102" s="5"/>
      <c r="B102" s="43"/>
      <c r="C102" s="43" t="s">
        <v>430</v>
      </c>
      <c r="D102" s="43">
        <f>MAX(Score!A84,Score!T84)</f>
        <v>20</v>
      </c>
      <c r="E102" s="43"/>
      <c r="F102" s="43"/>
      <c r="G102" s="43"/>
      <c r="H102" s="43"/>
      <c r="I102" s="43"/>
      <c r="J102" s="43"/>
      <c r="K102" s="43"/>
      <c r="L102" s="43"/>
      <c r="M102" s="43"/>
      <c r="N102" s="43"/>
      <c r="O102" s="43"/>
      <c r="P102" s="43"/>
      <c r="Q102" s="43"/>
      <c r="R102" s="43"/>
      <c r="S102" s="43"/>
      <c r="T102" s="5"/>
      <c r="U102" s="43"/>
      <c r="V102" s="43" t="s">
        <v>430</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431</v>
      </c>
      <c r="D103" s="43">
        <f>SK!H164</f>
        <v>16</v>
      </c>
      <c r="E103" s="43"/>
      <c r="F103" s="43"/>
      <c r="G103" s="43"/>
      <c r="H103" s="43"/>
      <c r="I103" s="43"/>
      <c r="J103" s="43"/>
      <c r="K103" s="43"/>
      <c r="L103" s="43"/>
      <c r="M103" s="43"/>
      <c r="N103" s="43"/>
      <c r="O103" s="43"/>
      <c r="P103" s="43"/>
      <c r="Q103" s="43"/>
      <c r="R103" s="43"/>
      <c r="S103" s="43"/>
      <c r="T103" s="5"/>
      <c r="U103" s="43"/>
      <c r="V103" s="43" t="s">
        <v>432</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435</v>
      </c>
      <c r="B106" s="8"/>
      <c r="C106" s="9"/>
      <c r="D106" s="866"/>
      <c r="E106" s="866"/>
      <c r="F106" s="866"/>
      <c r="G106" s="866"/>
      <c r="H106" s="866"/>
      <c r="I106" s="866"/>
      <c r="J106" s="866"/>
      <c r="K106" s="866"/>
      <c r="L106" s="866"/>
      <c r="M106" s="866"/>
      <c r="N106" s="866"/>
      <c r="O106" s="866"/>
      <c r="P106" s="866"/>
      <c r="Q106" s="866"/>
      <c r="R106" s="866"/>
      <c r="S106" s="43"/>
      <c r="T106" s="865" t="s">
        <v>435</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436</v>
      </c>
      <c r="C107" s="867" t="s">
        <v>437</v>
      </c>
      <c r="D107" s="867" t="s">
        <v>292</v>
      </c>
      <c r="E107" s="868" t="s">
        <v>438</v>
      </c>
      <c r="F107" s="869" t="s">
        <v>293</v>
      </c>
      <c r="G107" s="869" t="s">
        <v>293</v>
      </c>
      <c r="H107" s="869" t="s">
        <v>293</v>
      </c>
      <c r="I107" s="869" t="s">
        <v>293</v>
      </c>
      <c r="J107" s="867" t="s">
        <v>439</v>
      </c>
      <c r="K107" s="868" t="s">
        <v>440</v>
      </c>
      <c r="L107" s="867" t="s">
        <v>441</v>
      </c>
      <c r="M107" s="868" t="s">
        <v>442</v>
      </c>
      <c r="N107" s="870" t="s">
        <v>443</v>
      </c>
      <c r="O107" s="867" t="s">
        <v>290</v>
      </c>
      <c r="P107" s="868" t="s">
        <v>444</v>
      </c>
      <c r="Q107" s="867" t="s">
        <v>410</v>
      </c>
      <c r="R107" s="868" t="s">
        <v>445</v>
      </c>
      <c r="S107" s="5"/>
      <c r="T107" s="867">
        <v>0.0</v>
      </c>
      <c r="U107" s="867" t="s">
        <v>436</v>
      </c>
      <c r="V107" s="867" t="s">
        <v>437</v>
      </c>
      <c r="W107" s="867" t="s">
        <v>292</v>
      </c>
      <c r="X107" s="868" t="s">
        <v>438</v>
      </c>
      <c r="Y107" s="869" t="s">
        <v>293</v>
      </c>
      <c r="Z107" s="869" t="s">
        <v>293</v>
      </c>
      <c r="AA107" s="869" t="s">
        <v>293</v>
      </c>
      <c r="AB107" s="869" t="s">
        <v>293</v>
      </c>
      <c r="AC107" s="867" t="s">
        <v>439</v>
      </c>
      <c r="AD107" s="868" t="s">
        <v>440</v>
      </c>
      <c r="AE107" s="867" t="s">
        <v>441</v>
      </c>
      <c r="AF107" s="868" t="s">
        <v>442</v>
      </c>
      <c r="AG107" s="870" t="s">
        <v>443</v>
      </c>
      <c r="AH107" s="867" t="s">
        <v>290</v>
      </c>
      <c r="AI107" s="868" t="s">
        <v>444</v>
      </c>
      <c r="AJ107" s="867" t="s">
        <v>410</v>
      </c>
      <c r="AK107" s="868" t="s">
        <v>445</v>
      </c>
    </row>
    <row r="108" ht="13.5" customHeight="1">
      <c r="A108" s="5">
        <f t="shared" ref="A108:A127" si="209">A107+1</f>
        <v>1</v>
      </c>
      <c r="B108" s="871" t="str">
        <f t="shared" ref="B108:C108" si="207">B9</f>
        <v>01</v>
      </c>
      <c r="C108" s="871" t="str">
        <f t="shared" si="207"/>
        <v>Goldy Knocks</v>
      </c>
      <c r="D108" s="43">
        <f>IF($B108="","",SUMPRODUCT(--(Lineups!G$46:G$83=$B108),--(Lineups!B$46:B$83="")))</f>
        <v>4</v>
      </c>
      <c r="E108" s="872">
        <f t="shared" ref="E108:E127" si="211">IF($B108="","",IF($D$102=0,"",D108/$D$102))</f>
        <v>0.2</v>
      </c>
      <c r="F108" s="873">
        <f>IF($B108="","",SUMPRODUCT(--(Lineups!G$46:G$83=$B108),--(Lineups!B$46:B$83="X")))</f>
        <v>1</v>
      </c>
      <c r="G108" s="873">
        <f>IF($B108="","",SUMPRODUCT(--(Lineups!K$46:K$83=$B108),--(Lineups!A$46:A$83&lt;&gt;"SP")))</f>
        <v>4</v>
      </c>
      <c r="H108" s="873">
        <f>IF($B108="","",SUMPRODUCT(--(Lineups!O$46:O$83=$B108),--(Lineups!A$46:A$83&lt;&gt;"SP")))</f>
        <v>0</v>
      </c>
      <c r="I108" s="873">
        <f>IF($B108="","",SUMPRODUCT(--(Lineups!S$46:S$83=$B108),--(Lineups!A$46:A$83&lt;&gt;"SP")))</f>
        <v>1</v>
      </c>
      <c r="J108" s="43">
        <f t="shared" ref="J108:J127" si="212">IF(B108="","",SUM(F108:I108))</f>
        <v>6</v>
      </c>
      <c r="K108" s="872">
        <f t="shared" ref="K108:K127" si="213">IF($B108="","",IF($D$102=0,"",J108/$D$102))</f>
        <v>0.3</v>
      </c>
      <c r="L108" s="43">
        <f t="shared" ref="L108:L127" si="214">IF(B108="","",SUM(D108,J108))</f>
        <v>10</v>
      </c>
      <c r="M108" s="872">
        <f t="shared" ref="M108:M127" si="215">IF($B108="","",IF($D$102=0,"",L108/$D$102))</f>
        <v>0.5</v>
      </c>
      <c r="N108" s="874" t="str">
        <f>IF(B108="","",IF(OR(SK!E173="",SK!E173=0),"",SK!H173))</f>
        <v/>
      </c>
      <c r="O108" s="43">
        <f>IF($B108="","",SUMPRODUCT(--(Lineups!C$46:C$83=$B108)))</f>
        <v>0</v>
      </c>
      <c r="P108" s="872">
        <f t="shared" ref="P108:P127" si="216">IF($B108="","",IF($D$102=0,"",O108/$D$102))</f>
        <v>0</v>
      </c>
      <c r="Q108" s="43">
        <f t="shared" ref="Q108:Q127" si="217">IF(B108="","",SUM(L108,O108))</f>
        <v>10</v>
      </c>
      <c r="R108" s="872">
        <f t="shared" ref="R108:R127" si="218">IF($B108="","",IF($D$102=0,"",Q108/$D$102))</f>
        <v>0.5</v>
      </c>
      <c r="S108" s="43"/>
      <c r="T108" s="5">
        <f t="shared" ref="T108:T127" si="219">T107+1</f>
        <v>1</v>
      </c>
      <c r="U108" s="871" t="str">
        <f t="shared" ref="U108:V108" si="208">U9</f>
        <v>10*</v>
      </c>
      <c r="V108" s="871" t="str">
        <f t="shared" si="208"/>
        <v>BAMPF!</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t="str">
        <f>IF(U108="","",IF(OR(SK!U173="",SK!U173=0),"",SK!X173))</f>
        <v/>
      </c>
      <c r="AH108" s="43">
        <f>IF($U108="","",SUMPRODUCT(--(Lineups!AC$46:AC$83=$U108)))</f>
        <v>0</v>
      </c>
      <c r="AI108" s="872">
        <f t="shared" ref="AI108:AI127" si="226">IF($U108="","",IF($W$102=0,"",AH108/$W$102))</f>
        <v>0</v>
      </c>
      <c r="AJ108" s="43">
        <f t="shared" ref="AJ108:AJ127" si="227">IF(U108="","",SUM(AE108,AH108))</f>
        <v>0</v>
      </c>
      <c r="AK108" s="872">
        <f t="shared" ref="AK108:AK127" si="228">IF($U108="","",IF($W$102=0,"",AJ108/$W$102))</f>
        <v>0</v>
      </c>
    </row>
    <row r="109" ht="13.5" customHeight="1">
      <c r="A109" s="875">
        <f t="shared" si="209"/>
        <v>2</v>
      </c>
      <c r="B109" s="876" t="str">
        <f t="shared" ref="B109:C109" si="210">B10</f>
        <v>024</v>
      </c>
      <c r="C109" s="876" t="str">
        <f t="shared" si="210"/>
        <v>Cutty</v>
      </c>
      <c r="D109" s="877">
        <f>IF($B109="","",SUMPRODUCT(--(Lineups!G$46:G$83=$B109),--(Lineups!B$46:B$83="")))</f>
        <v>6</v>
      </c>
      <c r="E109" s="878">
        <f t="shared" si="211"/>
        <v>0.3</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6</v>
      </c>
      <c r="M109" s="878">
        <f t="shared" si="215"/>
        <v>0.3</v>
      </c>
      <c r="N109" s="879">
        <f>IF(B109="","",IF(OR(SK!E176="",SK!E176=0),"",SK!H176))</f>
        <v>1</v>
      </c>
      <c r="O109" s="877">
        <f>IF($B109="","",SUMPRODUCT(--(Lineups!C$46:C$83=$B109)))</f>
        <v>1</v>
      </c>
      <c r="P109" s="878">
        <f t="shared" si="216"/>
        <v>0.05</v>
      </c>
      <c r="Q109" s="877">
        <f t="shared" si="217"/>
        <v>7</v>
      </c>
      <c r="R109" s="878">
        <f t="shared" si="218"/>
        <v>0.35</v>
      </c>
      <c r="S109" s="43"/>
      <c r="T109" s="875">
        <f t="shared" si="219"/>
        <v>2</v>
      </c>
      <c r="U109" s="876" t="str">
        <f t="shared" ref="U109:V109" si="220">U10</f>
        <v>11</v>
      </c>
      <c r="V109" s="876" t="str">
        <f t="shared" si="220"/>
        <v>Killer Queen</v>
      </c>
      <c r="W109" s="877">
        <f>IF($U109="","",SUMPRODUCT(--(Lineups!AG$46:AG$83=$U109),--(Lineups!AB$46:AB$83="")))</f>
        <v>0</v>
      </c>
      <c r="X109" s="878">
        <f t="shared" si="221"/>
        <v>0</v>
      </c>
      <c r="Y109" s="873">
        <f>IF($U109="","",SUMPRODUCT(--(Lineups!AG$46:AG$83=$U109),--(Lineups!AB$46:AB$83="X")))</f>
        <v>0</v>
      </c>
      <c r="Z109" s="873">
        <f>IF($U109="","",SUMPRODUCT(--(Lineups!AK$46:AK$83=$U109),--(Lineups!AA$46:AA$83&lt;&gt;"SP")))</f>
        <v>3</v>
      </c>
      <c r="AA109" s="873">
        <f>IF($U109="","",SUMPRODUCT(--(Lineups!AO$46:AO$83=$U109),--(Lineups!AA$46:AA$83&lt;&gt;"SP")))</f>
        <v>1</v>
      </c>
      <c r="AB109" s="873">
        <f>IF($U109="","",SUMPRODUCT(--(Lineups!AS$46:AS$83=$U109),--(Lineups!AA$46:AA$83&lt;&gt;"SP")))</f>
        <v>5</v>
      </c>
      <c r="AC109" s="877">
        <f t="shared" si="222"/>
        <v>9</v>
      </c>
      <c r="AD109" s="878">
        <f t="shared" si="223"/>
        <v>0.45</v>
      </c>
      <c r="AE109" s="877">
        <f t="shared" si="224"/>
        <v>9</v>
      </c>
      <c r="AF109" s="878">
        <f t="shared" si="225"/>
        <v>0.45</v>
      </c>
      <c r="AG109" s="879" t="str">
        <f>IF(U109="","",IF(OR(SK!U176="",SK!U176=0),"",SK!X176))</f>
        <v/>
      </c>
      <c r="AH109" s="877">
        <f>IF($U109="","",SUMPRODUCT(--(Lineups!AC$46:AC$83=$U109)))</f>
        <v>0</v>
      </c>
      <c r="AI109" s="878">
        <f t="shared" si="226"/>
        <v>0</v>
      </c>
      <c r="AJ109" s="877">
        <f t="shared" si="227"/>
        <v>9</v>
      </c>
      <c r="AK109" s="878">
        <f t="shared" si="228"/>
        <v>0.45</v>
      </c>
    </row>
    <row r="110" ht="13.5" customHeight="1">
      <c r="A110" s="5">
        <f t="shared" si="209"/>
        <v>3</v>
      </c>
      <c r="B110" s="871" t="str">
        <f t="shared" ref="B110:C110" si="229">B11</f>
        <v>10</v>
      </c>
      <c r="C110" s="871" t="str">
        <f t="shared" si="229"/>
        <v>Frida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f>IF(B110="","",IF(OR(SK!E179="",SK!E179=0),"",SK!H179))</f>
        <v>3</v>
      </c>
      <c r="O110" s="43">
        <f>IF($B110="","",SUMPRODUCT(--(Lineups!C$46:C$83=$B110)))</f>
        <v>4</v>
      </c>
      <c r="P110" s="872">
        <f t="shared" si="216"/>
        <v>0.2</v>
      </c>
      <c r="Q110" s="43">
        <f t="shared" si="217"/>
        <v>4</v>
      </c>
      <c r="R110" s="872">
        <f t="shared" si="218"/>
        <v>0.2</v>
      </c>
      <c r="S110" s="43"/>
      <c r="T110" s="5">
        <f t="shared" si="219"/>
        <v>3</v>
      </c>
      <c r="U110" s="871" t="str">
        <f t="shared" ref="U110:V110" si="230">U11</f>
        <v>120</v>
      </c>
      <c r="V110" s="871" t="str">
        <f t="shared" si="230"/>
        <v>Nikki Nail 'er</v>
      </c>
      <c r="W110" s="43">
        <f>IF($U110="","",SUMPRODUCT(--(Lineups!AG$46:AG$83=$U110),--(Lineups!AB$46:AB$83="")))</f>
        <v>0</v>
      </c>
      <c r="X110" s="872">
        <f t="shared" si="221"/>
        <v>0</v>
      </c>
      <c r="Y110" s="873">
        <f>IF($U110="","",SUMPRODUCT(--(Lineups!AG$46:AG$83=$U110),--(Lineups!AB$46:AB$83="X")))</f>
        <v>0</v>
      </c>
      <c r="Z110" s="873">
        <f>IF($U110="","",SUMPRODUCT(--(Lineups!AK$46:AK$83=$U110),--(Lineups!AA$46:AA$83&lt;&gt;"SP")))</f>
        <v>4</v>
      </c>
      <c r="AA110" s="873">
        <f>IF($U110="","",SUMPRODUCT(--(Lineups!AO$46:AO$83=$U110),--(Lineups!AA$46:AA$83&lt;&gt;"SP")))</f>
        <v>3</v>
      </c>
      <c r="AB110" s="873">
        <f>IF($U110="","",SUMPRODUCT(--(Lineups!AS$46:AS$83=$U110),--(Lineups!AA$46:AA$83&lt;&gt;"SP")))</f>
        <v>2</v>
      </c>
      <c r="AC110" s="43">
        <f t="shared" si="222"/>
        <v>9</v>
      </c>
      <c r="AD110" s="872">
        <f t="shared" si="223"/>
        <v>0.45</v>
      </c>
      <c r="AE110" s="43">
        <f t="shared" si="224"/>
        <v>9</v>
      </c>
      <c r="AF110" s="872">
        <f t="shared" si="225"/>
        <v>0.45</v>
      </c>
      <c r="AG110" s="874" t="str">
        <f>IF(U110="","",IF(OR(SK!U179="",SK!U179=0),"",SK!X179))</f>
        <v/>
      </c>
      <c r="AH110" s="43">
        <f>IF($U110="","",SUMPRODUCT(--(Lineups!AC$46:AC$83=$U110)))</f>
        <v>0</v>
      </c>
      <c r="AI110" s="872">
        <f t="shared" si="226"/>
        <v>0</v>
      </c>
      <c r="AJ110" s="43">
        <f t="shared" si="227"/>
        <v>9</v>
      </c>
      <c r="AK110" s="872">
        <f t="shared" si="228"/>
        <v>0.45</v>
      </c>
    </row>
    <row r="111" ht="13.5" customHeight="1">
      <c r="A111" s="875">
        <f t="shared" si="209"/>
        <v>4</v>
      </c>
      <c r="B111" s="876" t="str">
        <f t="shared" ref="B111:C111" si="231">B12</f>
        <v>16*</v>
      </c>
      <c r="C111" s="876" t="str">
        <f t="shared" si="231"/>
        <v>Just Monroe</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0</v>
      </c>
      <c r="I111" s="873">
        <f>IF($B111="","",SUMPRODUCT(--(Lineups!S$46:S$83=$B111),--(Lineups!A$46:A$83&lt;&gt;"SP")))</f>
        <v>0</v>
      </c>
      <c r="J111" s="877">
        <f t="shared" si="212"/>
        <v>0</v>
      </c>
      <c r="K111" s="878">
        <f t="shared" si="213"/>
        <v>0</v>
      </c>
      <c r="L111" s="877">
        <f t="shared" si="214"/>
        <v>0</v>
      </c>
      <c r="M111" s="878">
        <f t="shared" si="215"/>
        <v>0</v>
      </c>
      <c r="N111" s="879" t="str">
        <f>IF(B111="","",IF(OR(SK!E182="",SK!E182=0),"",SK!H182))</f>
        <v/>
      </c>
      <c r="O111" s="877">
        <f>IF($B111="","",SUMPRODUCT(--(Lineups!C$46:C$83=$B111)))</f>
        <v>0</v>
      </c>
      <c r="P111" s="878">
        <f t="shared" si="216"/>
        <v>0</v>
      </c>
      <c r="Q111" s="877">
        <f t="shared" si="217"/>
        <v>0</v>
      </c>
      <c r="R111" s="878">
        <f t="shared" si="218"/>
        <v>0</v>
      </c>
      <c r="S111" s="43"/>
      <c r="T111" s="875">
        <f t="shared" si="219"/>
        <v>4</v>
      </c>
      <c r="U111" s="876" t="str">
        <f t="shared" ref="U111:V111" si="232">U12</f>
        <v>13</v>
      </c>
      <c r="V111" s="876" t="str">
        <f t="shared" si="232"/>
        <v>Libido Loca</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t="str">
        <f>IF(U111="","",IF(OR(SK!U182="",SK!U182=0),"",SK!X182))</f>
        <v/>
      </c>
      <c r="AH111" s="877">
        <f>IF($U111="","",SUMPRODUCT(--(Lineups!AC$46:AC$83=$U111)))</f>
        <v>0</v>
      </c>
      <c r="AI111" s="878">
        <f t="shared" si="226"/>
        <v>0</v>
      </c>
      <c r="AJ111" s="877">
        <f t="shared" si="227"/>
        <v>0</v>
      </c>
      <c r="AK111" s="878">
        <f t="shared" si="228"/>
        <v>0</v>
      </c>
    </row>
    <row r="112" ht="13.5" customHeight="1">
      <c r="A112" s="5">
        <f t="shared" si="209"/>
        <v>5</v>
      </c>
      <c r="B112" s="871" t="str">
        <f t="shared" ref="B112:C112" si="233">B13</f>
        <v>22*</v>
      </c>
      <c r="C112" s="871" t="str">
        <f t="shared" si="233"/>
        <v>Meche</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0</v>
      </c>
      <c r="M112" s="872">
        <f t="shared" si="215"/>
        <v>0</v>
      </c>
      <c r="N112" s="874" t="str">
        <f>IF(B112="","",IF(OR(SK!E185="",SK!E185=0),"",SK!H185))</f>
        <v/>
      </c>
      <c r="O112" s="43">
        <f>IF($B112="","",SUMPRODUCT(--(Lineups!C$46:C$83=$B112)))</f>
        <v>0</v>
      </c>
      <c r="P112" s="872">
        <f t="shared" si="216"/>
        <v>0</v>
      </c>
      <c r="Q112" s="43">
        <f t="shared" si="217"/>
        <v>0</v>
      </c>
      <c r="R112" s="872">
        <f t="shared" si="218"/>
        <v>0</v>
      </c>
      <c r="S112" s="43"/>
      <c r="T112" s="5">
        <f t="shared" si="219"/>
        <v>5</v>
      </c>
      <c r="U112" s="871" t="str">
        <f t="shared" ref="U112:V112" si="234">U13</f>
        <v>15</v>
      </c>
      <c r="V112" s="871" t="str">
        <f t="shared" si="234"/>
        <v>Harley Darlin</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f>IF(U112="","",IF(OR(SK!U185="",SK!U185=0),"",SK!X185))</f>
        <v>1</v>
      </c>
      <c r="AH112" s="43">
        <f>IF($U112="","",SUMPRODUCT(--(Lineups!AC$46:AC$83=$U112)))</f>
        <v>6</v>
      </c>
      <c r="AI112" s="872">
        <f t="shared" si="226"/>
        <v>0.3</v>
      </c>
      <c r="AJ112" s="43">
        <f t="shared" si="227"/>
        <v>6</v>
      </c>
      <c r="AK112" s="872">
        <f t="shared" si="228"/>
        <v>0.3</v>
      </c>
    </row>
    <row r="113" ht="13.5" customHeight="1">
      <c r="A113" s="875">
        <f t="shared" si="209"/>
        <v>6</v>
      </c>
      <c r="B113" s="876" t="str">
        <f t="shared" ref="B113:C113" si="235">B14</f>
        <v>24</v>
      </c>
      <c r="C113" s="876" t="str">
        <f t="shared" si="235"/>
        <v>Ima BlowBya</v>
      </c>
      <c r="D113" s="877">
        <f>IF($B113="","",SUMPRODUCT(--(Lineups!G$46:G$83=$B113),--(Lineups!B$46:B$83="")))</f>
        <v>0</v>
      </c>
      <c r="E113" s="878">
        <f t="shared" si="211"/>
        <v>0</v>
      </c>
      <c r="F113" s="873">
        <f>IF($B113="","",SUMPRODUCT(--(Lineups!G$46:G$83=$B113),--(Lineups!B$46:B$83="X")))</f>
        <v>0</v>
      </c>
      <c r="G113" s="873">
        <f>IF($B113="","",SUMPRODUCT(--(Lineups!K$46:K$83=$B113),--(Lineups!A$46:A$83&lt;&gt;"SP")))</f>
        <v>3</v>
      </c>
      <c r="H113" s="873">
        <f>IF($B113="","",SUMPRODUCT(--(Lineups!O$46:O$83=$B113),--(Lineups!A$46:A$83&lt;&gt;"SP")))</f>
        <v>2</v>
      </c>
      <c r="I113" s="873">
        <f>IF($B113="","",SUMPRODUCT(--(Lineups!S$46:S$83=$B113),--(Lineups!A$46:A$83&lt;&gt;"SP")))</f>
        <v>4</v>
      </c>
      <c r="J113" s="877">
        <f t="shared" si="212"/>
        <v>9</v>
      </c>
      <c r="K113" s="878">
        <f t="shared" si="213"/>
        <v>0.45</v>
      </c>
      <c r="L113" s="877">
        <f t="shared" si="214"/>
        <v>9</v>
      </c>
      <c r="M113" s="878">
        <f t="shared" si="215"/>
        <v>0.45</v>
      </c>
      <c r="N113" s="879" t="str">
        <f>IF(B113="","",IF(OR(SK!E188="",SK!E188=0),"",SK!H188))</f>
        <v/>
      </c>
      <c r="O113" s="877">
        <f>IF($B113="","",SUMPRODUCT(--(Lineups!C$46:C$83=$B113)))</f>
        <v>0</v>
      </c>
      <c r="P113" s="878">
        <f t="shared" si="216"/>
        <v>0</v>
      </c>
      <c r="Q113" s="877">
        <f t="shared" si="217"/>
        <v>9</v>
      </c>
      <c r="R113" s="878">
        <f t="shared" si="218"/>
        <v>0.45</v>
      </c>
      <c r="S113" s="43"/>
      <c r="T113" s="875">
        <f t="shared" si="219"/>
        <v>6</v>
      </c>
      <c r="U113" s="876" t="str">
        <f t="shared" ref="U113:V113" si="236">U14</f>
        <v>21*</v>
      </c>
      <c r="V113" s="876" t="str">
        <f t="shared" si="236"/>
        <v>Agatha KrisB</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t="str">
        <f>IF(U113="","",IF(OR(SK!U188="",SK!U188=0),"",SK!X188))</f>
        <v/>
      </c>
      <c r="AH113" s="877">
        <f>IF($U113="","",SUMPRODUCT(--(Lineups!AC$46:AC$83=$U113)))</f>
        <v>0</v>
      </c>
      <c r="AI113" s="878">
        <f t="shared" si="226"/>
        <v>0</v>
      </c>
      <c r="AJ113" s="877">
        <f t="shared" si="227"/>
        <v>0</v>
      </c>
      <c r="AK113" s="878">
        <f t="shared" si="228"/>
        <v>0</v>
      </c>
    </row>
    <row r="114" ht="13.5" customHeight="1">
      <c r="A114" s="5">
        <f t="shared" si="209"/>
        <v>7</v>
      </c>
      <c r="B114" s="871" t="str">
        <f t="shared" ref="B114:C114" si="237">B15</f>
        <v>264</v>
      </c>
      <c r="C114" s="871" t="str">
        <f t="shared" si="237"/>
        <v>Velasco Sauce</v>
      </c>
      <c r="D114" s="43">
        <f>IF($B114="","",SUMPRODUCT(--(Lineups!G$46:G$83=$B114),--(Lineups!B$46:B$83="")))</f>
        <v>0</v>
      </c>
      <c r="E114" s="872">
        <f t="shared" si="211"/>
        <v>0</v>
      </c>
      <c r="F114" s="873">
        <f>IF($B114="","",SUMPRODUCT(--(Lineups!G$46:G$83=$B114),--(Lineups!B$46:B$83="X")))</f>
        <v>0</v>
      </c>
      <c r="G114" s="873">
        <f>IF($B114="","",SUMPRODUCT(--(Lineups!K$46:K$83=$B114),--(Lineups!A$46:A$83&lt;&gt;"SP")))</f>
        <v>1</v>
      </c>
      <c r="H114" s="873">
        <f>IF($B114="","",SUMPRODUCT(--(Lineups!O$46:O$83=$B114),--(Lineups!A$46:A$83&lt;&gt;"SP")))</f>
        <v>3</v>
      </c>
      <c r="I114" s="873">
        <f>IF($B114="","",SUMPRODUCT(--(Lineups!S$46:S$83=$B114),--(Lineups!A$46:A$83&lt;&gt;"SP")))</f>
        <v>3</v>
      </c>
      <c r="J114" s="43">
        <f t="shared" si="212"/>
        <v>7</v>
      </c>
      <c r="K114" s="872">
        <f t="shared" si="213"/>
        <v>0.35</v>
      </c>
      <c r="L114" s="43">
        <f t="shared" si="214"/>
        <v>7</v>
      </c>
      <c r="M114" s="872">
        <f t="shared" si="215"/>
        <v>0.35</v>
      </c>
      <c r="N114" s="874" t="str">
        <f>IF(B114="","",IF(OR(SK!E191="",SK!E191=0),"",SK!H191))</f>
        <v/>
      </c>
      <c r="O114" s="43">
        <f>IF($B114="","",SUMPRODUCT(--(Lineups!C$46:C$83=$B114)))</f>
        <v>0</v>
      </c>
      <c r="P114" s="872">
        <f t="shared" si="216"/>
        <v>0</v>
      </c>
      <c r="Q114" s="43">
        <f t="shared" si="217"/>
        <v>7</v>
      </c>
      <c r="R114" s="872">
        <f t="shared" si="218"/>
        <v>0.35</v>
      </c>
      <c r="S114" s="43"/>
      <c r="T114" s="5">
        <f t="shared" si="219"/>
        <v>7</v>
      </c>
      <c r="U114" s="871" t="str">
        <f t="shared" ref="U114:V114" si="238">U15</f>
        <v>213</v>
      </c>
      <c r="V114" s="871" t="str">
        <f t="shared" si="238"/>
        <v>IceBox</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3</v>
      </c>
      <c r="AB114" s="873">
        <f>IF($U114="","",SUMPRODUCT(--(Lineups!AS$46:AS$83=$U114),--(Lineups!AA$46:AA$83&lt;&gt;"SP")))</f>
        <v>8</v>
      </c>
      <c r="AC114" s="43">
        <f t="shared" si="222"/>
        <v>11</v>
      </c>
      <c r="AD114" s="872">
        <f t="shared" si="223"/>
        <v>0.55</v>
      </c>
      <c r="AE114" s="43">
        <f t="shared" si="224"/>
        <v>11</v>
      </c>
      <c r="AF114" s="872">
        <f t="shared" si="225"/>
        <v>0.55</v>
      </c>
      <c r="AG114" s="874" t="str">
        <f>IF(U114="","",IF(OR(SK!U191="",SK!U191=0),"",SK!X191))</f>
        <v/>
      </c>
      <c r="AH114" s="43">
        <f>IF($U114="","",SUMPRODUCT(--(Lineups!AC$46:AC$83=$U114)))</f>
        <v>0</v>
      </c>
      <c r="AI114" s="872">
        <f t="shared" si="226"/>
        <v>0</v>
      </c>
      <c r="AJ114" s="43">
        <f t="shared" si="227"/>
        <v>11</v>
      </c>
      <c r="AK114" s="872">
        <f t="shared" si="228"/>
        <v>0.55</v>
      </c>
    </row>
    <row r="115" ht="13.5" customHeight="1">
      <c r="A115" s="875">
        <f t="shared" si="209"/>
        <v>8</v>
      </c>
      <c r="B115" s="876" t="str">
        <f t="shared" ref="B115:C115" si="239">B16</f>
        <v>27*</v>
      </c>
      <c r="C115" s="876" t="str">
        <f t="shared" si="239"/>
        <v>Babethoven</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t="str">
        <f>IF(B115="","",IF(OR(SK!E194="",SK!E194=0),"",SK!H194))</f>
        <v/>
      </c>
      <c r="O115" s="877">
        <f>IF($B115="","",SUMPRODUCT(--(Lineups!C$46:C$83=$B115)))</f>
        <v>0</v>
      </c>
      <c r="P115" s="878">
        <f t="shared" si="216"/>
        <v>0</v>
      </c>
      <c r="Q115" s="877">
        <f t="shared" si="217"/>
        <v>0</v>
      </c>
      <c r="R115" s="878">
        <f t="shared" si="218"/>
        <v>0</v>
      </c>
      <c r="S115" s="43"/>
      <c r="T115" s="875">
        <f t="shared" si="219"/>
        <v>8</v>
      </c>
      <c r="U115" s="876" t="str">
        <f t="shared" ref="U115:V115" si="240">U16</f>
        <v>221</v>
      </c>
      <c r="V115" s="876" t="str">
        <f t="shared" si="240"/>
        <v>Syann</v>
      </c>
      <c r="W115" s="877">
        <f>IF($U115="","",SUMPRODUCT(--(Lineups!AG$46:AG$83=$U115),--(Lineups!AB$46:AB$83="")))</f>
        <v>0</v>
      </c>
      <c r="X115" s="878">
        <f t="shared" si="221"/>
        <v>0</v>
      </c>
      <c r="Y115" s="873">
        <f>IF($U115="","",SUMPRODUCT(--(Lineups!AG$46:AG$83=$U115),--(Lineups!AB$46:AB$83="X")))</f>
        <v>1</v>
      </c>
      <c r="Z115" s="873">
        <f>IF($U115="","",SUMPRODUCT(--(Lineups!AK$46:AK$83=$U115),--(Lineups!AA$46:AA$83&lt;&gt;"SP")))</f>
        <v>0</v>
      </c>
      <c r="AA115" s="873">
        <f>IF($U115="","",SUMPRODUCT(--(Lineups!AO$46:AO$83=$U115),--(Lineups!AA$46:AA$83&lt;&gt;"SP")))</f>
        <v>0</v>
      </c>
      <c r="AB115" s="873">
        <f>IF($U115="","",SUMPRODUCT(--(Lineups!AS$46:AS$83=$U115),--(Lineups!AA$46:AA$83&lt;&gt;"SP")))</f>
        <v>0</v>
      </c>
      <c r="AC115" s="877">
        <f t="shared" si="222"/>
        <v>1</v>
      </c>
      <c r="AD115" s="878">
        <f t="shared" si="223"/>
        <v>0.05</v>
      </c>
      <c r="AE115" s="877">
        <f t="shared" si="224"/>
        <v>1</v>
      </c>
      <c r="AF115" s="878">
        <f t="shared" si="225"/>
        <v>0.05</v>
      </c>
      <c r="AG115" s="879">
        <f>IF(U115="","",IF(OR(SK!U194="",SK!U194=0),"",SK!X194))</f>
        <v>0</v>
      </c>
      <c r="AH115" s="877">
        <f>IF($U115="","",SUMPRODUCT(--(Lineups!AC$46:AC$83=$U115)))</f>
        <v>1</v>
      </c>
      <c r="AI115" s="878">
        <f t="shared" si="226"/>
        <v>0.05</v>
      </c>
      <c r="AJ115" s="877">
        <f t="shared" si="227"/>
        <v>2</v>
      </c>
      <c r="AK115" s="878">
        <f t="shared" si="228"/>
        <v>0.1</v>
      </c>
    </row>
    <row r="116" ht="13.5" customHeight="1">
      <c r="A116" s="5">
        <f t="shared" si="209"/>
        <v>9</v>
      </c>
      <c r="B116" s="871" t="str">
        <f t="shared" ref="B116:C116" si="241">B17</f>
        <v>3</v>
      </c>
      <c r="C116" s="871" t="str">
        <f t="shared" si="241"/>
        <v>Alexia</v>
      </c>
      <c r="D116" s="43">
        <f>IF($B116="","",SUMPRODUCT(--(Lineups!G$46:G$83=$B116),--(Lineups!B$46:B$83="")))</f>
        <v>0</v>
      </c>
      <c r="E116" s="872">
        <f t="shared" si="211"/>
        <v>0</v>
      </c>
      <c r="F116" s="873">
        <f>IF($B116="","",SUMPRODUCT(--(Lineups!G$46:G$83=$B116),--(Lineups!B$46:B$83="X")))</f>
        <v>1</v>
      </c>
      <c r="G116" s="873">
        <f>IF($B116="","",SUMPRODUCT(--(Lineups!K$46:K$83=$B116),--(Lineups!A$46:A$83&lt;&gt;"SP")))</f>
        <v>2</v>
      </c>
      <c r="H116" s="873">
        <f>IF($B116="","",SUMPRODUCT(--(Lineups!O$46:O$83=$B116),--(Lineups!A$46:A$83&lt;&gt;"SP")))</f>
        <v>0</v>
      </c>
      <c r="I116" s="873">
        <f>IF($B116="","",SUMPRODUCT(--(Lineups!S$46:S$83=$B116),--(Lineups!A$46:A$83&lt;&gt;"SP")))</f>
        <v>2</v>
      </c>
      <c r="J116" s="43">
        <f t="shared" si="212"/>
        <v>5</v>
      </c>
      <c r="K116" s="872">
        <f t="shared" si="213"/>
        <v>0.25</v>
      </c>
      <c r="L116" s="43">
        <f t="shared" si="214"/>
        <v>5</v>
      </c>
      <c r="M116" s="872">
        <f t="shared" si="215"/>
        <v>0.25</v>
      </c>
      <c r="N116" s="874">
        <f>IF(B116="","",IF(OR(SK!E197="",SK!E197=0),"",SK!H197))</f>
        <v>0</v>
      </c>
      <c r="O116" s="43">
        <f>IF($B116="","",SUMPRODUCT(--(Lineups!C$46:C$83=$B116)))</f>
        <v>1</v>
      </c>
      <c r="P116" s="872">
        <f t="shared" si="216"/>
        <v>0.05</v>
      </c>
      <c r="Q116" s="43">
        <f t="shared" si="217"/>
        <v>6</v>
      </c>
      <c r="R116" s="872">
        <f t="shared" si="218"/>
        <v>0.3</v>
      </c>
      <c r="S116" s="43"/>
      <c r="T116" s="5">
        <f t="shared" si="219"/>
        <v>9</v>
      </c>
      <c r="U116" s="871" t="str">
        <f t="shared" ref="U116:V116" si="242">U17</f>
        <v>28</v>
      </c>
      <c r="V116" s="871" t="str">
        <f t="shared" si="242"/>
        <v>Hot Box</v>
      </c>
      <c r="W116" s="43">
        <f>IF($U116="","",SUMPRODUCT(--(Lineups!AG$46:AG$83=$U116),--(Lineups!AB$46:AB$83="")))</f>
        <v>9</v>
      </c>
      <c r="X116" s="872">
        <f t="shared" si="221"/>
        <v>0.45</v>
      </c>
      <c r="Y116" s="873">
        <f>IF($U116="","",SUMPRODUCT(--(Lineups!AG$46:AG$83=$U116),--(Lineups!AB$46:AB$83="X")))</f>
        <v>0</v>
      </c>
      <c r="Z116" s="873">
        <f>IF($U116="","",SUMPRODUCT(--(Lineups!AK$46:AK$83=$U116),--(Lineups!AA$46:AA$83&lt;&gt;"SP")))</f>
        <v>0</v>
      </c>
      <c r="AA116" s="873">
        <f>IF($U116="","",SUMPRODUCT(--(Lineups!AO$46:AO$83=$U116),--(Lineups!AA$46:AA$83&lt;&gt;"SP")))</f>
        <v>1</v>
      </c>
      <c r="AB116" s="873">
        <f>IF($U116="","",SUMPRODUCT(--(Lineups!AS$46:AS$83=$U116),--(Lineups!AA$46:AA$83&lt;&gt;"SP")))</f>
        <v>0</v>
      </c>
      <c r="AC116" s="43">
        <f t="shared" si="222"/>
        <v>1</v>
      </c>
      <c r="AD116" s="872">
        <f t="shared" si="223"/>
        <v>0.05</v>
      </c>
      <c r="AE116" s="43">
        <f t="shared" si="224"/>
        <v>10</v>
      </c>
      <c r="AF116" s="872">
        <f t="shared" si="225"/>
        <v>0.5</v>
      </c>
      <c r="AG116" s="874">
        <f>IF(U116="","",IF(OR(SK!U197="",SK!U197=0),"",SK!X197))</f>
        <v>0</v>
      </c>
      <c r="AH116" s="43">
        <f>IF($U116="","",SUMPRODUCT(--(Lineups!AC$46:AC$83=$U116)))</f>
        <v>2</v>
      </c>
      <c r="AI116" s="872">
        <f t="shared" si="226"/>
        <v>0.1</v>
      </c>
      <c r="AJ116" s="43">
        <f t="shared" si="227"/>
        <v>12</v>
      </c>
      <c r="AK116" s="872">
        <f t="shared" si="228"/>
        <v>0.6</v>
      </c>
    </row>
    <row r="117" ht="13.5" customHeight="1">
      <c r="A117" s="875">
        <f t="shared" si="209"/>
        <v>10</v>
      </c>
      <c r="B117" s="876" t="str">
        <f t="shared" ref="B117:C117" si="243">B18</f>
        <v>31</v>
      </c>
      <c r="C117" s="876" t="str">
        <f t="shared" si="243"/>
        <v>2x Force</v>
      </c>
      <c r="D117" s="877">
        <f>IF($B117="","",SUMPRODUCT(--(Lineups!G$46:G$83=$B117),--(Lineups!B$46:B$83="")))</f>
        <v>0</v>
      </c>
      <c r="E117" s="878">
        <f t="shared" si="211"/>
        <v>0</v>
      </c>
      <c r="F117" s="873">
        <f>IF($B117="","",SUMPRODUCT(--(Lineups!G$46:G$83=$B117),--(Lineups!B$46:B$83="X")))</f>
        <v>0</v>
      </c>
      <c r="G117" s="873">
        <f>IF($B117="","",SUMPRODUCT(--(Lineups!K$46:K$83=$B117),--(Lineups!A$46:A$83&lt;&gt;"SP")))</f>
        <v>3</v>
      </c>
      <c r="H117" s="873">
        <f>IF($B117="","",SUMPRODUCT(--(Lineups!O$46:O$83=$B117),--(Lineups!A$46:A$83&lt;&gt;"SP")))</f>
        <v>4</v>
      </c>
      <c r="I117" s="873">
        <f>IF($B117="","",SUMPRODUCT(--(Lineups!S$46:S$83=$B117),--(Lineups!A$46:A$83&lt;&gt;"SP")))</f>
        <v>0</v>
      </c>
      <c r="J117" s="877">
        <f t="shared" si="212"/>
        <v>7</v>
      </c>
      <c r="K117" s="878">
        <f t="shared" si="213"/>
        <v>0.35</v>
      </c>
      <c r="L117" s="877">
        <f t="shared" si="214"/>
        <v>7</v>
      </c>
      <c r="M117" s="878">
        <f t="shared" si="215"/>
        <v>0.35</v>
      </c>
      <c r="N117" s="879" t="str">
        <f>IF(B117="","",IF(OR(SK!E200="",SK!E200=0),"",SK!H200))</f>
        <v/>
      </c>
      <c r="O117" s="877">
        <f>IF($B117="","",SUMPRODUCT(--(Lineups!C$46:C$83=$B117)))</f>
        <v>0</v>
      </c>
      <c r="P117" s="878">
        <f t="shared" si="216"/>
        <v>0</v>
      </c>
      <c r="Q117" s="877">
        <f t="shared" si="217"/>
        <v>7</v>
      </c>
      <c r="R117" s="878">
        <f t="shared" si="218"/>
        <v>0.35</v>
      </c>
      <c r="S117" s="43"/>
      <c r="T117" s="875">
        <f t="shared" si="219"/>
        <v>10</v>
      </c>
      <c r="U117" s="876" t="str">
        <f t="shared" ref="U117:V117" si="244">U18</f>
        <v>321</v>
      </c>
      <c r="V117" s="876" t="str">
        <f t="shared" si="244"/>
        <v>Rockit</v>
      </c>
      <c r="W117" s="877">
        <f>IF($U117="","",SUMPRODUCT(--(Lineups!AG$46:AG$83=$U117),--(Lineups!AB$46:AB$83="")))</f>
        <v>0</v>
      </c>
      <c r="X117" s="878">
        <f t="shared" si="221"/>
        <v>0</v>
      </c>
      <c r="Y117" s="873">
        <f>IF($U117="","",SUMPRODUCT(--(Lineups!AG$46:AG$83=$U117),--(Lineups!AB$46:AB$83="X")))</f>
        <v>0</v>
      </c>
      <c r="Z117" s="873">
        <f>IF($U117="","",SUMPRODUCT(--(Lineups!AK$46:AK$83=$U117),--(Lineups!AA$46:AA$83&lt;&gt;"SP")))</f>
        <v>3</v>
      </c>
      <c r="AA117" s="873">
        <f>IF($U117="","",SUMPRODUCT(--(Lineups!AO$46:AO$83=$U117),--(Lineups!AA$46:AA$83&lt;&gt;"SP")))</f>
        <v>4</v>
      </c>
      <c r="AB117" s="873">
        <f>IF($U117="","",SUMPRODUCT(--(Lineups!AS$46:AS$83=$U117),--(Lineups!AA$46:AA$83&lt;&gt;"SP")))</f>
        <v>4</v>
      </c>
      <c r="AC117" s="877">
        <f t="shared" si="222"/>
        <v>11</v>
      </c>
      <c r="AD117" s="878">
        <f t="shared" si="223"/>
        <v>0.55</v>
      </c>
      <c r="AE117" s="877">
        <f t="shared" si="224"/>
        <v>11</v>
      </c>
      <c r="AF117" s="878">
        <f t="shared" si="225"/>
        <v>0.55</v>
      </c>
      <c r="AG117" s="879" t="str">
        <f>IF(U117="","",IF(OR(SK!U200="",SK!U200=0),"",SK!X200))</f>
        <v/>
      </c>
      <c r="AH117" s="877">
        <f>IF($U117="","",SUMPRODUCT(--(Lineups!AC$46:AC$83=$U117)))</f>
        <v>0</v>
      </c>
      <c r="AI117" s="878">
        <f t="shared" si="226"/>
        <v>0</v>
      </c>
      <c r="AJ117" s="877">
        <f t="shared" si="227"/>
        <v>11</v>
      </c>
      <c r="AK117" s="878">
        <f t="shared" si="228"/>
        <v>0.55</v>
      </c>
    </row>
    <row r="118" ht="13.5" customHeight="1">
      <c r="A118" s="5">
        <f t="shared" si="209"/>
        <v>11</v>
      </c>
      <c r="B118" s="871" t="str">
        <f t="shared" ref="B118:C118" si="245">B19</f>
        <v>313</v>
      </c>
      <c r="C118" s="871" t="str">
        <f t="shared" si="245"/>
        <v>WestCoast MaFia</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4</v>
      </c>
      <c r="O118" s="43">
        <f>IF($B118="","",SUMPRODUCT(--(Lineups!C$46:C$83=$B118)))</f>
        <v>4</v>
      </c>
      <c r="P118" s="872">
        <f t="shared" si="216"/>
        <v>0.2</v>
      </c>
      <c r="Q118" s="43">
        <f t="shared" si="217"/>
        <v>4</v>
      </c>
      <c r="R118" s="872">
        <f t="shared" si="218"/>
        <v>0.2</v>
      </c>
      <c r="S118" s="43"/>
      <c r="T118" s="5">
        <f t="shared" si="219"/>
        <v>11</v>
      </c>
      <c r="U118" s="871" t="str">
        <f t="shared" ref="U118:V118" si="246">U19</f>
        <v>329</v>
      </c>
      <c r="V118" s="871" t="str">
        <f t="shared" si="246"/>
        <v>Triple Axel Rose</v>
      </c>
      <c r="W118" s="43">
        <f>IF($U118="","",SUMPRODUCT(--(Lineups!AG$46:AG$83=$U118),--(Lineups!AB$46:AB$83="")))</f>
        <v>0</v>
      </c>
      <c r="X118" s="872">
        <f t="shared" si="221"/>
        <v>0</v>
      </c>
      <c r="Y118" s="873">
        <f>IF($U118="","",SUMPRODUCT(--(Lineups!AG$46:AG$83=$U118),--(Lineups!AB$46:AB$83="X")))</f>
        <v>3</v>
      </c>
      <c r="Z118" s="873">
        <f>IF($U118="","",SUMPRODUCT(--(Lineups!AK$46:AK$83=$U118),--(Lineups!AA$46:AA$83&lt;&gt;"SP")))</f>
        <v>0</v>
      </c>
      <c r="AA118" s="873">
        <f>IF($U118="","",SUMPRODUCT(--(Lineups!AO$46:AO$83=$U118),--(Lineups!AA$46:AA$83&lt;&gt;"SP")))</f>
        <v>0</v>
      </c>
      <c r="AB118" s="873">
        <f>IF($U118="","",SUMPRODUCT(--(Lineups!AS$46:AS$83=$U118),--(Lineups!AA$46:AA$83&lt;&gt;"SP")))</f>
        <v>0</v>
      </c>
      <c r="AC118" s="43">
        <f t="shared" si="222"/>
        <v>3</v>
      </c>
      <c r="AD118" s="872">
        <f t="shared" si="223"/>
        <v>0.15</v>
      </c>
      <c r="AE118" s="43">
        <f t="shared" si="224"/>
        <v>3</v>
      </c>
      <c r="AF118" s="872">
        <f t="shared" si="225"/>
        <v>0.15</v>
      </c>
      <c r="AG118" s="874">
        <f>IF(U118="","",IF(OR(SK!U203="",SK!U203=0),"",SK!X203))</f>
        <v>1</v>
      </c>
      <c r="AH118" s="43">
        <f>IF($U118="","",SUMPRODUCT(--(Lineups!AC$46:AC$83=$U118)))</f>
        <v>7</v>
      </c>
      <c r="AI118" s="872">
        <f t="shared" si="226"/>
        <v>0.35</v>
      </c>
      <c r="AJ118" s="43">
        <f t="shared" si="227"/>
        <v>10</v>
      </c>
      <c r="AK118" s="872">
        <f t="shared" si="228"/>
        <v>0.5</v>
      </c>
    </row>
    <row r="119" ht="13.5" customHeight="1">
      <c r="A119" s="875">
        <f t="shared" si="209"/>
        <v>12</v>
      </c>
      <c r="B119" s="876" t="str">
        <f t="shared" ref="B119:C119" si="247">B20</f>
        <v>3381</v>
      </c>
      <c r="C119" s="876" t="str">
        <f t="shared" si="247"/>
        <v>Hella Naughty</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f>IF(B119="","",IF(OR(SK!E206="",SK!E206=0),"",SK!H206))</f>
        <v>3</v>
      </c>
      <c r="O119" s="877">
        <f>IF($B119="","",SUMPRODUCT(--(Lineups!C$46:C$83=$B119)))</f>
        <v>3</v>
      </c>
      <c r="P119" s="878">
        <f t="shared" si="216"/>
        <v>0.15</v>
      </c>
      <c r="Q119" s="877">
        <f t="shared" si="217"/>
        <v>3</v>
      </c>
      <c r="R119" s="878">
        <f t="shared" si="218"/>
        <v>0.15</v>
      </c>
      <c r="S119" s="43"/>
      <c r="T119" s="875">
        <f t="shared" si="219"/>
        <v>12</v>
      </c>
      <c r="U119" s="876" t="str">
        <f t="shared" ref="U119:V119" si="248">U20</f>
        <v>410</v>
      </c>
      <c r="V119" s="876" t="str">
        <f t="shared" si="248"/>
        <v>Ricketts</v>
      </c>
      <c r="W119" s="877">
        <f>IF($U119="","",SUMPRODUCT(--(Lineups!AG$46:AG$83=$U119),--(Lineups!AB$46:AB$83="")))</f>
        <v>0</v>
      </c>
      <c r="X119" s="878">
        <f t="shared" si="221"/>
        <v>0</v>
      </c>
      <c r="Y119" s="873">
        <f>IF($U119="","",SUMPRODUCT(--(Lineups!AG$46:AG$83=$U119),--(Lineups!AB$46:AB$83="X")))</f>
        <v>0</v>
      </c>
      <c r="Z119" s="873">
        <f>IF($U119="","",SUMPRODUCT(--(Lineups!AK$46:AK$83=$U119),--(Lineups!AA$46:AA$83&lt;&gt;"SP")))</f>
        <v>1</v>
      </c>
      <c r="AA119" s="873">
        <f>IF($U119="","",SUMPRODUCT(--(Lineups!AO$46:AO$83=$U119),--(Lineups!AA$46:AA$83&lt;&gt;"SP")))</f>
        <v>7</v>
      </c>
      <c r="AB119" s="873">
        <f>IF($U119="","",SUMPRODUCT(--(Lineups!AS$46:AS$83=$U119),--(Lineups!AA$46:AA$83&lt;&gt;"SP")))</f>
        <v>1</v>
      </c>
      <c r="AC119" s="877">
        <f t="shared" si="222"/>
        <v>9</v>
      </c>
      <c r="AD119" s="878">
        <f t="shared" si="223"/>
        <v>0.45</v>
      </c>
      <c r="AE119" s="877">
        <f t="shared" si="224"/>
        <v>9</v>
      </c>
      <c r="AF119" s="878">
        <f t="shared" si="225"/>
        <v>0.45</v>
      </c>
      <c r="AG119" s="879" t="str">
        <f>IF(U119="","",IF(OR(SK!U206="",SK!U206=0),"",SK!X206))</f>
        <v/>
      </c>
      <c r="AH119" s="877">
        <f>IF($U119="","",SUMPRODUCT(--(Lineups!AC$46:AC$83=$U119)))</f>
        <v>0</v>
      </c>
      <c r="AI119" s="878">
        <f t="shared" si="226"/>
        <v>0</v>
      </c>
      <c r="AJ119" s="877">
        <f t="shared" si="227"/>
        <v>9</v>
      </c>
      <c r="AK119" s="878">
        <f t="shared" si="228"/>
        <v>0.45</v>
      </c>
    </row>
    <row r="120" ht="13.5" customHeight="1">
      <c r="A120" s="5">
        <f t="shared" si="209"/>
        <v>13</v>
      </c>
      <c r="B120" s="871" t="str">
        <f t="shared" ref="B120:C120" si="249">B21</f>
        <v>38</v>
      </c>
      <c r="C120" s="871" t="str">
        <f t="shared" si="249"/>
        <v>Colette Razorcat</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1</v>
      </c>
      <c r="I120" s="873">
        <f>IF($B120="","",SUMPRODUCT(--(Lineups!S$46:S$83=$B120),--(Lineups!A$46:A$83&lt;&gt;"SP")))</f>
        <v>4</v>
      </c>
      <c r="J120" s="43">
        <f t="shared" si="212"/>
        <v>5</v>
      </c>
      <c r="K120" s="872">
        <f t="shared" si="213"/>
        <v>0.25</v>
      </c>
      <c r="L120" s="43">
        <f t="shared" si="214"/>
        <v>5</v>
      </c>
      <c r="M120" s="872">
        <f t="shared" si="215"/>
        <v>0.25</v>
      </c>
      <c r="N120" s="874">
        <f>IF(B120="","",IF(OR(SK!E209="",SK!E209=0),"",SK!H209))</f>
        <v>0</v>
      </c>
      <c r="O120" s="43">
        <f>IF($B120="","",SUMPRODUCT(--(Lineups!C$46:C$83=$B120)))</f>
        <v>2</v>
      </c>
      <c r="P120" s="872">
        <f t="shared" si="216"/>
        <v>0.1</v>
      </c>
      <c r="Q120" s="43">
        <f t="shared" si="217"/>
        <v>7</v>
      </c>
      <c r="R120" s="872">
        <f t="shared" si="218"/>
        <v>0.35</v>
      </c>
      <c r="S120" s="43"/>
      <c r="T120" s="5">
        <f t="shared" si="219"/>
        <v>13</v>
      </c>
      <c r="U120" s="871" t="str">
        <f t="shared" ref="U120:V120" si="250">U21</f>
        <v>47</v>
      </c>
      <c r="V120" s="871" t="str">
        <f t="shared" si="250"/>
        <v>Author of Pain</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394</v>
      </c>
      <c r="C121" s="876" t="str">
        <f t="shared" si="251"/>
        <v>Punkie Pie</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f>IF(B121="","",IF(OR(SK!E212="",SK!E212=0),"",SK!H212))</f>
        <v>5</v>
      </c>
      <c r="O121" s="877">
        <f>IF($B121="","",SUMPRODUCT(--(Lineups!C$46:C$83=$B121)))</f>
        <v>5</v>
      </c>
      <c r="P121" s="878">
        <f t="shared" si="216"/>
        <v>0.25</v>
      </c>
      <c r="Q121" s="877">
        <f t="shared" si="217"/>
        <v>5</v>
      </c>
      <c r="R121" s="878">
        <f t="shared" si="218"/>
        <v>0.25</v>
      </c>
      <c r="S121" s="43"/>
      <c r="T121" s="875">
        <f t="shared" si="219"/>
        <v>14</v>
      </c>
      <c r="U121" s="876" t="str">
        <f t="shared" ref="U121:V121" si="252">U22</f>
        <v>484*</v>
      </c>
      <c r="V121" s="876" t="str">
        <f t="shared" si="252"/>
        <v>Gemineye</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t="str">
        <f>IF(U121="","",IF(OR(SK!U212="",SK!U212=0),"",SK!X212))</f>
        <v/>
      </c>
      <c r="AH121" s="877">
        <f>IF($U121="","",SUMPRODUCT(--(Lineups!AC$46:AC$83=$U121)))</f>
        <v>0</v>
      </c>
      <c r="AI121" s="878">
        <f t="shared" si="226"/>
        <v>0</v>
      </c>
      <c r="AJ121" s="877">
        <f t="shared" si="227"/>
        <v>0</v>
      </c>
      <c r="AK121" s="878">
        <f t="shared" si="228"/>
        <v>0</v>
      </c>
    </row>
    <row r="122" ht="13.5" customHeight="1">
      <c r="A122" s="5">
        <f t="shared" si="209"/>
        <v>15</v>
      </c>
      <c r="B122" s="871" t="str">
        <f t="shared" ref="B122:C122" si="253">B23</f>
        <v>4</v>
      </c>
      <c r="C122" s="871" t="str">
        <f t="shared" si="253"/>
        <v>Sure, man</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6</v>
      </c>
      <c r="I122" s="873">
        <f>IF($B122="","",SUMPRODUCT(--(Lineups!S$46:S$83=$B122),--(Lineups!A$46:A$83&lt;&gt;"SP")))</f>
        <v>2</v>
      </c>
      <c r="J122" s="43">
        <f t="shared" si="212"/>
        <v>8</v>
      </c>
      <c r="K122" s="872">
        <f t="shared" si="213"/>
        <v>0.4</v>
      </c>
      <c r="L122" s="43">
        <f t="shared" si="214"/>
        <v>8</v>
      </c>
      <c r="M122" s="872">
        <f t="shared" si="215"/>
        <v>0.4</v>
      </c>
      <c r="N122" s="874" t="str">
        <f>IF(B122="","",IF(OR(SK!E215="",SK!E215=0),"",SK!H215))</f>
        <v/>
      </c>
      <c r="O122" s="43">
        <f>IF($B122="","",SUMPRODUCT(--(Lineups!C$46:C$83=$B122)))</f>
        <v>0</v>
      </c>
      <c r="P122" s="872">
        <f t="shared" si="216"/>
        <v>0</v>
      </c>
      <c r="Q122" s="43">
        <f t="shared" si="217"/>
        <v>8</v>
      </c>
      <c r="R122" s="872">
        <f t="shared" si="218"/>
        <v>0.4</v>
      </c>
      <c r="S122" s="43"/>
      <c r="T122" s="5">
        <f t="shared" si="219"/>
        <v>15</v>
      </c>
      <c r="U122" s="871" t="str">
        <f t="shared" ref="U122:V122" si="254">U23</f>
        <v>505</v>
      </c>
      <c r="V122" s="871" t="str">
        <f t="shared" si="254"/>
        <v>Swearin' Marie</v>
      </c>
      <c r="W122" s="43">
        <f>IF($U122="","",SUMPRODUCT(--(Lineups!AG$46:AG$83=$U122),--(Lineups!AB$46:AB$83="")))</f>
        <v>11</v>
      </c>
      <c r="X122" s="872">
        <f t="shared" si="221"/>
        <v>0.55</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11</v>
      </c>
      <c r="AF122" s="872">
        <f t="shared" si="225"/>
        <v>0.55</v>
      </c>
      <c r="AG122" s="874">
        <f>IF(U122="","",IF(OR(SK!U215="",SK!U215=0),"",SK!X215))</f>
        <v>0</v>
      </c>
      <c r="AH122" s="43">
        <f>IF($U122="","",SUMPRODUCT(--(Lineups!AC$46:AC$83=$U122)))</f>
        <v>4</v>
      </c>
      <c r="AI122" s="872">
        <f t="shared" si="226"/>
        <v>0.2</v>
      </c>
      <c r="AJ122" s="43">
        <f t="shared" si="227"/>
        <v>15</v>
      </c>
      <c r="AK122" s="872">
        <f t="shared" si="228"/>
        <v>0.75</v>
      </c>
    </row>
    <row r="123" ht="13.5" customHeight="1">
      <c r="A123" s="875">
        <f t="shared" si="209"/>
        <v>16</v>
      </c>
      <c r="B123" s="876" t="str">
        <f t="shared" ref="B123:C123" si="255">B24</f>
        <v>602*</v>
      </c>
      <c r="C123" s="876" t="str">
        <f t="shared" si="255"/>
        <v>Feen-X</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75*</v>
      </c>
      <c r="V123" s="876" t="str">
        <f t="shared" si="256"/>
        <v>TamTrum</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7</v>
      </c>
      <c r="C124" s="871" t="str">
        <f t="shared" si="257"/>
        <v>Skatie Katie</v>
      </c>
      <c r="D124" s="43">
        <f>IF($B124="","",SUMPRODUCT(--(Lineups!G$46:G$83=$B124),--(Lineups!B$46:B$83="")))</f>
        <v>8</v>
      </c>
      <c r="E124" s="872">
        <f t="shared" si="211"/>
        <v>0.4</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8</v>
      </c>
      <c r="M124" s="872">
        <f t="shared" si="215"/>
        <v>0.4</v>
      </c>
      <c r="N124" s="874" t="str">
        <f>IF(B124="","",IF(OR(SK!E221="",SK!E221=0),"",SK!H221))</f>
        <v/>
      </c>
      <c r="O124" s="43">
        <f>IF($B124="","",SUMPRODUCT(--(Lineups!C$46:C$83=$B124)))</f>
        <v>0</v>
      </c>
      <c r="P124" s="872">
        <f t="shared" si="216"/>
        <v>0</v>
      </c>
      <c r="Q124" s="43">
        <f t="shared" si="217"/>
        <v>8</v>
      </c>
      <c r="R124" s="872">
        <f t="shared" si="218"/>
        <v>0.4</v>
      </c>
      <c r="S124" s="43"/>
      <c r="T124" s="5">
        <f t="shared" si="219"/>
        <v>17</v>
      </c>
      <c r="U124" s="871" t="str">
        <f t="shared" ref="U124:V124" si="258">U25</f>
        <v>88</v>
      </c>
      <c r="V124" s="871" t="str">
        <f t="shared" si="258"/>
        <v>Rocktopus</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0</v>
      </c>
      <c r="AC124" s="43">
        <f t="shared" si="222"/>
        <v>0</v>
      </c>
      <c r="AD124" s="872">
        <f t="shared" si="223"/>
        <v>0</v>
      </c>
      <c r="AE124" s="43">
        <f t="shared" si="224"/>
        <v>0</v>
      </c>
      <c r="AF124" s="872">
        <f t="shared" si="225"/>
        <v>0</v>
      </c>
      <c r="AG124" s="874" t="str">
        <f>IF(U124="","",IF(OR(SK!U221="",SK!U221=0),"",SK!X221))</f>
        <v/>
      </c>
      <c r="AH124" s="43">
        <f>IF($U124="","",SUMPRODUCT(--(Lineups!AC$46:AC$83=$U124)))</f>
        <v>0</v>
      </c>
      <c r="AI124" s="872">
        <f t="shared" si="226"/>
        <v>0</v>
      </c>
      <c r="AJ124" s="43">
        <f t="shared" si="227"/>
        <v>0</v>
      </c>
      <c r="AK124" s="872">
        <f t="shared" si="228"/>
        <v>0</v>
      </c>
    </row>
    <row r="125" ht="13.5" customHeight="1">
      <c r="A125" s="875">
        <f t="shared" si="209"/>
        <v>18</v>
      </c>
      <c r="B125" s="876" t="str">
        <f t="shared" ref="B125:C125" si="259">B26</f>
        <v>76</v>
      </c>
      <c r="C125" s="876" t="str">
        <f t="shared" si="259"/>
        <v>Queen Loseyateefa</v>
      </c>
      <c r="D125" s="877">
        <f>IF($B125="","",SUMPRODUCT(--(Lineups!G$46:G$83=$B125),--(Lineups!B$46:B$83="")))</f>
        <v>0</v>
      </c>
      <c r="E125" s="878">
        <f t="shared" si="211"/>
        <v>0</v>
      </c>
      <c r="F125" s="873">
        <f>IF($B125="","",SUMPRODUCT(--(Lineups!G$46:G$83=$B125),--(Lineups!B$46:B$83="X")))</f>
        <v>0</v>
      </c>
      <c r="G125" s="873">
        <f>IF($B125="","",SUMPRODUCT(--(Lineups!K$46:K$83=$B125),--(Lineups!A$46:A$83&lt;&gt;"SP")))</f>
        <v>5</v>
      </c>
      <c r="H125" s="873">
        <f>IF($B125="","",SUMPRODUCT(--(Lineups!O$46:O$83=$B125),--(Lineups!A$46:A$83&lt;&gt;"SP")))</f>
        <v>2</v>
      </c>
      <c r="I125" s="873">
        <f>IF($B125="","",SUMPRODUCT(--(Lineups!S$46:S$83=$B125),--(Lineups!A$46:A$83&lt;&gt;"SP")))</f>
        <v>1</v>
      </c>
      <c r="J125" s="877">
        <f t="shared" si="212"/>
        <v>8</v>
      </c>
      <c r="K125" s="878">
        <f t="shared" si="213"/>
        <v>0.4</v>
      </c>
      <c r="L125" s="877">
        <f t="shared" si="214"/>
        <v>8</v>
      </c>
      <c r="M125" s="878">
        <f t="shared" si="215"/>
        <v>0.4</v>
      </c>
      <c r="N125" s="879" t="str">
        <f>IF(B125="","",IF(OR(SK!E224="",SK!E224=0),"",SK!H224))</f>
        <v/>
      </c>
      <c r="O125" s="877">
        <f>IF($B125="","",SUMPRODUCT(--(Lineups!C$46:C$83=$B125)))</f>
        <v>0</v>
      </c>
      <c r="P125" s="878">
        <f t="shared" si="216"/>
        <v>0</v>
      </c>
      <c r="Q125" s="877">
        <f t="shared" si="217"/>
        <v>8</v>
      </c>
      <c r="R125" s="878">
        <f t="shared" si="218"/>
        <v>0.4</v>
      </c>
      <c r="S125" s="43"/>
      <c r="T125" s="875">
        <f t="shared" si="219"/>
        <v>18</v>
      </c>
      <c r="U125" s="876" t="str">
        <f t="shared" ref="U125:V125" si="260">U26</f>
        <v>9</v>
      </c>
      <c r="V125" s="876" t="str">
        <f t="shared" si="260"/>
        <v>Kell's Inferno</v>
      </c>
      <c r="W125" s="877">
        <f>IF($U125="","",SUMPRODUCT(--(Lineups!AG$46:AG$83=$U125),--(Lineups!AB$46:AB$83="")))</f>
        <v>0</v>
      </c>
      <c r="X125" s="878">
        <f t="shared" si="221"/>
        <v>0</v>
      </c>
      <c r="Y125" s="873">
        <f>IF($U125="","",SUMPRODUCT(--(Lineups!AG$46:AG$83=$U125),--(Lineups!AB$46:AB$83="X")))</f>
        <v>2</v>
      </c>
      <c r="Z125" s="873">
        <f>IF($U125="","",SUMPRODUCT(--(Lineups!AK$46:AK$83=$U125),--(Lineups!AA$46:AA$83&lt;&gt;"SP")))</f>
        <v>0</v>
      </c>
      <c r="AA125" s="873">
        <f>IF($U125="","",SUMPRODUCT(--(Lineups!AO$46:AO$83=$U125),--(Lineups!AA$46:AA$83&lt;&gt;"SP")))</f>
        <v>0</v>
      </c>
      <c r="AB125" s="873">
        <f>IF($U125="","",SUMPRODUCT(--(Lineups!AS$46:AS$83=$U125),--(Lineups!AA$46:AA$83&lt;&gt;"SP")))</f>
        <v>0</v>
      </c>
      <c r="AC125" s="877">
        <f t="shared" si="222"/>
        <v>2</v>
      </c>
      <c r="AD125" s="878">
        <f t="shared" si="223"/>
        <v>0.1</v>
      </c>
      <c r="AE125" s="877">
        <f t="shared" si="224"/>
        <v>2</v>
      </c>
      <c r="AF125" s="878">
        <f t="shared" si="225"/>
        <v>0.1</v>
      </c>
      <c r="AG125" s="879">
        <f>IF(U125="","",IF(OR(SK!U224="",SK!U224=0),"",SK!X224))</f>
        <v>1</v>
      </c>
      <c r="AH125" s="877">
        <f>IF($U125="","",SUMPRODUCT(--(Lineups!AC$46:AC$83=$U125)))</f>
        <v>6</v>
      </c>
      <c r="AI125" s="878">
        <f t="shared" si="226"/>
        <v>0.3</v>
      </c>
      <c r="AJ125" s="877">
        <f t="shared" si="227"/>
        <v>8</v>
      </c>
      <c r="AK125" s="878">
        <f t="shared" si="228"/>
        <v>0.4</v>
      </c>
    </row>
    <row r="126" ht="13.5" customHeight="1">
      <c r="A126" s="5">
        <f t="shared" si="209"/>
        <v>19</v>
      </c>
      <c r="B126" s="871" t="str">
        <f t="shared" ref="B126:C126" si="261">B27</f>
        <v>88</v>
      </c>
      <c r="C126" s="871" t="str">
        <f t="shared" si="261"/>
        <v>MsMURDR</v>
      </c>
      <c r="D126" s="43">
        <f>IF($B126="","",SUMPRODUCT(--(Lineups!G$46:G$83=$B126),--(Lineups!B$46:B$83="")))</f>
        <v>1</v>
      </c>
      <c r="E126" s="872">
        <f t="shared" si="211"/>
        <v>0.05</v>
      </c>
      <c r="F126" s="873">
        <f>IF($B126="","",SUMPRODUCT(--(Lineups!G$46:G$83=$B126),--(Lineups!B$46:B$83="X")))</f>
        <v>0</v>
      </c>
      <c r="G126" s="873">
        <f>IF($B126="","",SUMPRODUCT(--(Lineups!K$46:K$83=$B126),--(Lineups!A$46:A$83&lt;&gt;"SP")))</f>
        <v>2</v>
      </c>
      <c r="H126" s="873">
        <f>IF($B126="","",SUMPRODUCT(--(Lineups!O$46:O$83=$B126),--(Lineups!A$46:A$83&lt;&gt;"SP")))</f>
        <v>2</v>
      </c>
      <c r="I126" s="873">
        <f>IF($B126="","",SUMPRODUCT(--(Lineups!S$46:S$83=$B126),--(Lineups!A$46:A$83&lt;&gt;"SP")))</f>
        <v>3</v>
      </c>
      <c r="J126" s="43">
        <f t="shared" si="212"/>
        <v>7</v>
      </c>
      <c r="K126" s="872">
        <f t="shared" si="213"/>
        <v>0.35</v>
      </c>
      <c r="L126" s="43">
        <f t="shared" si="214"/>
        <v>8</v>
      </c>
      <c r="M126" s="872">
        <f t="shared" si="215"/>
        <v>0.4</v>
      </c>
      <c r="N126" s="874">
        <f>IF(B126="","",IF(OR(SK!E227="",SK!E227=0),"",SK!H227))</f>
        <v>0</v>
      </c>
      <c r="O126" s="43">
        <f>IF($B126="","",SUMPRODUCT(--(Lineups!C$46:C$83=$B126)))</f>
        <v>1</v>
      </c>
      <c r="P126" s="872">
        <f t="shared" si="216"/>
        <v>0.05</v>
      </c>
      <c r="Q126" s="43">
        <f t="shared" si="217"/>
        <v>9</v>
      </c>
      <c r="R126" s="872">
        <f t="shared" si="218"/>
        <v>0.45</v>
      </c>
      <c r="S126" s="43"/>
      <c r="T126" s="5">
        <f t="shared" si="219"/>
        <v>19</v>
      </c>
      <c r="U126" s="871" t="str">
        <f t="shared" ref="U126:V126" si="262">U27</f>
        <v>913*</v>
      </c>
      <c r="V126" s="871" t="str">
        <f t="shared" si="262"/>
        <v>Termiskater</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96*</v>
      </c>
      <c r="C127" s="876" t="str">
        <f t="shared" si="263"/>
        <v>Weird Flex</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999</v>
      </c>
      <c r="V127" s="876" t="str">
        <f t="shared" si="264"/>
        <v>Amanda Jamitinya</v>
      </c>
      <c r="W127" s="877">
        <f>IF($U127="","",SUMPRODUCT(--(Lineups!AG$46:AG$83=$U127),--(Lineups!AB$46:AB$83="")))</f>
        <v>0</v>
      </c>
      <c r="X127" s="878">
        <f t="shared" si="221"/>
        <v>0</v>
      </c>
      <c r="Y127" s="873">
        <f>IF($U127="","",SUMPRODUCT(--(Lineups!AG$46:AG$83=$U127),--(Lineups!AB$46:AB$83="X")))</f>
        <v>0</v>
      </c>
      <c r="Z127" s="873">
        <f>IF($U127="","",SUMPRODUCT(--(Lineups!AK$46:AK$83=$U127),--(Lineups!AA$46:AA$83&lt;&gt;"SP")))</f>
        <v>9</v>
      </c>
      <c r="AA127" s="873">
        <f>IF($U127="","",SUMPRODUCT(--(Lineups!AO$46:AO$83=$U127),--(Lineups!AA$46:AA$83&lt;&gt;"SP")))</f>
        <v>1</v>
      </c>
      <c r="AB127" s="873">
        <f>IF($U127="","",SUMPRODUCT(--(Lineups!AS$46:AS$83=$U127),--(Lineups!AA$46:AA$83&lt;&gt;"SP")))</f>
        <v>0</v>
      </c>
      <c r="AC127" s="877">
        <f t="shared" si="222"/>
        <v>10</v>
      </c>
      <c r="AD127" s="878">
        <f t="shared" si="223"/>
        <v>0.5</v>
      </c>
      <c r="AE127" s="877">
        <f t="shared" si="224"/>
        <v>10</v>
      </c>
      <c r="AF127" s="878">
        <f t="shared" si="225"/>
        <v>0.5</v>
      </c>
      <c r="AG127" s="879" t="str">
        <f>IF(U127="","",IF(OR(SK!U230="",SK!U230=0),"",SK!X230))</f>
        <v/>
      </c>
      <c r="AH127" s="877">
        <f>IF($U127="","",SUMPRODUCT(--(Lineups!AC$46:AC$83=$U127)))</f>
        <v>0</v>
      </c>
      <c r="AI127" s="878">
        <f t="shared" si="226"/>
        <v>0</v>
      </c>
      <c r="AJ127" s="877">
        <f t="shared" si="227"/>
        <v>10</v>
      </c>
      <c r="AK127" s="878">
        <f t="shared" si="228"/>
        <v>0.5</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446</v>
      </c>
      <c r="B129" s="8"/>
      <c r="C129" s="9"/>
      <c r="D129" s="866"/>
      <c r="E129" s="866"/>
      <c r="F129" s="866"/>
      <c r="G129" s="866"/>
      <c r="H129" s="866"/>
      <c r="I129" s="866"/>
      <c r="J129" s="866"/>
      <c r="K129" s="866"/>
      <c r="L129" s="866"/>
      <c r="M129" s="866"/>
      <c r="N129" s="866"/>
      <c r="O129" s="866"/>
      <c r="P129" s="866"/>
      <c r="Q129" s="866"/>
      <c r="R129" s="866"/>
      <c r="S129" s="43"/>
      <c r="T129" s="865" t="s">
        <v>446</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436</v>
      </c>
      <c r="C130" s="867" t="s">
        <v>437</v>
      </c>
      <c r="D130" s="867" t="s">
        <v>292</v>
      </c>
      <c r="E130" s="5"/>
      <c r="F130" s="869" t="s">
        <v>293</v>
      </c>
      <c r="G130" s="869" t="s">
        <v>293</v>
      </c>
      <c r="H130" s="869" t="s">
        <v>293</v>
      </c>
      <c r="I130" s="869" t="s">
        <v>293</v>
      </c>
      <c r="J130" s="867" t="s">
        <v>439</v>
      </c>
      <c r="K130" s="5"/>
      <c r="L130" s="867" t="s">
        <v>441</v>
      </c>
      <c r="M130" s="5"/>
      <c r="N130" s="870" t="s">
        <v>443</v>
      </c>
      <c r="O130" s="867" t="s">
        <v>290</v>
      </c>
      <c r="P130" s="5"/>
      <c r="Q130" s="867" t="s">
        <v>410</v>
      </c>
      <c r="R130" s="5"/>
      <c r="S130" s="43"/>
      <c r="T130" s="867">
        <v>0.0</v>
      </c>
      <c r="U130" s="867" t="s">
        <v>436</v>
      </c>
      <c r="V130" s="867" t="s">
        <v>437</v>
      </c>
      <c r="W130" s="867" t="s">
        <v>292</v>
      </c>
      <c r="X130" s="5"/>
      <c r="Y130" s="869" t="s">
        <v>293</v>
      </c>
      <c r="Z130" s="869" t="s">
        <v>293</v>
      </c>
      <c r="AA130" s="869" t="s">
        <v>293</v>
      </c>
      <c r="AB130" s="869" t="s">
        <v>293</v>
      </c>
      <c r="AC130" s="867" t="s">
        <v>439</v>
      </c>
      <c r="AD130" s="5"/>
      <c r="AE130" s="867" t="s">
        <v>441</v>
      </c>
      <c r="AF130" s="5"/>
      <c r="AG130" s="870" t="s">
        <v>443</v>
      </c>
      <c r="AH130" s="867" t="s">
        <v>290</v>
      </c>
      <c r="AI130" s="5"/>
      <c r="AJ130" s="867" t="s">
        <v>410</v>
      </c>
      <c r="AK130" s="5"/>
    </row>
    <row r="131" ht="13.5" customHeight="1">
      <c r="A131" s="5">
        <f t="shared" ref="A131:A150" si="269">A130+1</f>
        <v>1</v>
      </c>
      <c r="B131" s="625" t="str">
        <f t="shared" ref="B131:C131" si="265">B108</f>
        <v>01</v>
      </c>
      <c r="C131" s="625" t="str">
        <f t="shared" si="265"/>
        <v>Goldy Knocks</v>
      </c>
      <c r="D131" s="5">
        <f t="shared" ref="D131:D150" si="271">IF($B131="","",D154-D177)</f>
        <v>30</v>
      </c>
      <c r="E131" s="43"/>
      <c r="F131" s="873">
        <f t="shared" ref="F131:I131" si="266">IF($B131="","",F154-F177)</f>
        <v>23</v>
      </c>
      <c r="G131" s="873">
        <f t="shared" si="266"/>
        <v>25</v>
      </c>
      <c r="H131" s="873">
        <f t="shared" si="266"/>
        <v>0</v>
      </c>
      <c r="I131" s="873">
        <f t="shared" si="266"/>
        <v>12</v>
      </c>
      <c r="J131" s="5">
        <f t="shared" ref="J131:J150" si="273">IF(B131="","",SUM(F131:I131))</f>
        <v>60</v>
      </c>
      <c r="K131" s="43"/>
      <c r="L131" s="5">
        <f t="shared" ref="L131:L150" si="274">IF(B131="","",SUM(D131,J131))</f>
        <v>90</v>
      </c>
      <c r="M131" s="43"/>
      <c r="N131" s="43"/>
      <c r="O131" s="5">
        <f t="shared" ref="O131:O150" si="275">IF($B131="","",O154-O177)</f>
        <v>0</v>
      </c>
      <c r="P131" s="43"/>
      <c r="Q131" s="5">
        <f t="shared" ref="Q131:Q150" si="276">IF(B131="","",SUM(L131,O131))</f>
        <v>90</v>
      </c>
      <c r="R131" s="43"/>
      <c r="S131" s="43"/>
      <c r="T131" s="5">
        <f t="shared" ref="T131:T150" si="277">T130+1</f>
        <v>1</v>
      </c>
      <c r="U131" s="625" t="str">
        <f t="shared" ref="U131:V131" si="267">U108</f>
        <v>10*</v>
      </c>
      <c r="V131" s="625" t="str">
        <f t="shared" si="267"/>
        <v>BAMPF!</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5">
        <f t="shared" si="269"/>
        <v>2</v>
      </c>
      <c r="B132" s="880" t="str">
        <f t="shared" ref="B132:C132" si="270">B109</f>
        <v>024</v>
      </c>
      <c r="C132" s="880" t="str">
        <f t="shared" si="270"/>
        <v>Cutty</v>
      </c>
      <c r="D132" s="875">
        <f t="shared" si="271"/>
        <v>49</v>
      </c>
      <c r="E132" s="43"/>
      <c r="F132" s="873">
        <f t="shared" ref="F132:I132" si="272">IF($B132="","",F155-F178)</f>
        <v>0</v>
      </c>
      <c r="G132" s="873">
        <f t="shared" si="272"/>
        <v>0</v>
      </c>
      <c r="H132" s="873">
        <f t="shared" si="272"/>
        <v>0</v>
      </c>
      <c r="I132" s="873">
        <f t="shared" si="272"/>
        <v>0</v>
      </c>
      <c r="J132" s="875">
        <f t="shared" si="273"/>
        <v>0</v>
      </c>
      <c r="K132" s="43"/>
      <c r="L132" s="875">
        <f t="shared" si="274"/>
        <v>49</v>
      </c>
      <c r="M132" s="43"/>
      <c r="N132" s="43"/>
      <c r="O132" s="875">
        <f t="shared" si="275"/>
        <v>4</v>
      </c>
      <c r="P132" s="43"/>
      <c r="Q132" s="875">
        <f t="shared" si="276"/>
        <v>53</v>
      </c>
      <c r="R132" s="43"/>
      <c r="S132" s="43"/>
      <c r="T132" s="875">
        <f t="shared" si="277"/>
        <v>2</v>
      </c>
      <c r="U132" s="880" t="str">
        <f t="shared" ref="U132:V132" si="278">U109</f>
        <v>11</v>
      </c>
      <c r="V132" s="880" t="str">
        <f t="shared" si="278"/>
        <v>Killer Queen</v>
      </c>
      <c r="W132" s="875">
        <f t="shared" si="279"/>
        <v>0</v>
      </c>
      <c r="X132" s="43"/>
      <c r="Y132" s="873">
        <f t="shared" ref="Y132:AB132" si="280">IF($U132="","",Y155-Y178)</f>
        <v>0</v>
      </c>
      <c r="Z132" s="873">
        <f t="shared" si="280"/>
        <v>4</v>
      </c>
      <c r="AA132" s="873">
        <f t="shared" si="280"/>
        <v>-12</v>
      </c>
      <c r="AB132" s="873">
        <f t="shared" si="280"/>
        <v>-30</v>
      </c>
      <c r="AC132" s="875">
        <f t="shared" si="281"/>
        <v>-38</v>
      </c>
      <c r="AD132" s="43"/>
      <c r="AE132" s="875">
        <f t="shared" si="282"/>
        <v>-38</v>
      </c>
      <c r="AF132" s="43"/>
      <c r="AG132" s="43"/>
      <c r="AH132" s="875">
        <f t="shared" si="283"/>
        <v>0</v>
      </c>
      <c r="AI132" s="43"/>
      <c r="AJ132" s="875">
        <f t="shared" si="284"/>
        <v>-38</v>
      </c>
      <c r="AK132" s="43"/>
    </row>
    <row r="133" ht="13.5" customHeight="1">
      <c r="A133" s="5">
        <f t="shared" si="269"/>
        <v>3</v>
      </c>
      <c r="B133" s="625" t="str">
        <f t="shared" ref="B133:C133" si="285">B110</f>
        <v>10</v>
      </c>
      <c r="C133" s="625" t="str">
        <f t="shared" si="285"/>
        <v>Frida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20</v>
      </c>
      <c r="P133" s="43"/>
      <c r="Q133" s="5">
        <f t="shared" si="276"/>
        <v>20</v>
      </c>
      <c r="R133" s="43"/>
      <c r="S133" s="43"/>
      <c r="T133" s="5">
        <f t="shared" si="277"/>
        <v>3</v>
      </c>
      <c r="U133" s="625" t="str">
        <f t="shared" ref="U133:V133" si="287">U110</f>
        <v>120</v>
      </c>
      <c r="V133" s="625" t="str">
        <f t="shared" si="287"/>
        <v>Nikki Nail 'er</v>
      </c>
      <c r="W133" s="5">
        <f t="shared" si="279"/>
        <v>0</v>
      </c>
      <c r="X133" s="43"/>
      <c r="Y133" s="873">
        <f t="shared" ref="Y133:AB133" si="288">IF($U133="","",Y156-Y179)</f>
        <v>0</v>
      </c>
      <c r="Z133" s="873">
        <f t="shared" si="288"/>
        <v>-18</v>
      </c>
      <c r="AA133" s="873">
        <f t="shared" si="288"/>
        <v>-20</v>
      </c>
      <c r="AB133" s="873">
        <f t="shared" si="288"/>
        <v>4</v>
      </c>
      <c r="AC133" s="5">
        <f t="shared" si="281"/>
        <v>-34</v>
      </c>
      <c r="AD133" s="43"/>
      <c r="AE133" s="5">
        <f t="shared" si="282"/>
        <v>-34</v>
      </c>
      <c r="AF133" s="43"/>
      <c r="AG133" s="43"/>
      <c r="AH133" s="5">
        <f t="shared" si="283"/>
        <v>0</v>
      </c>
      <c r="AI133" s="43"/>
      <c r="AJ133" s="5">
        <f t="shared" si="284"/>
        <v>-34</v>
      </c>
      <c r="AK133" s="43"/>
    </row>
    <row r="134" ht="13.5" customHeight="1">
      <c r="A134" s="875">
        <f t="shared" si="269"/>
        <v>4</v>
      </c>
      <c r="B134" s="880" t="str">
        <f t="shared" ref="B134:C134" si="289">B111</f>
        <v>16*</v>
      </c>
      <c r="C134" s="880" t="str">
        <f t="shared" si="289"/>
        <v>Just Monroe</v>
      </c>
      <c r="D134" s="875">
        <f t="shared" si="271"/>
        <v>0</v>
      </c>
      <c r="E134" s="43"/>
      <c r="F134" s="873">
        <f t="shared" ref="F134:I134" si="290">IF($B134="","",F157-F180)</f>
        <v>0</v>
      </c>
      <c r="G134" s="873">
        <f t="shared" si="290"/>
        <v>0</v>
      </c>
      <c r="H134" s="873">
        <f t="shared" si="290"/>
        <v>0</v>
      </c>
      <c r="I134" s="873">
        <f t="shared" si="290"/>
        <v>0</v>
      </c>
      <c r="J134" s="875">
        <f t="shared" si="273"/>
        <v>0</v>
      </c>
      <c r="K134" s="43"/>
      <c r="L134" s="875">
        <f t="shared" si="274"/>
        <v>0</v>
      </c>
      <c r="M134" s="43"/>
      <c r="N134" s="43"/>
      <c r="O134" s="875">
        <f t="shared" si="275"/>
        <v>0</v>
      </c>
      <c r="P134" s="43"/>
      <c r="Q134" s="875">
        <f t="shared" si="276"/>
        <v>0</v>
      </c>
      <c r="R134" s="43"/>
      <c r="S134" s="43"/>
      <c r="T134" s="875">
        <f t="shared" si="277"/>
        <v>4</v>
      </c>
      <c r="U134" s="880" t="str">
        <f t="shared" ref="U134:V134" si="291">U111</f>
        <v>13</v>
      </c>
      <c r="V134" s="880" t="str">
        <f t="shared" si="291"/>
        <v>Libido Loca</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0</v>
      </c>
      <c r="AI134" s="43"/>
      <c r="AJ134" s="875">
        <f t="shared" si="284"/>
        <v>0</v>
      </c>
      <c r="AK134" s="43"/>
    </row>
    <row r="135" ht="13.5" customHeight="1">
      <c r="A135" s="5">
        <f t="shared" si="269"/>
        <v>5</v>
      </c>
      <c r="B135" s="625" t="str">
        <f t="shared" ref="B135:C135" si="293">B112</f>
        <v>22*</v>
      </c>
      <c r="C135" s="625" t="str">
        <f t="shared" si="293"/>
        <v>Meche</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0</v>
      </c>
      <c r="P135" s="43"/>
      <c r="Q135" s="5">
        <f t="shared" si="276"/>
        <v>0</v>
      </c>
      <c r="R135" s="43"/>
      <c r="S135" s="43"/>
      <c r="T135" s="5">
        <f t="shared" si="277"/>
        <v>5</v>
      </c>
      <c r="U135" s="625" t="str">
        <f t="shared" ref="U135:V135" si="295">U112</f>
        <v>15</v>
      </c>
      <c r="V135" s="625" t="str">
        <f t="shared" si="295"/>
        <v>Harley Darlin</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-28</v>
      </c>
      <c r="AI135" s="43"/>
      <c r="AJ135" s="5">
        <f t="shared" si="284"/>
        <v>-28</v>
      </c>
      <c r="AK135" s="43"/>
    </row>
    <row r="136" ht="13.5" customHeight="1">
      <c r="A136" s="875">
        <f t="shared" si="269"/>
        <v>6</v>
      </c>
      <c r="B136" s="880" t="str">
        <f t="shared" ref="B136:C136" si="297">B113</f>
        <v>24</v>
      </c>
      <c r="C136" s="880" t="str">
        <f t="shared" si="297"/>
        <v>Ima BlowBya</v>
      </c>
      <c r="D136" s="875">
        <f t="shared" si="271"/>
        <v>0</v>
      </c>
      <c r="E136" s="43"/>
      <c r="F136" s="873">
        <f t="shared" ref="F136:I136" si="298">IF($B136="","",F159-F182)</f>
        <v>0</v>
      </c>
      <c r="G136" s="873">
        <f t="shared" si="298"/>
        <v>17</v>
      </c>
      <c r="H136" s="873">
        <f t="shared" si="298"/>
        <v>11</v>
      </c>
      <c r="I136" s="873">
        <f t="shared" si="298"/>
        <v>8</v>
      </c>
      <c r="J136" s="875">
        <f t="shared" si="273"/>
        <v>36</v>
      </c>
      <c r="K136" s="43"/>
      <c r="L136" s="875">
        <f t="shared" si="274"/>
        <v>36</v>
      </c>
      <c r="M136" s="43"/>
      <c r="N136" s="43"/>
      <c r="O136" s="875">
        <f t="shared" si="275"/>
        <v>0</v>
      </c>
      <c r="P136" s="43"/>
      <c r="Q136" s="875">
        <f t="shared" si="276"/>
        <v>36</v>
      </c>
      <c r="R136" s="43"/>
      <c r="S136" s="43"/>
      <c r="T136" s="875">
        <f t="shared" si="277"/>
        <v>6</v>
      </c>
      <c r="U136" s="880" t="str">
        <f t="shared" ref="U136:V136" si="299">U113</f>
        <v>21*</v>
      </c>
      <c r="V136" s="880" t="str">
        <f t="shared" si="299"/>
        <v>Agatha KrisB</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3.5" customHeight="1">
      <c r="A137" s="5">
        <f t="shared" si="269"/>
        <v>7</v>
      </c>
      <c r="B137" s="625" t="str">
        <f t="shared" ref="B137:C137" si="301">B114</f>
        <v>264</v>
      </c>
      <c r="C137" s="625" t="str">
        <f t="shared" si="301"/>
        <v>Velasco Sauce</v>
      </c>
      <c r="D137" s="5">
        <f t="shared" si="271"/>
        <v>0</v>
      </c>
      <c r="E137" s="43"/>
      <c r="F137" s="873">
        <f t="shared" ref="F137:I137" si="302">IF($B137="","",F160-F183)</f>
        <v>0</v>
      </c>
      <c r="G137" s="873">
        <f t="shared" si="302"/>
        <v>4</v>
      </c>
      <c r="H137" s="873">
        <f t="shared" si="302"/>
        <v>-1</v>
      </c>
      <c r="I137" s="873">
        <f t="shared" si="302"/>
        <v>23</v>
      </c>
      <c r="J137" s="5">
        <f t="shared" si="273"/>
        <v>26</v>
      </c>
      <c r="K137" s="43"/>
      <c r="L137" s="5">
        <f t="shared" si="274"/>
        <v>26</v>
      </c>
      <c r="M137" s="43"/>
      <c r="N137" s="43"/>
      <c r="O137" s="5">
        <f t="shared" si="275"/>
        <v>0</v>
      </c>
      <c r="P137" s="43"/>
      <c r="Q137" s="5">
        <f t="shared" si="276"/>
        <v>26</v>
      </c>
      <c r="R137" s="43"/>
      <c r="S137" s="43"/>
      <c r="T137" s="5">
        <f t="shared" si="277"/>
        <v>7</v>
      </c>
      <c r="U137" s="625" t="str">
        <f t="shared" ref="U137:V137" si="303">U114</f>
        <v>213</v>
      </c>
      <c r="V137" s="625" t="str">
        <f t="shared" si="303"/>
        <v>IceBox</v>
      </c>
      <c r="W137" s="5">
        <f t="shared" si="279"/>
        <v>0</v>
      </c>
      <c r="X137" s="43"/>
      <c r="Y137" s="873">
        <f t="shared" ref="Y137:AB137" si="304">IF($U137="","",Y160-Y183)</f>
        <v>0</v>
      </c>
      <c r="Z137" s="873">
        <f t="shared" si="304"/>
        <v>0</v>
      </c>
      <c r="AA137" s="873">
        <f t="shared" si="304"/>
        <v>-27</v>
      </c>
      <c r="AB137" s="873">
        <f t="shared" si="304"/>
        <v>-72</v>
      </c>
      <c r="AC137" s="5">
        <f t="shared" si="281"/>
        <v>-99</v>
      </c>
      <c r="AD137" s="43"/>
      <c r="AE137" s="5">
        <f t="shared" si="282"/>
        <v>-99</v>
      </c>
      <c r="AF137" s="43"/>
      <c r="AG137" s="43"/>
      <c r="AH137" s="5">
        <f t="shared" si="283"/>
        <v>0</v>
      </c>
      <c r="AI137" s="43"/>
      <c r="AJ137" s="5">
        <f t="shared" si="284"/>
        <v>-99</v>
      </c>
      <c r="AK137" s="43"/>
    </row>
    <row r="138" ht="13.5" customHeight="1">
      <c r="A138" s="875">
        <f t="shared" si="269"/>
        <v>8</v>
      </c>
      <c r="B138" s="880" t="str">
        <f t="shared" ref="B138:C138" si="305">B115</f>
        <v>27*</v>
      </c>
      <c r="C138" s="880" t="str">
        <f t="shared" si="305"/>
        <v>Babethoven</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0</v>
      </c>
      <c r="P138" s="43"/>
      <c r="Q138" s="875">
        <f t="shared" si="276"/>
        <v>0</v>
      </c>
      <c r="R138" s="43"/>
      <c r="S138" s="43"/>
      <c r="T138" s="875">
        <f t="shared" si="277"/>
        <v>8</v>
      </c>
      <c r="U138" s="880" t="str">
        <f t="shared" ref="U138:V138" si="307">U115</f>
        <v>221</v>
      </c>
      <c r="V138" s="880" t="str">
        <f t="shared" si="307"/>
        <v>Syann</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-7</v>
      </c>
      <c r="AI138" s="43"/>
      <c r="AJ138" s="875">
        <f t="shared" si="284"/>
        <v>-7</v>
      </c>
      <c r="AK138" s="43"/>
    </row>
    <row r="139" ht="13.5" customHeight="1">
      <c r="A139" s="5">
        <f t="shared" si="269"/>
        <v>9</v>
      </c>
      <c r="B139" s="625" t="str">
        <f t="shared" ref="B139:C139" si="309">B116</f>
        <v>3</v>
      </c>
      <c r="C139" s="625" t="str">
        <f t="shared" si="309"/>
        <v>Alexia</v>
      </c>
      <c r="D139" s="5">
        <f t="shared" si="271"/>
        <v>0</v>
      </c>
      <c r="E139" s="43"/>
      <c r="F139" s="873">
        <f t="shared" ref="F139:I139" si="310">IF($B139="","",F162-F185)</f>
        <v>1</v>
      </c>
      <c r="G139" s="873">
        <f t="shared" si="310"/>
        <v>35</v>
      </c>
      <c r="H139" s="873">
        <f t="shared" si="310"/>
        <v>0</v>
      </c>
      <c r="I139" s="873">
        <f t="shared" si="310"/>
        <v>18</v>
      </c>
      <c r="J139" s="5">
        <f t="shared" si="273"/>
        <v>54</v>
      </c>
      <c r="K139" s="43"/>
      <c r="L139" s="5">
        <f t="shared" si="274"/>
        <v>54</v>
      </c>
      <c r="M139" s="43"/>
      <c r="N139" s="43"/>
      <c r="O139" s="5">
        <f t="shared" si="275"/>
        <v>-2</v>
      </c>
      <c r="P139" s="43"/>
      <c r="Q139" s="5">
        <f t="shared" si="276"/>
        <v>52</v>
      </c>
      <c r="R139" s="43"/>
      <c r="S139" s="43"/>
      <c r="T139" s="5">
        <f t="shared" si="277"/>
        <v>9</v>
      </c>
      <c r="U139" s="625" t="str">
        <f t="shared" ref="U139:V139" si="311">U116</f>
        <v>28</v>
      </c>
      <c r="V139" s="625" t="str">
        <f t="shared" si="311"/>
        <v>Hot Box</v>
      </c>
      <c r="W139" s="5">
        <f t="shared" si="279"/>
        <v>-36</v>
      </c>
      <c r="X139" s="43"/>
      <c r="Y139" s="873">
        <f t="shared" ref="Y139:AB139" si="312">IF($U139="","",Y162-Y185)</f>
        <v>0</v>
      </c>
      <c r="Z139" s="873">
        <f t="shared" si="312"/>
        <v>0</v>
      </c>
      <c r="AA139" s="873">
        <f t="shared" si="312"/>
        <v>-15</v>
      </c>
      <c r="AB139" s="873">
        <f t="shared" si="312"/>
        <v>0</v>
      </c>
      <c r="AC139" s="5">
        <f t="shared" si="281"/>
        <v>-15</v>
      </c>
      <c r="AD139" s="43"/>
      <c r="AE139" s="5">
        <f t="shared" si="282"/>
        <v>-51</v>
      </c>
      <c r="AF139" s="43"/>
      <c r="AG139" s="43"/>
      <c r="AH139" s="5">
        <f t="shared" si="283"/>
        <v>2</v>
      </c>
      <c r="AI139" s="43"/>
      <c r="AJ139" s="5">
        <f t="shared" si="284"/>
        <v>-49</v>
      </c>
      <c r="AK139" s="43"/>
    </row>
    <row r="140" ht="13.5" customHeight="1">
      <c r="A140" s="875">
        <f t="shared" si="269"/>
        <v>10</v>
      </c>
      <c r="B140" s="880" t="str">
        <f t="shared" ref="B140:C140" si="313">B117</f>
        <v>31</v>
      </c>
      <c r="C140" s="880" t="str">
        <f t="shared" si="313"/>
        <v>2x Force</v>
      </c>
      <c r="D140" s="875">
        <f t="shared" si="271"/>
        <v>0</v>
      </c>
      <c r="E140" s="43"/>
      <c r="F140" s="873">
        <f t="shared" ref="F140:I140" si="314">IF($B140="","",F163-F186)</f>
        <v>0</v>
      </c>
      <c r="G140" s="873">
        <f t="shared" si="314"/>
        <v>27</v>
      </c>
      <c r="H140" s="873">
        <f t="shared" si="314"/>
        <v>42</v>
      </c>
      <c r="I140" s="873">
        <f t="shared" si="314"/>
        <v>0</v>
      </c>
      <c r="J140" s="875">
        <f t="shared" si="273"/>
        <v>69</v>
      </c>
      <c r="K140" s="43"/>
      <c r="L140" s="875">
        <f t="shared" si="274"/>
        <v>69</v>
      </c>
      <c r="M140" s="43"/>
      <c r="N140" s="43"/>
      <c r="O140" s="875">
        <f t="shared" si="275"/>
        <v>0</v>
      </c>
      <c r="P140" s="43"/>
      <c r="Q140" s="875">
        <f t="shared" si="276"/>
        <v>69</v>
      </c>
      <c r="R140" s="43"/>
      <c r="S140" s="43"/>
      <c r="T140" s="875">
        <f t="shared" si="277"/>
        <v>10</v>
      </c>
      <c r="U140" s="880" t="str">
        <f t="shared" ref="U140:V140" si="315">U117</f>
        <v>321</v>
      </c>
      <c r="V140" s="880" t="str">
        <f t="shared" si="315"/>
        <v>Rockit</v>
      </c>
      <c r="W140" s="875">
        <f t="shared" si="279"/>
        <v>0</v>
      </c>
      <c r="X140" s="43"/>
      <c r="Y140" s="873">
        <f t="shared" ref="Y140:AB140" si="316">IF($U140="","",Y163-Y186)</f>
        <v>0</v>
      </c>
      <c r="Z140" s="873">
        <f t="shared" si="316"/>
        <v>-35</v>
      </c>
      <c r="AA140" s="873">
        <f t="shared" si="316"/>
        <v>0</v>
      </c>
      <c r="AB140" s="873">
        <f t="shared" si="316"/>
        <v>-26</v>
      </c>
      <c r="AC140" s="875">
        <f t="shared" si="281"/>
        <v>-61</v>
      </c>
      <c r="AD140" s="43"/>
      <c r="AE140" s="875">
        <f t="shared" si="282"/>
        <v>-61</v>
      </c>
      <c r="AF140" s="43"/>
      <c r="AG140" s="43"/>
      <c r="AH140" s="875">
        <f t="shared" si="283"/>
        <v>0</v>
      </c>
      <c r="AI140" s="43"/>
      <c r="AJ140" s="875">
        <f t="shared" si="284"/>
        <v>-61</v>
      </c>
      <c r="AK140" s="43"/>
    </row>
    <row r="141" ht="13.5" customHeight="1">
      <c r="A141" s="5">
        <f t="shared" si="269"/>
        <v>11</v>
      </c>
      <c r="B141" s="625" t="str">
        <f t="shared" ref="B141:C141" si="317">B118</f>
        <v>313</v>
      </c>
      <c r="C141" s="625" t="str">
        <f t="shared" si="317"/>
        <v>WestCoast MaFia</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57</v>
      </c>
      <c r="P141" s="43"/>
      <c r="Q141" s="5">
        <f t="shared" si="276"/>
        <v>57</v>
      </c>
      <c r="R141" s="43"/>
      <c r="S141" s="43"/>
      <c r="T141" s="5">
        <f t="shared" si="277"/>
        <v>11</v>
      </c>
      <c r="U141" s="625" t="str">
        <f t="shared" ref="U141:V141" si="319">U118</f>
        <v>329</v>
      </c>
      <c r="V141" s="625" t="str">
        <f t="shared" si="319"/>
        <v>Triple Axel Rose</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-61</v>
      </c>
      <c r="AI141" s="43"/>
      <c r="AJ141" s="5">
        <f t="shared" si="284"/>
        <v>-61</v>
      </c>
      <c r="AK141" s="43"/>
    </row>
    <row r="142" ht="13.5" customHeight="1">
      <c r="A142" s="875">
        <f t="shared" si="269"/>
        <v>12</v>
      </c>
      <c r="B142" s="880" t="str">
        <f t="shared" ref="B142:C142" si="321">B119</f>
        <v>3381</v>
      </c>
      <c r="C142" s="880" t="str">
        <f t="shared" si="321"/>
        <v>Hella Naughty</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14</v>
      </c>
      <c r="P142" s="43"/>
      <c r="Q142" s="875">
        <f t="shared" si="276"/>
        <v>14</v>
      </c>
      <c r="R142" s="43"/>
      <c r="S142" s="43"/>
      <c r="T142" s="875">
        <f t="shared" si="277"/>
        <v>12</v>
      </c>
      <c r="U142" s="880" t="str">
        <f t="shared" ref="U142:V142" si="323">U119</f>
        <v>410</v>
      </c>
      <c r="V142" s="880" t="str">
        <f t="shared" si="323"/>
        <v>Ricketts</v>
      </c>
      <c r="W142" s="875">
        <f t="shared" si="279"/>
        <v>0</v>
      </c>
      <c r="X142" s="43"/>
      <c r="Y142" s="873">
        <f t="shared" ref="Y142:AB142" si="324">IF($U142="","",Y165-Y188)</f>
        <v>0</v>
      </c>
      <c r="Z142" s="873">
        <f t="shared" si="324"/>
        <v>0</v>
      </c>
      <c r="AA142" s="873">
        <f t="shared" si="324"/>
        <v>-62</v>
      </c>
      <c r="AB142" s="873">
        <f t="shared" si="324"/>
        <v>-12</v>
      </c>
      <c r="AC142" s="875">
        <f t="shared" si="281"/>
        <v>-74</v>
      </c>
      <c r="AD142" s="43"/>
      <c r="AE142" s="875">
        <f t="shared" si="282"/>
        <v>-74</v>
      </c>
      <c r="AF142" s="43"/>
      <c r="AG142" s="43"/>
      <c r="AH142" s="875">
        <f t="shared" si="283"/>
        <v>0</v>
      </c>
      <c r="AI142" s="43"/>
      <c r="AJ142" s="875">
        <f t="shared" si="284"/>
        <v>-74</v>
      </c>
      <c r="AK142" s="43"/>
    </row>
    <row r="143" ht="13.5" customHeight="1">
      <c r="A143" s="5">
        <f t="shared" si="269"/>
        <v>13</v>
      </c>
      <c r="B143" s="625" t="str">
        <f t="shared" ref="B143:C143" si="325">B120</f>
        <v>38</v>
      </c>
      <c r="C143" s="625" t="str">
        <f t="shared" si="325"/>
        <v>Colette Razorcat</v>
      </c>
      <c r="D143" s="5">
        <f t="shared" si="271"/>
        <v>0</v>
      </c>
      <c r="E143" s="43"/>
      <c r="F143" s="873">
        <f t="shared" ref="F143:I143" si="326">IF($B143="","",F166-F189)</f>
        <v>0</v>
      </c>
      <c r="G143" s="873">
        <f t="shared" si="326"/>
        <v>0</v>
      </c>
      <c r="H143" s="873">
        <f t="shared" si="326"/>
        <v>12</v>
      </c>
      <c r="I143" s="873">
        <f t="shared" si="326"/>
        <v>35</v>
      </c>
      <c r="J143" s="5">
        <f t="shared" si="273"/>
        <v>47</v>
      </c>
      <c r="K143" s="43"/>
      <c r="L143" s="5">
        <f t="shared" si="274"/>
        <v>47</v>
      </c>
      <c r="M143" s="43"/>
      <c r="N143" s="43"/>
      <c r="O143" s="5">
        <f t="shared" si="275"/>
        <v>9</v>
      </c>
      <c r="P143" s="43"/>
      <c r="Q143" s="5">
        <f t="shared" si="276"/>
        <v>56</v>
      </c>
      <c r="R143" s="43"/>
      <c r="S143" s="43"/>
      <c r="T143" s="5">
        <f t="shared" si="277"/>
        <v>13</v>
      </c>
      <c r="U143" s="625" t="str">
        <f t="shared" ref="U143:V143" si="327">U120</f>
        <v>47</v>
      </c>
      <c r="V143" s="625" t="str">
        <f t="shared" si="327"/>
        <v>Author of Pain</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394</v>
      </c>
      <c r="C144" s="880" t="str">
        <f t="shared" si="329"/>
        <v>Punkie Pie</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33</v>
      </c>
      <c r="P144" s="43"/>
      <c r="Q144" s="875">
        <f t="shared" si="276"/>
        <v>33</v>
      </c>
      <c r="R144" s="43"/>
      <c r="S144" s="43"/>
      <c r="T144" s="875">
        <f t="shared" si="277"/>
        <v>14</v>
      </c>
      <c r="U144" s="880" t="str">
        <f t="shared" ref="U144:V144" si="331">U121</f>
        <v>484*</v>
      </c>
      <c r="V144" s="880" t="str">
        <f t="shared" si="331"/>
        <v>Gemineye</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0</v>
      </c>
      <c r="AI144" s="43"/>
      <c r="AJ144" s="875">
        <f t="shared" si="284"/>
        <v>0</v>
      </c>
      <c r="AK144" s="43"/>
    </row>
    <row r="145" ht="13.5" customHeight="1">
      <c r="A145" s="5">
        <f t="shared" si="269"/>
        <v>15</v>
      </c>
      <c r="B145" s="625" t="str">
        <f t="shared" ref="B145:C145" si="333">B122</f>
        <v>4</v>
      </c>
      <c r="C145" s="625" t="str">
        <f t="shared" si="333"/>
        <v>Sure, man</v>
      </c>
      <c r="D145" s="5">
        <f t="shared" si="271"/>
        <v>0</v>
      </c>
      <c r="E145" s="43"/>
      <c r="F145" s="873">
        <f t="shared" ref="F145:I145" si="334">IF($B145="","",F168-F191)</f>
        <v>0</v>
      </c>
      <c r="G145" s="873">
        <f t="shared" si="334"/>
        <v>0</v>
      </c>
      <c r="H145" s="873">
        <f t="shared" si="334"/>
        <v>37</v>
      </c>
      <c r="I145" s="873">
        <f t="shared" si="334"/>
        <v>19</v>
      </c>
      <c r="J145" s="5">
        <f t="shared" si="273"/>
        <v>56</v>
      </c>
      <c r="K145" s="43"/>
      <c r="L145" s="5">
        <f t="shared" si="274"/>
        <v>56</v>
      </c>
      <c r="M145" s="43"/>
      <c r="N145" s="43"/>
      <c r="O145" s="5">
        <f t="shared" si="275"/>
        <v>0</v>
      </c>
      <c r="P145" s="43"/>
      <c r="Q145" s="5">
        <f t="shared" si="276"/>
        <v>56</v>
      </c>
      <c r="R145" s="43"/>
      <c r="S145" s="43"/>
      <c r="T145" s="5">
        <f t="shared" si="277"/>
        <v>15</v>
      </c>
      <c r="U145" s="625" t="str">
        <f t="shared" ref="U145:V145" si="335">U122</f>
        <v>505</v>
      </c>
      <c r="V145" s="625" t="str">
        <f t="shared" si="335"/>
        <v>Swearin' Marie</v>
      </c>
      <c r="W145" s="5">
        <f t="shared" si="279"/>
        <v>-102</v>
      </c>
      <c r="X145" s="43"/>
      <c r="Y145" s="873">
        <f t="shared" ref="Y145:AB145" si="336">IF($U145="","",Y168-Y191)</f>
        <v>0</v>
      </c>
      <c r="Z145" s="873">
        <f t="shared" si="336"/>
        <v>0</v>
      </c>
      <c r="AA145" s="873">
        <f t="shared" si="336"/>
        <v>0</v>
      </c>
      <c r="AB145" s="873">
        <f t="shared" si="336"/>
        <v>0</v>
      </c>
      <c r="AC145" s="5">
        <f t="shared" si="281"/>
        <v>0</v>
      </c>
      <c r="AD145" s="43"/>
      <c r="AE145" s="5">
        <f t="shared" si="282"/>
        <v>-102</v>
      </c>
      <c r="AF145" s="43"/>
      <c r="AG145" s="43"/>
      <c r="AH145" s="5">
        <f t="shared" si="283"/>
        <v>0</v>
      </c>
      <c r="AI145" s="43"/>
      <c r="AJ145" s="5">
        <f t="shared" si="284"/>
        <v>-102</v>
      </c>
      <c r="AK145" s="43"/>
    </row>
    <row r="146" ht="13.5" customHeight="1">
      <c r="A146" s="875">
        <f t="shared" si="269"/>
        <v>16</v>
      </c>
      <c r="B146" s="880" t="str">
        <f t="shared" ref="B146:C146" si="337">B123</f>
        <v>602*</v>
      </c>
      <c r="C146" s="880" t="str">
        <f t="shared" si="337"/>
        <v>Feen-X</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75*</v>
      </c>
      <c r="V146" s="880" t="str">
        <f t="shared" si="339"/>
        <v>TamTrum</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7</v>
      </c>
      <c r="C147" s="625" t="str">
        <f t="shared" si="341"/>
        <v>Skatie Katie</v>
      </c>
      <c r="D147" s="5">
        <f t="shared" si="271"/>
        <v>35</v>
      </c>
      <c r="E147" s="43"/>
      <c r="F147" s="873">
        <f t="shared" ref="F147:I147" si="342">IF($B147="","",F170-F193)</f>
        <v>0</v>
      </c>
      <c r="G147" s="873">
        <f t="shared" si="342"/>
        <v>0</v>
      </c>
      <c r="H147" s="873">
        <f t="shared" si="342"/>
        <v>0</v>
      </c>
      <c r="I147" s="873">
        <f t="shared" si="342"/>
        <v>0</v>
      </c>
      <c r="J147" s="5">
        <f t="shared" si="273"/>
        <v>0</v>
      </c>
      <c r="K147" s="43"/>
      <c r="L147" s="5">
        <f t="shared" si="274"/>
        <v>35</v>
      </c>
      <c r="M147" s="43"/>
      <c r="N147" s="43"/>
      <c r="O147" s="5">
        <f t="shared" si="275"/>
        <v>0</v>
      </c>
      <c r="P147" s="43"/>
      <c r="Q147" s="5">
        <f t="shared" si="276"/>
        <v>35</v>
      </c>
      <c r="R147" s="43"/>
      <c r="S147" s="43"/>
      <c r="T147" s="5">
        <f t="shared" si="277"/>
        <v>17</v>
      </c>
      <c r="U147" s="625" t="str">
        <f t="shared" ref="U147:V147" si="343">U124</f>
        <v>88</v>
      </c>
      <c r="V147" s="625" t="str">
        <f t="shared" si="343"/>
        <v>Rocktopus</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0</v>
      </c>
      <c r="AI147" s="43"/>
      <c r="AJ147" s="5">
        <f t="shared" si="284"/>
        <v>0</v>
      </c>
      <c r="AK147" s="43"/>
    </row>
    <row r="148" ht="13.5" customHeight="1">
      <c r="A148" s="875">
        <f t="shared" si="269"/>
        <v>18</v>
      </c>
      <c r="B148" s="880" t="str">
        <f t="shared" ref="B148:C148" si="345">B125</f>
        <v>76</v>
      </c>
      <c r="C148" s="880" t="str">
        <f t="shared" si="345"/>
        <v>Queen Loseyateefa</v>
      </c>
      <c r="D148" s="875">
        <f t="shared" si="271"/>
        <v>0</v>
      </c>
      <c r="E148" s="43"/>
      <c r="F148" s="873">
        <f t="shared" ref="F148:I148" si="346">IF($B148="","",F171-F194)</f>
        <v>0</v>
      </c>
      <c r="G148" s="873">
        <f t="shared" si="346"/>
        <v>16</v>
      </c>
      <c r="H148" s="873">
        <f t="shared" si="346"/>
        <v>15</v>
      </c>
      <c r="I148" s="873">
        <f t="shared" si="346"/>
        <v>4</v>
      </c>
      <c r="J148" s="875">
        <f t="shared" si="273"/>
        <v>35</v>
      </c>
      <c r="K148" s="43"/>
      <c r="L148" s="875">
        <f t="shared" si="274"/>
        <v>35</v>
      </c>
      <c r="M148" s="43"/>
      <c r="N148" s="43"/>
      <c r="O148" s="875">
        <f t="shared" si="275"/>
        <v>0</v>
      </c>
      <c r="P148" s="43"/>
      <c r="Q148" s="875">
        <f t="shared" si="276"/>
        <v>35</v>
      </c>
      <c r="R148" s="43"/>
      <c r="S148" s="43"/>
      <c r="T148" s="875">
        <f t="shared" si="277"/>
        <v>18</v>
      </c>
      <c r="U148" s="880" t="str">
        <f t="shared" ref="U148:V148" si="347">U125</f>
        <v>9</v>
      </c>
      <c r="V148" s="880" t="str">
        <f t="shared" si="347"/>
        <v>Kell's Inferno</v>
      </c>
      <c r="W148" s="875">
        <f t="shared" si="279"/>
        <v>0</v>
      </c>
      <c r="X148" s="43"/>
      <c r="Y148" s="873">
        <f t="shared" ref="Y148:AB148" si="348">IF($U148="","",Y171-Y194)</f>
        <v>2</v>
      </c>
      <c r="Z148" s="873">
        <f t="shared" si="348"/>
        <v>0</v>
      </c>
      <c r="AA148" s="873">
        <f t="shared" si="348"/>
        <v>0</v>
      </c>
      <c r="AB148" s="873">
        <f t="shared" si="348"/>
        <v>0</v>
      </c>
      <c r="AC148" s="875">
        <f t="shared" si="281"/>
        <v>2</v>
      </c>
      <c r="AD148" s="43"/>
      <c r="AE148" s="875">
        <f t="shared" si="282"/>
        <v>2</v>
      </c>
      <c r="AF148" s="43"/>
      <c r="AG148" s="43"/>
      <c r="AH148" s="875">
        <f t="shared" si="283"/>
        <v>-42</v>
      </c>
      <c r="AI148" s="43"/>
      <c r="AJ148" s="875">
        <f t="shared" si="284"/>
        <v>-40</v>
      </c>
      <c r="AK148" s="43"/>
    </row>
    <row r="149" ht="13.5" customHeight="1">
      <c r="A149" s="5">
        <f t="shared" si="269"/>
        <v>19</v>
      </c>
      <c r="B149" s="625" t="str">
        <f t="shared" ref="B149:C149" si="349">B126</f>
        <v>88</v>
      </c>
      <c r="C149" s="625" t="str">
        <f t="shared" si="349"/>
        <v>MsMURDR</v>
      </c>
      <c r="D149" s="5">
        <f t="shared" si="271"/>
        <v>-2</v>
      </c>
      <c r="E149" s="43"/>
      <c r="F149" s="873">
        <f t="shared" ref="F149:I149" si="350">IF($B149="","",F172-F195)</f>
        <v>0</v>
      </c>
      <c r="G149" s="873">
        <f t="shared" si="350"/>
        <v>12</v>
      </c>
      <c r="H149" s="873">
        <f t="shared" si="350"/>
        <v>20</v>
      </c>
      <c r="I149" s="873">
        <f t="shared" si="350"/>
        <v>17</v>
      </c>
      <c r="J149" s="5">
        <f t="shared" si="273"/>
        <v>49</v>
      </c>
      <c r="K149" s="43"/>
      <c r="L149" s="5">
        <f t="shared" si="274"/>
        <v>47</v>
      </c>
      <c r="M149" s="43"/>
      <c r="N149" s="43"/>
      <c r="O149" s="5">
        <f t="shared" si="275"/>
        <v>1</v>
      </c>
      <c r="P149" s="43"/>
      <c r="Q149" s="5">
        <f t="shared" si="276"/>
        <v>48</v>
      </c>
      <c r="R149" s="43"/>
      <c r="S149" s="43"/>
      <c r="T149" s="5">
        <f t="shared" si="277"/>
        <v>19</v>
      </c>
      <c r="U149" s="625" t="str">
        <f t="shared" ref="U149:V149" si="351">U126</f>
        <v>913*</v>
      </c>
      <c r="V149" s="625" t="str">
        <f t="shared" si="351"/>
        <v>Termiskater</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96*</v>
      </c>
      <c r="C150" s="880" t="str">
        <f t="shared" si="353"/>
        <v>Weird Flex</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999</v>
      </c>
      <c r="V150" s="880" t="str">
        <f t="shared" si="355"/>
        <v>Amanda Jamitinya</v>
      </c>
      <c r="W150" s="875">
        <f t="shared" si="279"/>
        <v>0</v>
      </c>
      <c r="X150" s="43"/>
      <c r="Y150" s="873">
        <f t="shared" ref="Y150:AB150" si="356">IF($U150="","",Y173-Y196)</f>
        <v>0</v>
      </c>
      <c r="Z150" s="873">
        <f t="shared" si="356"/>
        <v>-87</v>
      </c>
      <c r="AA150" s="873">
        <f t="shared" si="356"/>
        <v>0</v>
      </c>
      <c r="AB150" s="873">
        <f t="shared" si="356"/>
        <v>0</v>
      </c>
      <c r="AC150" s="875">
        <f t="shared" si="281"/>
        <v>-87</v>
      </c>
      <c r="AD150" s="43"/>
      <c r="AE150" s="875">
        <f t="shared" si="282"/>
        <v>-87</v>
      </c>
      <c r="AF150" s="43"/>
      <c r="AG150" s="43"/>
      <c r="AH150" s="875">
        <f t="shared" si="283"/>
        <v>0</v>
      </c>
      <c r="AI150" s="43"/>
      <c r="AJ150" s="875">
        <f t="shared" si="284"/>
        <v>-87</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447</v>
      </c>
      <c r="B152" s="8"/>
      <c r="C152" s="9"/>
      <c r="D152" s="866"/>
      <c r="E152" s="866"/>
      <c r="F152" s="866"/>
      <c r="G152" s="866"/>
      <c r="H152" s="866"/>
      <c r="I152" s="866"/>
      <c r="J152" s="866"/>
      <c r="K152" s="866"/>
      <c r="L152" s="866"/>
      <c r="M152" s="866"/>
      <c r="N152" s="866"/>
      <c r="O152" s="866"/>
      <c r="P152" s="866"/>
      <c r="Q152" s="866"/>
      <c r="R152" s="866"/>
      <c r="S152" s="43"/>
      <c r="T152" s="865" t="s">
        <v>447</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436</v>
      </c>
      <c r="C153" s="867" t="s">
        <v>437</v>
      </c>
      <c r="D153" s="867" t="s">
        <v>292</v>
      </c>
      <c r="E153" s="5"/>
      <c r="F153" s="869" t="s">
        <v>293</v>
      </c>
      <c r="G153" s="869" t="s">
        <v>293</v>
      </c>
      <c r="H153" s="869" t="s">
        <v>293</v>
      </c>
      <c r="I153" s="869" t="s">
        <v>293</v>
      </c>
      <c r="J153" s="867" t="s">
        <v>439</v>
      </c>
      <c r="K153" s="5"/>
      <c r="L153" s="867" t="s">
        <v>441</v>
      </c>
      <c r="M153" s="5"/>
      <c r="N153" s="870" t="s">
        <v>443</v>
      </c>
      <c r="O153" s="867" t="s">
        <v>290</v>
      </c>
      <c r="P153" s="5"/>
      <c r="Q153" s="867" t="s">
        <v>410</v>
      </c>
      <c r="R153" s="5"/>
      <c r="S153" s="43"/>
      <c r="T153" s="867">
        <v>0.0</v>
      </c>
      <c r="U153" s="867" t="s">
        <v>436</v>
      </c>
      <c r="V153" s="867" t="s">
        <v>437</v>
      </c>
      <c r="W153" s="867" t="s">
        <v>292</v>
      </c>
      <c r="X153" s="5"/>
      <c r="Y153" s="869" t="s">
        <v>293</v>
      </c>
      <c r="Z153" s="869" t="s">
        <v>293</v>
      </c>
      <c r="AA153" s="869" t="s">
        <v>293</v>
      </c>
      <c r="AB153" s="869" t="s">
        <v>293</v>
      </c>
      <c r="AC153" s="867" t="s">
        <v>439</v>
      </c>
      <c r="AD153" s="5"/>
      <c r="AE153" s="867" t="s">
        <v>441</v>
      </c>
      <c r="AF153" s="5"/>
      <c r="AG153" s="870" t="s">
        <v>443</v>
      </c>
      <c r="AH153" s="867" t="s">
        <v>290</v>
      </c>
      <c r="AI153" s="5"/>
      <c r="AJ153" s="867" t="s">
        <v>410</v>
      </c>
      <c r="AK153" s="5"/>
    </row>
    <row r="154" ht="13.5" customHeight="1">
      <c r="A154" s="5">
        <f t="shared" ref="A154:A173" si="359">A153+1</f>
        <v>1</v>
      </c>
      <c r="B154" s="625" t="str">
        <f t="shared" ref="B154:C154" si="357">B108</f>
        <v>01</v>
      </c>
      <c r="C154" s="625" t="str">
        <f t="shared" si="357"/>
        <v>Goldy Knocks</v>
      </c>
      <c r="D154" s="5">
        <f>IF($B154="","",SUMPRODUCT(--(Lineups!G$46:G$83=$B154),--(Lineups!B$46:B$83=""),Lineups!$W$46:$W$83))</f>
        <v>36</v>
      </c>
      <c r="E154" s="43"/>
      <c r="F154" s="873">
        <f>IF($B154="","",SUMPRODUCT(--(Lineups!G$46:G$83=$B154),--(Lineups!B$46:B$83="X"),Lineups!$W$46:$W$83))</f>
        <v>23</v>
      </c>
      <c r="G154" s="873">
        <f>IF($B154="","",SUMPRODUCT(--(Lineups!$K$46:$K$83=$B154),Lineups!$W$46:$W$83))</f>
        <v>25</v>
      </c>
      <c r="H154" s="873">
        <f>IF($B154="","",SUMPRODUCT(--(Lineups!$O$46:$O$83=$B154),Lineups!$W$46:$W$83))</f>
        <v>0</v>
      </c>
      <c r="I154" s="873">
        <f>IF($B154="","",SUMPRODUCT(--(Lineups!$S$46:$S$83=$B154),Lineups!$W$46:$W$83))</f>
        <v>16</v>
      </c>
      <c r="J154" s="5">
        <f t="shared" ref="J154:J173" si="361">IF(B154="","",SUM(F154:I154))</f>
        <v>64</v>
      </c>
      <c r="K154" s="43"/>
      <c r="L154" s="5">
        <f t="shared" ref="L154:L173" si="362">IF(B154="","",SUM(D154,J154))</f>
        <v>100</v>
      </c>
      <c r="M154" s="43"/>
      <c r="N154" s="43"/>
      <c r="O154" s="5">
        <f>IF($B154="","",SUMPRODUCT(--(Lineups!$C$46:$C$83=$B154),Lineups!$W$46:$W$83))</f>
        <v>0</v>
      </c>
      <c r="P154" s="43"/>
      <c r="Q154" s="5">
        <f t="shared" ref="Q154:Q173" si="363">IF(B154="","",SUM(L154,O154))</f>
        <v>100</v>
      </c>
      <c r="R154" s="43"/>
      <c r="S154" s="43"/>
      <c r="T154" s="5">
        <f t="shared" ref="T154:T173" si="364">T153+1</f>
        <v>1</v>
      </c>
      <c r="U154" s="625" t="str">
        <f t="shared" ref="U154:V154" si="358">U108</f>
        <v>10*</v>
      </c>
      <c r="V154" s="625" t="str">
        <f t="shared" si="358"/>
        <v>BAMPF!</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5">
        <f t="shared" si="359"/>
        <v>2</v>
      </c>
      <c r="B155" s="880" t="str">
        <f t="shared" ref="B155:C155" si="360">B109</f>
        <v>024</v>
      </c>
      <c r="C155" s="880" t="str">
        <f t="shared" si="360"/>
        <v>Cutty</v>
      </c>
      <c r="D155" s="875">
        <f>IF($B155="","",SUMPRODUCT(--(Lineups!G$46:G$83=$B155),--(Lineups!B$46:B$83=""),Lineups!$W$46:$W$83))</f>
        <v>53</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53</v>
      </c>
      <c r="M155" s="43"/>
      <c r="N155" s="43"/>
      <c r="O155" s="875">
        <f>IF($B155="","",SUMPRODUCT(--(Lineups!$C$46:$C$83=$B155),Lineups!$W$46:$W$83))</f>
        <v>4</v>
      </c>
      <c r="P155" s="43"/>
      <c r="Q155" s="875">
        <f t="shared" si="363"/>
        <v>57</v>
      </c>
      <c r="R155" s="43"/>
      <c r="S155" s="43"/>
      <c r="T155" s="875">
        <f t="shared" si="364"/>
        <v>2</v>
      </c>
      <c r="U155" s="880" t="str">
        <f t="shared" ref="U155:V155" si="365">U109</f>
        <v>11</v>
      </c>
      <c r="V155" s="880" t="str">
        <f t="shared" si="365"/>
        <v>Killer Queen</v>
      </c>
      <c r="W155" s="875">
        <f>IF($U155="","",SUMPRODUCT(--(Lineups!$AG$46:$AG$83=$U155),--(Lineups!$AB$46:$AB$83=""),Lineups!$AW$46:$AW$83))</f>
        <v>0</v>
      </c>
      <c r="X155" s="43"/>
      <c r="Y155" s="873">
        <f>IF($U155="","",SUMPRODUCT(--(Lineups!$AG$46:$AG$83=$U155),--(Lineups!$AB$46:$AB$83="X"),Lineups!$AW$46:$AW$83))</f>
        <v>0</v>
      </c>
      <c r="Z155" s="873">
        <f>IF($U155="","",SUMPRODUCT(--(Lineups!$AK$46:$AK$83=$U155),Lineups!$AW$46:$AW$83))</f>
        <v>9</v>
      </c>
      <c r="AA155" s="873">
        <f>IF($U155="","",SUMPRODUCT(--(Lineups!$AO$46:$AO$83=$U155),Lineups!$AW$46:$AW$83))</f>
        <v>4</v>
      </c>
      <c r="AB155" s="873">
        <f>IF($U155="","",SUMPRODUCT(--(Lineups!$AS$46:$AS$83=$U155),Lineups!$AW$46:$AW$83))</f>
        <v>4</v>
      </c>
      <c r="AC155" s="875">
        <f t="shared" si="366"/>
        <v>17</v>
      </c>
      <c r="AD155" s="43"/>
      <c r="AE155" s="875">
        <f t="shared" si="367"/>
        <v>17</v>
      </c>
      <c r="AF155" s="43"/>
      <c r="AG155" s="43"/>
      <c r="AH155" s="875">
        <f>IF($U155="","",SUMPRODUCT(--(Lineups!$AC$46:$AC$83=$U155),Lineups!$AW$46:$AW$83))</f>
        <v>0</v>
      </c>
      <c r="AI155" s="43"/>
      <c r="AJ155" s="875">
        <f t="shared" si="368"/>
        <v>17</v>
      </c>
      <c r="AK155" s="43"/>
    </row>
    <row r="156" ht="13.5" customHeight="1">
      <c r="A156" s="5">
        <f t="shared" si="359"/>
        <v>3</v>
      </c>
      <c r="B156" s="625" t="str">
        <f t="shared" ref="B156:C156" si="369">B110</f>
        <v>10</v>
      </c>
      <c r="C156" s="625" t="str">
        <f t="shared" si="369"/>
        <v>Frida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30</v>
      </c>
      <c r="P156" s="43"/>
      <c r="Q156" s="5">
        <f t="shared" si="363"/>
        <v>30</v>
      </c>
      <c r="R156" s="43"/>
      <c r="S156" s="43"/>
      <c r="T156" s="5">
        <f t="shared" si="364"/>
        <v>3</v>
      </c>
      <c r="U156" s="625" t="str">
        <f t="shared" ref="U156:V156" si="370">U110</f>
        <v>120</v>
      </c>
      <c r="V156" s="625" t="str">
        <f t="shared" si="370"/>
        <v>Nikki Nail 'er</v>
      </c>
      <c r="W156" s="5">
        <f>IF($U156="","",SUMPRODUCT(--(Lineups!$AG$46:$AG$83=$U156),--(Lineups!$AB$46:$AB$83=""),Lineups!$AW$46:$AW$83))</f>
        <v>0</v>
      </c>
      <c r="X156" s="43"/>
      <c r="Y156" s="873">
        <f>IF($U156="","",SUMPRODUCT(--(Lineups!$AG$46:$AG$83=$U156),--(Lineups!$AB$46:$AB$83="X"),Lineups!$AW$46:$AW$83))</f>
        <v>0</v>
      </c>
      <c r="Z156" s="873">
        <f>IF($U156="","",SUMPRODUCT(--(Lineups!$AK$46:$AK$83=$U156),Lineups!$AW$46:$AW$83))</f>
        <v>4</v>
      </c>
      <c r="AA156" s="873">
        <f>IF($U156="","",SUMPRODUCT(--(Lineups!$AO$46:$AO$83=$U156),Lineups!$AW$46:$AW$83))</f>
        <v>6</v>
      </c>
      <c r="AB156" s="873">
        <f>IF($U156="","",SUMPRODUCT(--(Lineups!$AS$46:$AS$83=$U156),Lineups!$AW$46:$AW$83))</f>
        <v>5</v>
      </c>
      <c r="AC156" s="5">
        <f t="shared" si="366"/>
        <v>15</v>
      </c>
      <c r="AD156" s="43"/>
      <c r="AE156" s="5">
        <f t="shared" si="367"/>
        <v>15</v>
      </c>
      <c r="AF156" s="43"/>
      <c r="AG156" s="43"/>
      <c r="AH156" s="5">
        <f>IF($U156="","",SUMPRODUCT(--(Lineups!$AC$46:$AC$83=$U156),Lineups!$AW$46:$AW$83))</f>
        <v>0</v>
      </c>
      <c r="AI156" s="43"/>
      <c r="AJ156" s="5">
        <f t="shared" si="368"/>
        <v>15</v>
      </c>
      <c r="AK156" s="43"/>
    </row>
    <row r="157" ht="13.5" customHeight="1">
      <c r="A157" s="875">
        <f t="shared" si="359"/>
        <v>4</v>
      </c>
      <c r="B157" s="880" t="str">
        <f t="shared" ref="B157:C157" si="371">B111</f>
        <v>16*</v>
      </c>
      <c r="C157" s="880" t="str">
        <f t="shared" si="371"/>
        <v>Just Monroe</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0</v>
      </c>
      <c r="P157" s="43"/>
      <c r="Q157" s="875">
        <f t="shared" si="363"/>
        <v>0</v>
      </c>
      <c r="R157" s="43"/>
      <c r="S157" s="43"/>
      <c r="T157" s="875">
        <f t="shared" si="364"/>
        <v>4</v>
      </c>
      <c r="U157" s="880" t="str">
        <f t="shared" ref="U157:V157" si="372">U111</f>
        <v>13</v>
      </c>
      <c r="V157" s="880" t="str">
        <f t="shared" si="372"/>
        <v>Libido Loca</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0</v>
      </c>
      <c r="AI157" s="43"/>
      <c r="AJ157" s="875">
        <f t="shared" si="368"/>
        <v>0</v>
      </c>
      <c r="AK157" s="43"/>
    </row>
    <row r="158" ht="13.5" customHeight="1">
      <c r="A158" s="5">
        <f t="shared" si="359"/>
        <v>5</v>
      </c>
      <c r="B158" s="625" t="str">
        <f t="shared" ref="B158:C158" si="373">B112</f>
        <v>22*</v>
      </c>
      <c r="C158" s="625" t="str">
        <f t="shared" si="373"/>
        <v>Meche</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15</v>
      </c>
      <c r="V158" s="625" t="str">
        <f t="shared" si="374"/>
        <v>Harley Darlin</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8</v>
      </c>
      <c r="AI158" s="43"/>
      <c r="AJ158" s="5">
        <f t="shared" si="368"/>
        <v>8</v>
      </c>
      <c r="AK158" s="43"/>
    </row>
    <row r="159" ht="13.5" customHeight="1">
      <c r="A159" s="875">
        <f t="shared" si="359"/>
        <v>6</v>
      </c>
      <c r="B159" s="880" t="str">
        <f t="shared" ref="B159:C159" si="375">B113</f>
        <v>24</v>
      </c>
      <c r="C159" s="880" t="str">
        <f t="shared" si="375"/>
        <v>Ima BlowBya</v>
      </c>
      <c r="D159" s="875">
        <f>IF($B159="","",SUMPRODUCT(--(Lineups!G$46:G$83=$B159),--(Lineups!B$46:B$83=""),Lineups!$W$46:$W$83))</f>
        <v>0</v>
      </c>
      <c r="E159" s="43"/>
      <c r="F159" s="873">
        <f>IF($B159="","",SUMPRODUCT(--(Lineups!G$46:G$83=$B159),--(Lineups!B$46:B$83="X"),Lineups!$W$46:$W$83))</f>
        <v>0</v>
      </c>
      <c r="G159" s="873">
        <f>IF($B159="","",SUMPRODUCT(--(Lineups!$K$46:$K$83=$B159),Lineups!$W$46:$W$83))</f>
        <v>21</v>
      </c>
      <c r="H159" s="873">
        <f>IF($B159="","",SUMPRODUCT(--(Lineups!$O$46:$O$83=$B159),Lineups!$W$46:$W$83))</f>
        <v>17</v>
      </c>
      <c r="I159" s="873">
        <f>IF($B159="","",SUMPRODUCT(--(Lineups!$S$46:$S$83=$B159),Lineups!$W$46:$W$83))</f>
        <v>15</v>
      </c>
      <c r="J159" s="875">
        <f t="shared" si="361"/>
        <v>53</v>
      </c>
      <c r="K159" s="43"/>
      <c r="L159" s="875">
        <f t="shared" si="362"/>
        <v>53</v>
      </c>
      <c r="M159" s="43"/>
      <c r="N159" s="43"/>
      <c r="O159" s="875">
        <f>IF($B159="","",SUMPRODUCT(--(Lineups!$C$46:$C$83=$B159),Lineups!$W$46:$W$83))</f>
        <v>0</v>
      </c>
      <c r="P159" s="43"/>
      <c r="Q159" s="875">
        <f t="shared" si="363"/>
        <v>53</v>
      </c>
      <c r="R159" s="43"/>
      <c r="S159" s="43"/>
      <c r="T159" s="875">
        <f t="shared" si="364"/>
        <v>6</v>
      </c>
      <c r="U159" s="880" t="str">
        <f t="shared" ref="U159:V159" si="376">U113</f>
        <v>21*</v>
      </c>
      <c r="V159" s="880" t="str">
        <f t="shared" si="376"/>
        <v>Agatha KrisB</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264</v>
      </c>
      <c r="C160" s="625" t="str">
        <f t="shared" si="377"/>
        <v>Velasco Sauce</v>
      </c>
      <c r="D160" s="5">
        <f>IF($B160="","",SUMPRODUCT(--(Lineups!G$46:G$83=$B160),--(Lineups!B$46:B$83=""),Lineups!$W$46:$W$83))</f>
        <v>0</v>
      </c>
      <c r="E160" s="43"/>
      <c r="F160" s="873">
        <f>IF($B160="","",SUMPRODUCT(--(Lineups!G$46:G$83=$B160),--(Lineups!B$46:B$83="X"),Lineups!$W$46:$W$83))</f>
        <v>0</v>
      </c>
      <c r="G160" s="873">
        <f>IF($B160="","",SUMPRODUCT(--(Lineups!$K$46:$K$83=$B160),Lineups!$W$46:$W$83))</f>
        <v>4</v>
      </c>
      <c r="H160" s="873">
        <f>IF($B160="","",SUMPRODUCT(--(Lineups!$O$46:$O$83=$B160),Lineups!$W$46:$W$83))</f>
        <v>6</v>
      </c>
      <c r="I160" s="873">
        <f>IF($B160="","",SUMPRODUCT(--(Lineups!$S$46:$S$83=$B160),Lineups!$W$46:$W$83))</f>
        <v>29</v>
      </c>
      <c r="J160" s="5">
        <f t="shared" si="361"/>
        <v>39</v>
      </c>
      <c r="K160" s="43"/>
      <c r="L160" s="5">
        <f t="shared" si="362"/>
        <v>39</v>
      </c>
      <c r="M160" s="43"/>
      <c r="N160" s="43"/>
      <c r="O160" s="5">
        <f>IF($B160="","",SUMPRODUCT(--(Lineups!$C$46:$C$83=$B160),Lineups!$W$46:$W$83))</f>
        <v>0</v>
      </c>
      <c r="P160" s="43"/>
      <c r="Q160" s="5">
        <f t="shared" si="363"/>
        <v>39</v>
      </c>
      <c r="R160" s="43"/>
      <c r="S160" s="43"/>
      <c r="T160" s="5">
        <f t="shared" si="364"/>
        <v>7</v>
      </c>
      <c r="U160" s="625" t="str">
        <f t="shared" ref="U160:V160" si="378">U114</f>
        <v>213</v>
      </c>
      <c r="V160" s="625" t="str">
        <f t="shared" si="378"/>
        <v>IceBox</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6</v>
      </c>
      <c r="AB160" s="873">
        <f>IF($U160="","",SUMPRODUCT(--(Lineups!$AS$46:$AS$83=$U160),Lineups!$AW$46:$AW$83))</f>
        <v>4</v>
      </c>
      <c r="AC160" s="5">
        <f t="shared" si="366"/>
        <v>10</v>
      </c>
      <c r="AD160" s="43"/>
      <c r="AE160" s="5">
        <f t="shared" si="367"/>
        <v>10</v>
      </c>
      <c r="AF160" s="43"/>
      <c r="AG160" s="43"/>
      <c r="AH160" s="5">
        <f>IF($U160="","",SUMPRODUCT(--(Lineups!$AC$46:$AC$83=$U160),Lineups!$AW$46:$AW$83))</f>
        <v>0</v>
      </c>
      <c r="AI160" s="43"/>
      <c r="AJ160" s="5">
        <f t="shared" si="368"/>
        <v>10</v>
      </c>
      <c r="AK160" s="43"/>
    </row>
    <row r="161" ht="13.5" customHeight="1">
      <c r="A161" s="875">
        <f t="shared" si="359"/>
        <v>8</v>
      </c>
      <c r="B161" s="880" t="str">
        <f t="shared" ref="B161:C161" si="379">B115</f>
        <v>27*</v>
      </c>
      <c r="C161" s="880" t="str">
        <f t="shared" si="379"/>
        <v>Babethoven</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0</v>
      </c>
      <c r="P161" s="43"/>
      <c r="Q161" s="875">
        <f t="shared" si="363"/>
        <v>0</v>
      </c>
      <c r="R161" s="43"/>
      <c r="S161" s="43"/>
      <c r="T161" s="875">
        <f t="shared" si="364"/>
        <v>8</v>
      </c>
      <c r="U161" s="880" t="str">
        <f t="shared" ref="U161:V161" si="380">U115</f>
        <v>221</v>
      </c>
      <c r="V161" s="880" t="str">
        <f t="shared" si="380"/>
        <v>Syann</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3</v>
      </c>
      <c r="C162" s="625" t="str">
        <f t="shared" si="381"/>
        <v>Alexia</v>
      </c>
      <c r="D162" s="5">
        <f>IF($B162="","",SUMPRODUCT(--(Lineups!G$46:G$83=$B162),--(Lineups!B$46:B$83=""),Lineups!$W$46:$W$83))</f>
        <v>0</v>
      </c>
      <c r="E162" s="43"/>
      <c r="F162" s="873">
        <f>IF($B162="","",SUMPRODUCT(--(Lineups!G$46:G$83=$B162),--(Lineups!B$46:B$83="X"),Lineups!$W$46:$W$83))</f>
        <v>1</v>
      </c>
      <c r="G162" s="873">
        <f>IF($B162="","",SUMPRODUCT(--(Lineups!$K$46:$K$83=$B162),Lineups!$W$46:$W$83))</f>
        <v>35</v>
      </c>
      <c r="H162" s="873">
        <f>IF($B162="","",SUMPRODUCT(--(Lineups!$O$46:$O$83=$B162),Lineups!$W$46:$W$83))</f>
        <v>0</v>
      </c>
      <c r="I162" s="873">
        <f>IF($B162="","",SUMPRODUCT(--(Lineups!$S$46:$S$83=$B162),Lineups!$W$46:$W$83))</f>
        <v>18</v>
      </c>
      <c r="J162" s="5">
        <f t="shared" si="361"/>
        <v>54</v>
      </c>
      <c r="K162" s="43"/>
      <c r="L162" s="5">
        <f t="shared" si="362"/>
        <v>54</v>
      </c>
      <c r="M162" s="43"/>
      <c r="N162" s="43"/>
      <c r="O162" s="5">
        <f>IF($B162="","",SUMPRODUCT(--(Lineups!$C$46:$C$83=$B162),Lineups!$W$46:$W$83))</f>
        <v>0</v>
      </c>
      <c r="P162" s="43"/>
      <c r="Q162" s="5">
        <f t="shared" si="363"/>
        <v>54</v>
      </c>
      <c r="R162" s="43"/>
      <c r="S162" s="43"/>
      <c r="T162" s="5">
        <f t="shared" si="364"/>
        <v>9</v>
      </c>
      <c r="U162" s="625" t="str">
        <f t="shared" ref="U162:V162" si="382">U116</f>
        <v>28</v>
      </c>
      <c r="V162" s="625" t="str">
        <f t="shared" si="382"/>
        <v>Hot Box</v>
      </c>
      <c r="W162" s="5">
        <f>IF($U162="","",SUMPRODUCT(--(Lineups!$AG$46:$AG$83=$U162),--(Lineups!$AB$46:$AB$83=""),Lineups!$AW$46:$AW$83))</f>
        <v>13</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0</v>
      </c>
      <c r="AC162" s="5">
        <f t="shared" si="366"/>
        <v>0</v>
      </c>
      <c r="AD162" s="43"/>
      <c r="AE162" s="5">
        <f t="shared" si="367"/>
        <v>13</v>
      </c>
      <c r="AF162" s="43"/>
      <c r="AG162" s="43"/>
      <c r="AH162" s="5">
        <f>IF($U162="","",SUMPRODUCT(--(Lineups!$AC$46:$AC$83=$U162),Lineups!$AW$46:$AW$83))</f>
        <v>2</v>
      </c>
      <c r="AI162" s="43"/>
      <c r="AJ162" s="5">
        <f t="shared" si="368"/>
        <v>15</v>
      </c>
      <c r="AK162" s="43"/>
    </row>
    <row r="163" ht="13.5" customHeight="1">
      <c r="A163" s="875">
        <f t="shared" si="359"/>
        <v>10</v>
      </c>
      <c r="B163" s="880" t="str">
        <f t="shared" ref="B163:C163" si="383">B117</f>
        <v>31</v>
      </c>
      <c r="C163" s="880" t="str">
        <f t="shared" si="383"/>
        <v>2x Force</v>
      </c>
      <c r="D163" s="875">
        <f>IF($B163="","",SUMPRODUCT(--(Lineups!G$46:G$83=$B163),--(Lineups!B$46:B$83=""),Lineups!$W$46:$W$83))</f>
        <v>0</v>
      </c>
      <c r="E163" s="43"/>
      <c r="F163" s="873">
        <f>IF($B163="","",SUMPRODUCT(--(Lineups!G$46:G$83=$B163),--(Lineups!B$46:B$83="X"),Lineups!$W$46:$W$83))</f>
        <v>0</v>
      </c>
      <c r="G163" s="873">
        <f>IF($B163="","",SUMPRODUCT(--(Lineups!$K$46:$K$83=$B163),Lineups!$W$46:$W$83))</f>
        <v>33</v>
      </c>
      <c r="H163" s="873">
        <f>IF($B163="","",SUMPRODUCT(--(Lineups!$O$46:$O$83=$B163),Lineups!$W$46:$W$83))</f>
        <v>46</v>
      </c>
      <c r="I163" s="873">
        <f>IF($B163="","",SUMPRODUCT(--(Lineups!$S$46:$S$83=$B163),Lineups!$W$46:$W$83))</f>
        <v>0</v>
      </c>
      <c r="J163" s="875">
        <f t="shared" si="361"/>
        <v>79</v>
      </c>
      <c r="K163" s="43"/>
      <c r="L163" s="875">
        <f t="shared" si="362"/>
        <v>79</v>
      </c>
      <c r="M163" s="43"/>
      <c r="N163" s="43"/>
      <c r="O163" s="875">
        <f>IF($B163="","",SUMPRODUCT(--(Lineups!$C$46:$C$83=$B163),Lineups!$W$46:$W$83))</f>
        <v>0</v>
      </c>
      <c r="P163" s="43"/>
      <c r="Q163" s="875">
        <f t="shared" si="363"/>
        <v>79</v>
      </c>
      <c r="R163" s="43"/>
      <c r="S163" s="43"/>
      <c r="T163" s="875">
        <f t="shared" si="364"/>
        <v>10</v>
      </c>
      <c r="U163" s="880" t="str">
        <f t="shared" ref="U163:V163" si="384">U117</f>
        <v>321</v>
      </c>
      <c r="V163" s="880" t="str">
        <f t="shared" si="384"/>
        <v>Rockit</v>
      </c>
      <c r="W163" s="875">
        <f>IF($U163="","",SUMPRODUCT(--(Lineups!$AG$46:$AG$83=$U163),--(Lineups!$AB$46:$AB$83=""),Lineups!$AW$46:$AW$83))</f>
        <v>0</v>
      </c>
      <c r="X163" s="43"/>
      <c r="Y163" s="873">
        <f>IF($U163="","",SUMPRODUCT(--(Lineups!$AG$46:$AG$83=$U163),--(Lineups!$AB$46:$AB$83="X"),Lineups!$AW$46:$AW$83))</f>
        <v>0</v>
      </c>
      <c r="Z163" s="873">
        <f>IF($U163="","",SUMPRODUCT(--(Lineups!$AK$46:$AK$83=$U163),Lineups!$AW$46:$AW$83))</f>
        <v>2</v>
      </c>
      <c r="AA163" s="873">
        <f>IF($U163="","",SUMPRODUCT(--(Lineups!$AO$46:$AO$83=$U163),Lineups!$AW$46:$AW$83))</f>
        <v>5</v>
      </c>
      <c r="AB163" s="873">
        <f>IF($U163="","",SUMPRODUCT(--(Lineups!$AS$46:$AS$83=$U163),Lineups!$AW$46:$AW$83))</f>
        <v>8</v>
      </c>
      <c r="AC163" s="875">
        <f t="shared" si="366"/>
        <v>15</v>
      </c>
      <c r="AD163" s="43"/>
      <c r="AE163" s="875">
        <f t="shared" si="367"/>
        <v>15</v>
      </c>
      <c r="AF163" s="43"/>
      <c r="AG163" s="43"/>
      <c r="AH163" s="875">
        <f>IF($U163="","",SUMPRODUCT(--(Lineups!$AC$46:$AC$83=$U163),Lineups!$AW$46:$AW$83))</f>
        <v>0</v>
      </c>
      <c r="AI163" s="43"/>
      <c r="AJ163" s="875">
        <f t="shared" si="368"/>
        <v>15</v>
      </c>
      <c r="AK163" s="43"/>
    </row>
    <row r="164" ht="13.5" customHeight="1">
      <c r="A164" s="5">
        <f t="shared" si="359"/>
        <v>11</v>
      </c>
      <c r="B164" s="625" t="str">
        <f t="shared" ref="B164:C164" si="385">B118</f>
        <v>313</v>
      </c>
      <c r="C164" s="625" t="str">
        <f t="shared" si="385"/>
        <v>WestCoast MaFia</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57</v>
      </c>
      <c r="P164" s="43"/>
      <c r="Q164" s="5">
        <f t="shared" si="363"/>
        <v>57</v>
      </c>
      <c r="R164" s="43"/>
      <c r="S164" s="43"/>
      <c r="T164" s="5">
        <f t="shared" si="364"/>
        <v>11</v>
      </c>
      <c r="U164" s="625" t="str">
        <f t="shared" ref="U164:V164" si="386">U118</f>
        <v>329</v>
      </c>
      <c r="V164" s="625" t="str">
        <f t="shared" si="386"/>
        <v>Triple Axel Rose</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3.5" customHeight="1">
      <c r="A165" s="875">
        <f t="shared" si="359"/>
        <v>12</v>
      </c>
      <c r="B165" s="880" t="str">
        <f t="shared" ref="B165:C165" si="387">B119</f>
        <v>3381</v>
      </c>
      <c r="C165" s="880" t="str">
        <f t="shared" si="387"/>
        <v>Hella Naughty</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18</v>
      </c>
      <c r="P165" s="43"/>
      <c r="Q165" s="875">
        <f t="shared" si="363"/>
        <v>18</v>
      </c>
      <c r="R165" s="43"/>
      <c r="S165" s="43"/>
      <c r="T165" s="875">
        <f t="shared" si="364"/>
        <v>12</v>
      </c>
      <c r="U165" s="880" t="str">
        <f t="shared" ref="U165:V165" si="388">U119</f>
        <v>410</v>
      </c>
      <c r="V165" s="880" t="str">
        <f t="shared" si="388"/>
        <v>Ricketts</v>
      </c>
      <c r="W165" s="875">
        <f>IF($U165="","",SUMPRODUCT(--(Lineups!$AG$46:$AG$83=$U165),--(Lineups!$AB$46:$AB$83=""),Lineups!$AW$46:$AW$83))</f>
        <v>0</v>
      </c>
      <c r="X165" s="43"/>
      <c r="Y165" s="873">
        <f>IF($U165="","",SUMPRODUCT(--(Lineups!$AG$46:$AG$83=$U165),--(Lineups!$AB$46:$AB$83="X"),Lineups!$AW$46:$AW$83))</f>
        <v>0</v>
      </c>
      <c r="Z165" s="873">
        <f>IF($U165="","",SUMPRODUCT(--(Lineups!$AK$46:$AK$83=$U165),Lineups!$AW$46:$AW$83))</f>
        <v>4</v>
      </c>
      <c r="AA165" s="873">
        <f>IF($U165="","",SUMPRODUCT(--(Lineups!$AO$46:$AO$83=$U165),Lineups!$AW$46:$AW$83))</f>
        <v>0</v>
      </c>
      <c r="AB165" s="873">
        <f>IF($U165="","",SUMPRODUCT(--(Lineups!$AS$46:$AS$83=$U165),Lineups!$AW$46:$AW$83))</f>
        <v>4</v>
      </c>
      <c r="AC165" s="875">
        <f t="shared" si="366"/>
        <v>8</v>
      </c>
      <c r="AD165" s="43"/>
      <c r="AE165" s="875">
        <f t="shared" si="367"/>
        <v>8</v>
      </c>
      <c r="AF165" s="43"/>
      <c r="AG165" s="43"/>
      <c r="AH165" s="875">
        <f>IF($U165="","",SUMPRODUCT(--(Lineups!$AC$46:$AC$83=$U165),Lineups!$AW$46:$AW$83))</f>
        <v>0</v>
      </c>
      <c r="AI165" s="43"/>
      <c r="AJ165" s="875">
        <f t="shared" si="368"/>
        <v>8</v>
      </c>
      <c r="AK165" s="43"/>
    </row>
    <row r="166" ht="13.5" customHeight="1">
      <c r="A166" s="5">
        <f t="shared" si="359"/>
        <v>13</v>
      </c>
      <c r="B166" s="625" t="str">
        <f t="shared" ref="B166:C166" si="389">B120</f>
        <v>38</v>
      </c>
      <c r="C166" s="625" t="str">
        <f t="shared" si="389"/>
        <v>Colette Razorcat</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12</v>
      </c>
      <c r="I166" s="873">
        <f>IF($B166="","",SUMPRODUCT(--(Lineups!$S$46:$S$83=$B166),Lineups!$W$46:$W$83))</f>
        <v>39</v>
      </c>
      <c r="J166" s="5">
        <f t="shared" si="361"/>
        <v>51</v>
      </c>
      <c r="K166" s="43"/>
      <c r="L166" s="5">
        <f t="shared" si="362"/>
        <v>51</v>
      </c>
      <c r="M166" s="43"/>
      <c r="N166" s="43"/>
      <c r="O166" s="5">
        <f>IF($B166="","",SUMPRODUCT(--(Lineups!$C$46:$C$83=$B166),Lineups!$W$46:$W$83))</f>
        <v>16</v>
      </c>
      <c r="P166" s="43"/>
      <c r="Q166" s="5">
        <f t="shared" si="363"/>
        <v>67</v>
      </c>
      <c r="R166" s="43"/>
      <c r="S166" s="43"/>
      <c r="T166" s="5">
        <f t="shared" si="364"/>
        <v>13</v>
      </c>
      <c r="U166" s="625" t="str">
        <f t="shared" ref="U166:V166" si="390">U120</f>
        <v>47</v>
      </c>
      <c r="V166" s="625" t="str">
        <f t="shared" si="390"/>
        <v>Author of Pain</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394</v>
      </c>
      <c r="C167" s="880" t="str">
        <f t="shared" si="391"/>
        <v>Punkie Pie</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35</v>
      </c>
      <c r="P167" s="43"/>
      <c r="Q167" s="875">
        <f t="shared" si="363"/>
        <v>35</v>
      </c>
      <c r="R167" s="43"/>
      <c r="S167" s="43"/>
      <c r="T167" s="875">
        <f t="shared" si="364"/>
        <v>14</v>
      </c>
      <c r="U167" s="880" t="str">
        <f t="shared" ref="U167:V167" si="392">U121</f>
        <v>484*</v>
      </c>
      <c r="V167" s="880" t="str">
        <f t="shared" si="392"/>
        <v>Gemineye</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0</v>
      </c>
      <c r="AI167" s="43"/>
      <c r="AJ167" s="875">
        <f t="shared" si="368"/>
        <v>0</v>
      </c>
      <c r="AK167" s="43"/>
    </row>
    <row r="168" ht="13.5" customHeight="1">
      <c r="A168" s="5">
        <f t="shared" si="359"/>
        <v>15</v>
      </c>
      <c r="B168" s="625" t="str">
        <f t="shared" ref="B168:C168" si="393">B122</f>
        <v>4</v>
      </c>
      <c r="C168" s="625" t="str">
        <f t="shared" si="393"/>
        <v>Sure, man</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43</v>
      </c>
      <c r="I168" s="873">
        <f>IF($B168="","",SUMPRODUCT(--(Lineups!$S$46:$S$83=$B168),Lineups!$W$46:$W$83))</f>
        <v>19</v>
      </c>
      <c r="J168" s="5">
        <f t="shared" si="361"/>
        <v>62</v>
      </c>
      <c r="K168" s="43"/>
      <c r="L168" s="5">
        <f t="shared" si="362"/>
        <v>62</v>
      </c>
      <c r="M168" s="43"/>
      <c r="N168" s="43"/>
      <c r="O168" s="5">
        <f>IF($B168="","",SUMPRODUCT(--(Lineups!$C$46:$C$83=$B168),Lineups!$W$46:$W$83))</f>
        <v>0</v>
      </c>
      <c r="P168" s="43"/>
      <c r="Q168" s="5">
        <f t="shared" si="363"/>
        <v>62</v>
      </c>
      <c r="R168" s="43"/>
      <c r="S168" s="43"/>
      <c r="T168" s="5">
        <f t="shared" si="364"/>
        <v>15</v>
      </c>
      <c r="U168" s="625" t="str">
        <f t="shared" ref="U168:V168" si="394">U122</f>
        <v>505</v>
      </c>
      <c r="V168" s="625" t="str">
        <f t="shared" si="394"/>
        <v>Swearin' Marie</v>
      </c>
      <c r="W168" s="5">
        <f>IF($U168="","",SUMPRODUCT(--(Lineups!$AG$46:$AG$83=$U168),--(Lineups!$AB$46:$AB$83=""),Lineups!$AW$46:$AW$83))</f>
        <v>10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10</v>
      </c>
      <c r="AF168" s="43"/>
      <c r="AG168" s="43"/>
      <c r="AH168" s="5">
        <f>IF($U168="","",SUMPRODUCT(--(Lineups!$AC$46:$AC$83=$U168),Lineups!$AW$46:$AW$83))</f>
        <v>0</v>
      </c>
      <c r="AI168" s="43"/>
      <c r="AJ168" s="5">
        <f t="shared" si="368"/>
        <v>10</v>
      </c>
      <c r="AK168" s="43"/>
    </row>
    <row r="169" ht="13.5" customHeight="1">
      <c r="A169" s="875">
        <f t="shared" si="359"/>
        <v>16</v>
      </c>
      <c r="B169" s="880" t="str">
        <f t="shared" ref="B169:C169" si="395">B123</f>
        <v>602*</v>
      </c>
      <c r="C169" s="880" t="str">
        <f t="shared" si="395"/>
        <v>Feen-X</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75*</v>
      </c>
      <c r="V169" s="880" t="str">
        <f t="shared" si="396"/>
        <v>TamTrum</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7</v>
      </c>
      <c r="C170" s="625" t="str">
        <f t="shared" si="397"/>
        <v>Skatie Katie</v>
      </c>
      <c r="D170" s="5">
        <f>IF($B170="","",SUMPRODUCT(--(Lineups!G$46:G$83=$B170),--(Lineups!B$46:B$83=""),Lineups!$W$46:$W$83))</f>
        <v>48</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48</v>
      </c>
      <c r="M170" s="43"/>
      <c r="N170" s="43"/>
      <c r="O170" s="5">
        <f>IF($B170="","",SUMPRODUCT(--(Lineups!$C$46:$C$83=$B170),Lineups!$W$46:$W$83))</f>
        <v>0</v>
      </c>
      <c r="P170" s="43"/>
      <c r="Q170" s="5">
        <f t="shared" si="363"/>
        <v>48</v>
      </c>
      <c r="R170" s="43"/>
      <c r="S170" s="43"/>
      <c r="T170" s="5">
        <f t="shared" si="364"/>
        <v>17</v>
      </c>
      <c r="U170" s="625" t="str">
        <f t="shared" ref="U170:V170" si="398">U124</f>
        <v>88</v>
      </c>
      <c r="V170" s="625" t="str">
        <f t="shared" si="398"/>
        <v>Rocktopus</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5">
        <f t="shared" si="359"/>
        <v>18</v>
      </c>
      <c r="B171" s="880" t="str">
        <f t="shared" ref="B171:C171" si="399">B125</f>
        <v>76</v>
      </c>
      <c r="C171" s="880" t="str">
        <f t="shared" si="399"/>
        <v>Queen Loseyateefa</v>
      </c>
      <c r="D171" s="875">
        <f>IF($B171="","",SUMPRODUCT(--(Lineups!G$46:G$83=$B171),--(Lineups!B$46:B$83=""),Lineups!$W$46:$W$83))</f>
        <v>0</v>
      </c>
      <c r="E171" s="43"/>
      <c r="F171" s="873">
        <f>IF($B171="","",SUMPRODUCT(--(Lineups!G$46:G$83=$B171),--(Lineups!B$46:B$83="X"),Lineups!$W$46:$W$83))</f>
        <v>0</v>
      </c>
      <c r="G171" s="873">
        <f>IF($B171="","",SUMPRODUCT(--(Lineups!$K$46:$K$83=$B171),Lineups!$W$46:$W$83))</f>
        <v>27</v>
      </c>
      <c r="H171" s="873">
        <f>IF($B171="","",SUMPRODUCT(--(Lineups!$O$46:$O$83=$B171),Lineups!$W$46:$W$83))</f>
        <v>15</v>
      </c>
      <c r="I171" s="873">
        <f>IF($B171="","",SUMPRODUCT(--(Lineups!$S$46:$S$83=$B171),Lineups!$W$46:$W$83))</f>
        <v>4</v>
      </c>
      <c r="J171" s="875">
        <f t="shared" si="361"/>
        <v>46</v>
      </c>
      <c r="K171" s="43"/>
      <c r="L171" s="875">
        <f t="shared" si="362"/>
        <v>46</v>
      </c>
      <c r="M171" s="43"/>
      <c r="N171" s="43"/>
      <c r="O171" s="875">
        <f>IF($B171="","",SUMPRODUCT(--(Lineups!$C$46:$C$83=$B171),Lineups!$W$46:$W$83))</f>
        <v>0</v>
      </c>
      <c r="P171" s="43"/>
      <c r="Q171" s="875">
        <f t="shared" si="363"/>
        <v>46</v>
      </c>
      <c r="R171" s="43"/>
      <c r="S171" s="43"/>
      <c r="T171" s="875">
        <f t="shared" si="364"/>
        <v>18</v>
      </c>
      <c r="U171" s="880" t="str">
        <f t="shared" ref="U171:V171" si="400">U125</f>
        <v>9</v>
      </c>
      <c r="V171" s="880" t="str">
        <f t="shared" si="400"/>
        <v>Kell's Inferno</v>
      </c>
      <c r="W171" s="875">
        <f>IF($U171="","",SUMPRODUCT(--(Lineups!$AG$46:$AG$83=$U171),--(Lineups!$AB$46:$AB$83=""),Lineups!$AW$46:$AW$83))</f>
        <v>0</v>
      </c>
      <c r="X171" s="43"/>
      <c r="Y171" s="873">
        <f>IF($U171="","",SUMPRODUCT(--(Lineups!$AG$46:$AG$83=$U171),--(Lineups!$AB$46:$AB$83="X"),Lineups!$AW$46:$AW$83))</f>
        <v>2</v>
      </c>
      <c r="Z171" s="873">
        <f>IF($U171="","",SUMPRODUCT(--(Lineups!$AK$46:$AK$83=$U171),Lineups!$AW$46:$AW$83))</f>
        <v>0</v>
      </c>
      <c r="AA171" s="873">
        <f>IF($U171="","",SUMPRODUCT(--(Lineups!$AO$46:$AO$83=$U171),Lineups!$AW$46:$AW$83))</f>
        <v>0</v>
      </c>
      <c r="AB171" s="873">
        <f>IF($U171="","",SUMPRODUCT(--(Lineups!$AS$46:$AS$83=$U171),Lineups!$AW$46:$AW$83))</f>
        <v>0</v>
      </c>
      <c r="AC171" s="875">
        <f t="shared" si="366"/>
        <v>2</v>
      </c>
      <c r="AD171" s="43"/>
      <c r="AE171" s="875">
        <f t="shared" si="367"/>
        <v>2</v>
      </c>
      <c r="AF171" s="43"/>
      <c r="AG171" s="43"/>
      <c r="AH171" s="875">
        <f>IF($U171="","",SUMPRODUCT(--(Lineups!$AC$46:$AC$83=$U171),Lineups!$AW$46:$AW$83))</f>
        <v>11</v>
      </c>
      <c r="AI171" s="43"/>
      <c r="AJ171" s="875">
        <f t="shared" si="368"/>
        <v>13</v>
      </c>
      <c r="AK171" s="43"/>
    </row>
    <row r="172" ht="13.5" customHeight="1">
      <c r="A172" s="5">
        <f t="shared" si="359"/>
        <v>19</v>
      </c>
      <c r="B172" s="625" t="str">
        <f t="shared" ref="B172:C172" si="401">B126</f>
        <v>88</v>
      </c>
      <c r="C172" s="625" t="str">
        <f t="shared" si="401"/>
        <v>MsMURDR</v>
      </c>
      <c r="D172" s="5">
        <f>IF($B172="","",SUMPRODUCT(--(Lineups!G$46:G$83=$B172),--(Lineups!B$46:B$83=""),Lineups!$W$46:$W$83))</f>
        <v>0</v>
      </c>
      <c r="E172" s="43"/>
      <c r="F172" s="873">
        <f>IF($B172="","",SUMPRODUCT(--(Lineups!G$46:G$83=$B172),--(Lineups!B$46:B$83="X"),Lineups!$W$46:$W$83))</f>
        <v>0</v>
      </c>
      <c r="G172" s="873">
        <f>IF($B172="","",SUMPRODUCT(--(Lineups!$K$46:$K$83=$B172),Lineups!$W$46:$W$83))</f>
        <v>16</v>
      </c>
      <c r="H172" s="873">
        <f>IF($B172="","",SUMPRODUCT(--(Lineups!$O$46:$O$83=$B172),Lineups!$W$46:$W$83))</f>
        <v>22</v>
      </c>
      <c r="I172" s="873">
        <f>IF($B172="","",SUMPRODUCT(--(Lineups!$S$46:$S$83=$B172),Lineups!$W$46:$W$83))</f>
        <v>21</v>
      </c>
      <c r="J172" s="5">
        <f t="shared" si="361"/>
        <v>59</v>
      </c>
      <c r="K172" s="43"/>
      <c r="L172" s="5">
        <f t="shared" si="362"/>
        <v>59</v>
      </c>
      <c r="M172" s="43"/>
      <c r="N172" s="43"/>
      <c r="O172" s="5">
        <f>IF($B172="","",SUMPRODUCT(--(Lineups!$C$46:$C$83=$B172),Lineups!$W$46:$W$83))</f>
        <v>1</v>
      </c>
      <c r="P172" s="43"/>
      <c r="Q172" s="5">
        <f t="shared" si="363"/>
        <v>60</v>
      </c>
      <c r="R172" s="43"/>
      <c r="S172" s="43"/>
      <c r="T172" s="5">
        <f t="shared" si="364"/>
        <v>19</v>
      </c>
      <c r="U172" s="625" t="str">
        <f t="shared" ref="U172:V172" si="402">U126</f>
        <v>913*</v>
      </c>
      <c r="V172" s="625" t="str">
        <f t="shared" si="402"/>
        <v>Termiskater</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96*</v>
      </c>
      <c r="C173" s="880" t="str">
        <f t="shared" si="403"/>
        <v>Weird Flex</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999</v>
      </c>
      <c r="V173" s="880" t="str">
        <f t="shared" si="404"/>
        <v>Amanda Jamitinya</v>
      </c>
      <c r="W173" s="875">
        <f>IF($U173="","",SUMPRODUCT(--(Lineups!$AG$46:$AG$83=$U173),--(Lineups!$AB$46:$AB$83=""),Lineups!$AW$46:$AW$83))</f>
        <v>0</v>
      </c>
      <c r="X173" s="43"/>
      <c r="Y173" s="873">
        <f>IF($U173="","",SUMPRODUCT(--(Lineups!$AG$46:$AG$83=$U173),--(Lineups!$AB$46:$AB$83="X"),Lineups!$AW$46:$AW$83))</f>
        <v>0</v>
      </c>
      <c r="Z173" s="873">
        <f>IF($U173="","",SUMPRODUCT(--(Lineups!$AK$46:$AK$83=$U173),Lineups!$AW$46:$AW$83))</f>
        <v>6</v>
      </c>
      <c r="AA173" s="873">
        <f>IF($U173="","",SUMPRODUCT(--(Lineups!$AO$46:$AO$83=$U173),Lineups!$AW$46:$AW$83))</f>
        <v>4</v>
      </c>
      <c r="AB173" s="873">
        <f>IF($U173="","",SUMPRODUCT(--(Lineups!$AS$46:$AS$83=$U173),Lineups!$AW$46:$AW$83))</f>
        <v>0</v>
      </c>
      <c r="AC173" s="875">
        <f t="shared" si="366"/>
        <v>10</v>
      </c>
      <c r="AD173" s="43"/>
      <c r="AE173" s="875">
        <f t="shared" si="367"/>
        <v>10</v>
      </c>
      <c r="AF173" s="43"/>
      <c r="AG173" s="43"/>
      <c r="AH173" s="875">
        <f>IF($U173="","",SUMPRODUCT(--(Lineups!$AC$46:$AC$83=$U173),Lineups!$AW$46:$AW$83))</f>
        <v>0</v>
      </c>
      <c r="AI173" s="43"/>
      <c r="AJ173" s="875">
        <f t="shared" si="368"/>
        <v>10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448</v>
      </c>
      <c r="B175" s="8"/>
      <c r="C175" s="9"/>
      <c r="D175" s="866"/>
      <c r="E175" s="866"/>
      <c r="F175" s="866"/>
      <c r="G175" s="866"/>
      <c r="H175" s="866"/>
      <c r="I175" s="866"/>
      <c r="J175" s="866"/>
      <c r="K175" s="866"/>
      <c r="L175" s="866"/>
      <c r="M175" s="866"/>
      <c r="N175" s="866"/>
      <c r="O175" s="866"/>
      <c r="P175" s="866"/>
      <c r="Q175" s="866"/>
      <c r="R175" s="866"/>
      <c r="S175" s="43"/>
      <c r="T175" s="865" t="s">
        <v>448</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436</v>
      </c>
      <c r="C176" s="867" t="s">
        <v>437</v>
      </c>
      <c r="D176" s="867" t="s">
        <v>292</v>
      </c>
      <c r="E176" s="5"/>
      <c r="F176" s="869" t="s">
        <v>293</v>
      </c>
      <c r="G176" s="869" t="s">
        <v>293</v>
      </c>
      <c r="H176" s="869" t="s">
        <v>293</v>
      </c>
      <c r="I176" s="869" t="s">
        <v>293</v>
      </c>
      <c r="J176" s="867" t="s">
        <v>439</v>
      </c>
      <c r="K176" s="5"/>
      <c r="L176" s="867" t="s">
        <v>441</v>
      </c>
      <c r="M176" s="5"/>
      <c r="N176" s="870" t="s">
        <v>443</v>
      </c>
      <c r="O176" s="867" t="s">
        <v>290</v>
      </c>
      <c r="P176" s="5"/>
      <c r="Q176" s="867" t="s">
        <v>410</v>
      </c>
      <c r="R176" s="5"/>
      <c r="S176" s="43"/>
      <c r="T176" s="867">
        <v>0.0</v>
      </c>
      <c r="U176" s="867" t="s">
        <v>436</v>
      </c>
      <c r="V176" s="867" t="s">
        <v>437</v>
      </c>
      <c r="W176" s="867" t="s">
        <v>292</v>
      </c>
      <c r="X176" s="5"/>
      <c r="Y176" s="869" t="s">
        <v>293</v>
      </c>
      <c r="Z176" s="869" t="s">
        <v>293</v>
      </c>
      <c r="AA176" s="869" t="s">
        <v>293</v>
      </c>
      <c r="AB176" s="869" t="s">
        <v>293</v>
      </c>
      <c r="AC176" s="867" t="s">
        <v>439</v>
      </c>
      <c r="AD176" s="5"/>
      <c r="AE176" s="867" t="s">
        <v>441</v>
      </c>
      <c r="AF176" s="5"/>
      <c r="AG176" s="870" t="s">
        <v>443</v>
      </c>
      <c r="AH176" s="867" t="s">
        <v>290</v>
      </c>
      <c r="AI176" s="5"/>
      <c r="AJ176" s="867" t="s">
        <v>410</v>
      </c>
      <c r="AK176" s="5"/>
    </row>
    <row r="177" ht="13.5" customHeight="1">
      <c r="A177" s="5">
        <f t="shared" ref="A177:A196" si="407">A176+1</f>
        <v>1</v>
      </c>
      <c r="B177" s="625" t="str">
        <f t="shared" ref="B177:C177" si="405">B108</f>
        <v>01</v>
      </c>
      <c r="C177" s="625" t="str">
        <f t="shared" si="405"/>
        <v>Goldy Knocks</v>
      </c>
      <c r="D177" s="5">
        <f>IF($B177="","",SUMPRODUCT(--(Lineups!$G$46:$G$83=$B177),--(Lineups!$B$46:$B$83=""),Lineups!$AW$46:$AW$83)+SUMPRODUCT(--(Lineups!$A$47:$A$84="SP*"),--(Lineups!$G$46:$G$83=$B177),--(Lineups!$B$46:$B$83=""),Lineups!$AW$47:$AW$84))</f>
        <v>6</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4</v>
      </c>
      <c r="J177" s="5">
        <f t="shared" ref="J177:J196" si="409">IF(B177="","",SUM(F177:I177))</f>
        <v>4</v>
      </c>
      <c r="K177" s="43"/>
      <c r="L177" s="5">
        <f t="shared" ref="L177:L196" si="410">IF(B177="","",SUM(D177,J177))</f>
        <v>10</v>
      </c>
      <c r="M177" s="43"/>
      <c r="N177" s="43"/>
      <c r="O177" s="5">
        <f>IF($B177="","",SUMPRODUCT(--(Lineups!$C$46:$C$83=$B177),Lineups!$AW$46:$AW$83) + SUMPRODUCT(--(Lineups!$A$47:$A$84="SP*"),--(Lineups!$C$46:$C$83=$B177),Lineups!$AW$47:$AW$84))</f>
        <v>0</v>
      </c>
      <c r="P177" s="43"/>
      <c r="Q177" s="5">
        <f t="shared" ref="Q177:Q196" si="411">IF(B177="","",SUM(L177,O177))</f>
        <v>10</v>
      </c>
      <c r="R177" s="43"/>
      <c r="S177" s="43"/>
      <c r="T177" s="5">
        <f t="shared" ref="T177:T196" si="412">T176+1</f>
        <v>1</v>
      </c>
      <c r="U177" s="625" t="str">
        <f t="shared" ref="U177:V177" si="406">U108</f>
        <v>10*</v>
      </c>
      <c r="V177" s="625" t="str">
        <f t="shared" si="406"/>
        <v>BAMPF!</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5">
        <f t="shared" si="407"/>
        <v>2</v>
      </c>
      <c r="B178" s="880" t="str">
        <f t="shared" ref="B178:C178" si="408">B109</f>
        <v>024</v>
      </c>
      <c r="C178" s="880" t="str">
        <f t="shared" si="408"/>
        <v>Cutty</v>
      </c>
      <c r="D178" s="875">
        <f>IF($B178="","",SUMPRODUCT(--(Lineups!$G$46:$G$83=$B178),--(Lineups!$B$46:$B$83=""),Lineups!$AW$46:$AW$83)+SUMPRODUCT(--(Lineups!$A$47:$A$84="SP*"),--(Lineups!$G$46:$G$83=$B178),--(Lineups!$B$46:$B$83=""),Lineups!$AW$47:$AW$84))</f>
        <v>4</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4</v>
      </c>
      <c r="M178" s="43"/>
      <c r="N178" s="43"/>
      <c r="O178" s="875">
        <f>IF($B178="","",SUMPRODUCT(--(Lineups!$C$46:$C$83=$B178),Lineups!$AW$46:$AW$83) + SUMPRODUCT(--(Lineups!$A$47:$A$84="SP*"),--(Lineups!$C$46:$C$83=$B178),Lineups!$AW$47:$AW$84))</f>
        <v>0</v>
      </c>
      <c r="P178" s="43"/>
      <c r="Q178" s="875">
        <f t="shared" si="411"/>
        <v>4</v>
      </c>
      <c r="R178" s="43"/>
      <c r="S178" s="43"/>
      <c r="T178" s="875">
        <f t="shared" si="412"/>
        <v>2</v>
      </c>
      <c r="U178" s="880" t="str">
        <f t="shared" ref="U178:V178" si="413">U109</f>
        <v>11</v>
      </c>
      <c r="V178" s="880" t="str">
        <f t="shared" si="413"/>
        <v>Killer Queen</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5</v>
      </c>
      <c r="AA178" s="873">
        <f>IF(U178="","",SUMPRODUCT(--(Lineups!$AO$46:$AO$83=$U178),Lineups!$W$46:$W$83)+SUMPRODUCT(--(Lineups!$AA$47:$AA$84="SP*"),--(Lineups!$AO$46:$AO$83=$U178),Lineups!$W$47:$W$84))</f>
        <v>16</v>
      </c>
      <c r="AB178" s="873">
        <f>IF(U178="","",SUMPRODUCT(--(Lineups!$AS$46:$AS$83=$U178),Lineups!$W$46:$W$83)+SUMPRODUCT(--(Lineups!$AA$47:$AA$84="SP*"),--(Lineups!$AS$46:$AS$83=$U178),Lineups!$W$47:$W$84))</f>
        <v>34</v>
      </c>
      <c r="AC178" s="875">
        <f t="shared" si="414"/>
        <v>55</v>
      </c>
      <c r="AD178" s="43"/>
      <c r="AE178" s="875">
        <f t="shared" si="415"/>
        <v>55</v>
      </c>
      <c r="AF178" s="43"/>
      <c r="AG178" s="43"/>
      <c r="AH178" s="875">
        <f>IF($U178="","",SUMPRODUCT(--(Lineups!$AC$46:$AC$83=$U178),Lineups!$W$46:$W$83) + SUMPRODUCT(--(Lineups!$AA$47:$AA$84="SP*"),--(Lineups!$AC$46:$AC$83=$U178),Lineups!$W$47:$W$84))</f>
        <v>0</v>
      </c>
      <c r="AI178" s="43"/>
      <c r="AJ178" s="875">
        <f t="shared" si="416"/>
        <v>55</v>
      </c>
      <c r="AK178" s="43"/>
    </row>
    <row r="179" ht="13.5" customHeight="1">
      <c r="A179" s="5">
        <f t="shared" si="407"/>
        <v>3</v>
      </c>
      <c r="B179" s="625" t="str">
        <f t="shared" ref="B179:C179" si="417">B110</f>
        <v>10</v>
      </c>
      <c r="C179" s="625" t="str">
        <f t="shared" si="417"/>
        <v>Frida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10</v>
      </c>
      <c r="P179" s="43"/>
      <c r="Q179" s="5">
        <f t="shared" si="411"/>
        <v>10</v>
      </c>
      <c r="R179" s="43"/>
      <c r="S179" s="43"/>
      <c r="T179" s="5">
        <f t="shared" si="412"/>
        <v>3</v>
      </c>
      <c r="U179" s="625" t="str">
        <f t="shared" ref="U179:V179" si="418">U110</f>
        <v>120</v>
      </c>
      <c r="V179" s="625" t="str">
        <f t="shared" si="418"/>
        <v>Nikki Nail 'er</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22</v>
      </c>
      <c r="AA179" s="873">
        <f>IF(U179="","",SUMPRODUCT(--(Lineups!$AO$46:$AO$83=$U179),Lineups!$W$46:$W$83)+SUMPRODUCT(--(Lineups!$AA$47:$AA$84="SP*"),--(Lineups!$AO$46:$AO$83=$U179),Lineups!$W$47:$W$84))</f>
        <v>26</v>
      </c>
      <c r="AB179" s="873">
        <f>IF(U179="","",SUMPRODUCT(--(Lineups!$AS$46:$AS$83=$U179),Lineups!$W$46:$W$83)+SUMPRODUCT(--(Lineups!$AA$47:$AA$84="SP*"),--(Lineups!$AS$46:$AS$83=$U179),Lineups!$W$47:$W$84))</f>
        <v>1</v>
      </c>
      <c r="AC179" s="5">
        <f t="shared" si="414"/>
        <v>49</v>
      </c>
      <c r="AD179" s="43"/>
      <c r="AE179" s="5">
        <f t="shared" si="415"/>
        <v>49</v>
      </c>
      <c r="AF179" s="43"/>
      <c r="AG179" s="43"/>
      <c r="AH179" s="5">
        <f>IF($U179="","",SUMPRODUCT(--(Lineups!$AC$46:$AC$83=$U179),Lineups!$W$46:$W$83) + SUMPRODUCT(--(Lineups!$AA$47:$AA$84="SP*"),--(Lineups!$AC$46:$AC$83=$U179),Lineups!$W$47:$W$84))</f>
        <v>0</v>
      </c>
      <c r="AI179" s="43"/>
      <c r="AJ179" s="5">
        <f t="shared" si="416"/>
        <v>49</v>
      </c>
      <c r="AK179" s="43"/>
    </row>
    <row r="180" ht="13.5" customHeight="1">
      <c r="A180" s="875">
        <f t="shared" si="407"/>
        <v>4</v>
      </c>
      <c r="B180" s="880" t="str">
        <f t="shared" ref="B180:C180" si="419">B111</f>
        <v>16*</v>
      </c>
      <c r="C180" s="880" t="str">
        <f t="shared" si="419"/>
        <v>Just Monroe</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0</v>
      </c>
      <c r="P180" s="43"/>
      <c r="Q180" s="875">
        <f t="shared" si="411"/>
        <v>0</v>
      </c>
      <c r="R180" s="43"/>
      <c r="S180" s="43"/>
      <c r="T180" s="875">
        <f t="shared" si="412"/>
        <v>4</v>
      </c>
      <c r="U180" s="880" t="str">
        <f t="shared" ref="U180:V180" si="420">U111</f>
        <v>13</v>
      </c>
      <c r="V180" s="880" t="str">
        <f t="shared" si="420"/>
        <v>Libido Loca</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0</v>
      </c>
      <c r="AI180" s="43"/>
      <c r="AJ180" s="875">
        <f t="shared" si="416"/>
        <v>0</v>
      </c>
      <c r="AK180" s="43"/>
    </row>
    <row r="181" ht="13.5" customHeight="1">
      <c r="A181" s="5">
        <f t="shared" si="407"/>
        <v>5</v>
      </c>
      <c r="B181" s="625" t="str">
        <f t="shared" ref="B181:C181" si="421">B112</f>
        <v>22*</v>
      </c>
      <c r="C181" s="625" t="str">
        <f t="shared" si="421"/>
        <v>Meche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15</v>
      </c>
      <c r="V181" s="625" t="str">
        <f t="shared" si="422"/>
        <v>Harley Darlin</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36</v>
      </c>
      <c r="AI181" s="43"/>
      <c r="AJ181" s="5">
        <f t="shared" si="416"/>
        <v>36</v>
      </c>
      <c r="AK181" s="43"/>
    </row>
    <row r="182" ht="13.5" customHeight="1">
      <c r="A182" s="875">
        <f t="shared" si="407"/>
        <v>6</v>
      </c>
      <c r="B182" s="880" t="str">
        <f t="shared" ref="B182:C182" si="423">B113</f>
        <v>24</v>
      </c>
      <c r="C182" s="880" t="str">
        <f t="shared" si="423"/>
        <v>Ima BlowBya</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4</v>
      </c>
      <c r="H182" s="873">
        <f>IF($B182="","",SUMPRODUCT(--(Lineups!$O$46:$O$83=$B182),Lineups!$AW$46:$AW$83)+SUMPRODUCT(--(Lineups!$A$47:$A$84="SP*"),--(Lineups!$O$46:$O$83=$B182),Lineups!$AW$47:$AW$84))</f>
        <v>6</v>
      </c>
      <c r="I182" s="873">
        <f>IF($B182="","",SUMPRODUCT(--(Lineups!$S$46:$S$83=$B182),Lineups!$AW$46:$AW$83)+SUMPRODUCT(--(Lineups!$A$47:$A$84="SP*"),--(Lineups!$S$46:$S$83=$B182),Lineups!$AW$47:$AW$84))</f>
        <v>7</v>
      </c>
      <c r="J182" s="875">
        <f t="shared" si="409"/>
        <v>17</v>
      </c>
      <c r="K182" s="43"/>
      <c r="L182" s="875">
        <f t="shared" si="410"/>
        <v>17</v>
      </c>
      <c r="M182" s="43"/>
      <c r="N182" s="43"/>
      <c r="O182" s="875">
        <f>IF($B182="","",SUMPRODUCT(--(Lineups!$C$46:$C$83=$B182),Lineups!$AW$46:$AW$83) + SUMPRODUCT(--(Lineups!$A$47:$A$84="SP*"),--(Lineups!$C$46:$C$83=$B182),Lineups!$AW$47:$AW$84))</f>
        <v>0</v>
      </c>
      <c r="P182" s="43"/>
      <c r="Q182" s="875">
        <f t="shared" si="411"/>
        <v>17</v>
      </c>
      <c r="R182" s="43"/>
      <c r="S182" s="43"/>
      <c r="T182" s="875">
        <f t="shared" si="412"/>
        <v>6</v>
      </c>
      <c r="U182" s="880" t="str">
        <f t="shared" ref="U182:V182" si="424">U113</f>
        <v>21*</v>
      </c>
      <c r="V182" s="880" t="str">
        <f t="shared" si="424"/>
        <v>Agatha KrisB</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3.5" customHeight="1">
      <c r="A183" s="5">
        <f t="shared" si="407"/>
        <v>7</v>
      </c>
      <c r="B183" s="625" t="str">
        <f t="shared" ref="B183:C183" si="425">B114</f>
        <v>264</v>
      </c>
      <c r="C183" s="625" t="str">
        <f t="shared" si="425"/>
        <v>Velasco Sauce</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7</v>
      </c>
      <c r="I183" s="873">
        <f>IF($B183="","",SUMPRODUCT(--(Lineups!$S$46:$S$83=$B183),Lineups!$AW$46:$AW$83)+SUMPRODUCT(--(Lineups!$A$47:$A$84="SP*"),--(Lineups!$S$46:$S$83=$B183),Lineups!$AW$47:$AW$84))</f>
        <v>6</v>
      </c>
      <c r="J183" s="5">
        <f t="shared" si="409"/>
        <v>13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5" t="str">
        <f t="shared" ref="U183:V183" si="426">U114</f>
        <v>213</v>
      </c>
      <c r="V183" s="625" t="str">
        <f t="shared" si="426"/>
        <v>IceBox</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33</v>
      </c>
      <c r="AB183" s="873">
        <f>IF(U183="","",SUMPRODUCT(--(Lineups!$AS$46:$AS$83=$U183),Lineups!$W$46:$W$83)+SUMPRODUCT(--(Lineups!$AA$47:$AA$84="SP*"),--(Lineups!$AS$46:$AS$83=$U183),Lineups!$W$47:$W$84))</f>
        <v>76</v>
      </c>
      <c r="AC183" s="5">
        <f t="shared" si="414"/>
        <v>109</v>
      </c>
      <c r="AD183" s="43"/>
      <c r="AE183" s="5">
        <f t="shared" si="415"/>
        <v>109</v>
      </c>
      <c r="AF183" s="43"/>
      <c r="AG183" s="43"/>
      <c r="AH183" s="5">
        <f>IF($U183="","",SUMPRODUCT(--(Lineups!$AC$46:$AC$83=$U183),Lineups!$W$46:$W$83) + SUMPRODUCT(--(Lineups!$AA$47:$AA$84="SP*"),--(Lineups!$AC$46:$AC$83=$U183),Lineups!$W$47:$W$84))</f>
        <v>0</v>
      </c>
      <c r="AI183" s="43"/>
      <c r="AJ183" s="5">
        <f t="shared" si="416"/>
        <v>109</v>
      </c>
      <c r="AK183" s="43"/>
    </row>
    <row r="184" ht="13.5" customHeight="1">
      <c r="A184" s="875">
        <f t="shared" si="407"/>
        <v>8</v>
      </c>
      <c r="B184" s="880" t="str">
        <f t="shared" ref="B184:C184" si="427">B115</f>
        <v>27*</v>
      </c>
      <c r="C184" s="880" t="str">
        <f t="shared" si="427"/>
        <v>Babethoven</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221</v>
      </c>
      <c r="V184" s="880" t="str">
        <f t="shared" si="428"/>
        <v>Syann</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7</v>
      </c>
      <c r="AI184" s="43"/>
      <c r="AJ184" s="875">
        <f t="shared" si="416"/>
        <v>7</v>
      </c>
      <c r="AK184" s="43"/>
    </row>
    <row r="185" ht="13.5" customHeight="1">
      <c r="A185" s="5">
        <f t="shared" si="407"/>
        <v>9</v>
      </c>
      <c r="B185" s="625" t="str">
        <f t="shared" ref="B185:C185" si="429">B116</f>
        <v>3</v>
      </c>
      <c r="C185" s="625" t="str">
        <f t="shared" si="429"/>
        <v>Alexia</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v>
      </c>
      <c r="P185" s="43"/>
      <c r="Q185" s="5">
        <f t="shared" si="411"/>
        <v>2</v>
      </c>
      <c r="R185" s="43"/>
      <c r="S185" s="43"/>
      <c r="T185" s="5">
        <f t="shared" si="412"/>
        <v>9</v>
      </c>
      <c r="U185" s="625" t="str">
        <f t="shared" ref="U185:V185" si="430">U116</f>
        <v>28</v>
      </c>
      <c r="V185" s="625" t="str">
        <f t="shared" si="430"/>
        <v>Hot Box</v>
      </c>
      <c r="W185" s="5">
        <f>IF($U185="","",SUMPRODUCT(--(Lineups!$AG$46:$AG$83=$U185),--(Lineups!$AB$46:$AB$83=""),Lineups!$W$46:$W$83)+SUMPRODUCT(--(Lineups!$AA$47:$AA$84="SP*"),--(Lineups!$AG$46:$AG$83=$U185),--(Lineups!$AB$46:$AB$83=""),Lineups!$W$47:$W$84))</f>
        <v>49</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15</v>
      </c>
      <c r="AB185" s="873">
        <f>IF(U185="","",SUMPRODUCT(--(Lineups!$AS$46:$AS$83=$U185),Lineups!$W$46:$W$83)+SUMPRODUCT(--(Lineups!$AA$47:$AA$84="SP*"),--(Lineups!$AS$46:$AS$83=$U185),Lineups!$W$47:$W$84))</f>
        <v>0</v>
      </c>
      <c r="AC185" s="5">
        <f t="shared" si="414"/>
        <v>15</v>
      </c>
      <c r="AD185" s="43"/>
      <c r="AE185" s="5">
        <f t="shared" si="415"/>
        <v>64</v>
      </c>
      <c r="AF185" s="43"/>
      <c r="AG185" s="43"/>
      <c r="AH185" s="5">
        <f>IF($U185="","",SUMPRODUCT(--(Lineups!$AC$46:$AC$83=$U185),Lineups!$W$46:$W$83) + SUMPRODUCT(--(Lineups!$AA$47:$AA$84="SP*"),--(Lineups!$AC$46:$AC$83=$U185),Lineups!$W$47:$W$84))</f>
        <v>0</v>
      </c>
      <c r="AI185" s="43"/>
      <c r="AJ185" s="5">
        <f t="shared" si="416"/>
        <v>64</v>
      </c>
      <c r="AK185" s="43"/>
    </row>
    <row r="186" ht="13.5" customHeight="1">
      <c r="A186" s="875">
        <f t="shared" si="407"/>
        <v>10</v>
      </c>
      <c r="B186" s="880" t="str">
        <f t="shared" ref="B186:C186" si="431">B117</f>
        <v>31</v>
      </c>
      <c r="C186" s="880" t="str">
        <f t="shared" si="431"/>
        <v>2x Force</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6</v>
      </c>
      <c r="H186" s="873">
        <f>IF($B186="","",SUMPRODUCT(--(Lineups!$O$46:$O$83=$B186),Lineups!$AW$46:$AW$83)+SUMPRODUCT(--(Lineups!$A$47:$A$84="SP*"),--(Lineups!$O$46:$O$83=$B186),Lineups!$AW$47:$AW$84))</f>
        <v>4</v>
      </c>
      <c r="I186" s="873">
        <f>IF($B186="","",SUMPRODUCT(--(Lineups!$S$46:$S$83=$B186),Lineups!$AW$46:$AW$83)+SUMPRODUCT(--(Lineups!$A$47:$A$84="SP*"),--(Lineups!$S$46:$S$83=$B186),Lineups!$AW$47:$AW$84))</f>
        <v>0</v>
      </c>
      <c r="J186" s="875">
        <f t="shared" si="409"/>
        <v>10</v>
      </c>
      <c r="K186" s="43"/>
      <c r="L186" s="875">
        <f t="shared" si="410"/>
        <v>10</v>
      </c>
      <c r="M186" s="43"/>
      <c r="N186" s="43"/>
      <c r="O186" s="875">
        <f>IF($B186="","",SUMPRODUCT(--(Lineups!$C$46:$C$83=$B186),Lineups!$AW$46:$AW$83) + SUMPRODUCT(--(Lineups!$A$47:$A$84="SP*"),--(Lineups!$C$46:$C$83=$B186),Lineups!$AW$47:$AW$84))</f>
        <v>0</v>
      </c>
      <c r="P186" s="43"/>
      <c r="Q186" s="875">
        <f t="shared" si="411"/>
        <v>10</v>
      </c>
      <c r="R186" s="43"/>
      <c r="S186" s="43"/>
      <c r="T186" s="875">
        <f t="shared" si="412"/>
        <v>10</v>
      </c>
      <c r="U186" s="880" t="str">
        <f t="shared" ref="U186:V186" si="432">U117</f>
        <v>321</v>
      </c>
      <c r="V186" s="880" t="str">
        <f t="shared" si="432"/>
        <v>Rockit</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37</v>
      </c>
      <c r="AA186" s="873">
        <f>IF(U186="","",SUMPRODUCT(--(Lineups!$AO$46:$AO$83=$U186),Lineups!$W$46:$W$83)+SUMPRODUCT(--(Lineups!$AA$47:$AA$84="SP*"),--(Lineups!$AO$46:$AO$83=$U186),Lineups!$W$47:$W$84))</f>
        <v>5</v>
      </c>
      <c r="AB186" s="873">
        <f>IF(U186="","",SUMPRODUCT(--(Lineups!$AS$46:$AS$83=$U186),Lineups!$W$46:$W$83)+SUMPRODUCT(--(Lineups!$AA$47:$AA$84="SP*"),--(Lineups!$AS$46:$AS$83=$U186),Lineups!$W$47:$W$84))</f>
        <v>34</v>
      </c>
      <c r="AC186" s="875">
        <f t="shared" si="414"/>
        <v>76</v>
      </c>
      <c r="AD186" s="43"/>
      <c r="AE186" s="875">
        <f t="shared" si="415"/>
        <v>76</v>
      </c>
      <c r="AF186" s="43"/>
      <c r="AG186" s="43"/>
      <c r="AH186" s="875">
        <f>IF($U186="","",SUMPRODUCT(--(Lineups!$AC$46:$AC$83=$U186),Lineups!$W$46:$W$83) + SUMPRODUCT(--(Lineups!$AA$47:$AA$84="SP*"),--(Lineups!$AC$46:$AC$83=$U186),Lineups!$W$47:$W$84))</f>
        <v>0</v>
      </c>
      <c r="AI186" s="43"/>
      <c r="AJ186" s="875">
        <f t="shared" si="416"/>
        <v>76</v>
      </c>
      <c r="AK186" s="43"/>
    </row>
    <row r="187" ht="13.5" customHeight="1">
      <c r="A187" s="5">
        <f t="shared" si="407"/>
        <v>11</v>
      </c>
      <c r="B187" s="625" t="str">
        <f t="shared" ref="B187:C187" si="433">B118</f>
        <v>313</v>
      </c>
      <c r="C187" s="625" t="str">
        <f t="shared" si="433"/>
        <v>WestCoast MaFia</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5" t="str">
        <f t="shared" ref="U187:V187" si="434">U118</f>
        <v>329</v>
      </c>
      <c r="V187" s="625" t="str">
        <f t="shared" si="434"/>
        <v>Triple Axel Rose</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65</v>
      </c>
      <c r="AI187" s="43"/>
      <c r="AJ187" s="5">
        <f t="shared" si="416"/>
        <v>65</v>
      </c>
      <c r="AK187" s="43"/>
    </row>
    <row r="188" ht="13.5" customHeight="1">
      <c r="A188" s="875">
        <f t="shared" si="407"/>
        <v>12</v>
      </c>
      <c r="B188" s="880" t="str">
        <f t="shared" ref="B188:C188" si="435">B119</f>
        <v>3381</v>
      </c>
      <c r="C188" s="880" t="str">
        <f t="shared" si="435"/>
        <v>Hella Naughty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4</v>
      </c>
      <c r="P188" s="43"/>
      <c r="Q188" s="875">
        <f t="shared" si="411"/>
        <v>4</v>
      </c>
      <c r="R188" s="43"/>
      <c r="S188" s="43"/>
      <c r="T188" s="875">
        <f t="shared" si="412"/>
        <v>12</v>
      </c>
      <c r="U188" s="880" t="str">
        <f t="shared" ref="U188:V188" si="436">U119</f>
        <v>410</v>
      </c>
      <c r="V188" s="880" t="str">
        <f t="shared" si="436"/>
        <v>Ricketts</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4</v>
      </c>
      <c r="AA188" s="873">
        <f>IF(U188="","",SUMPRODUCT(--(Lineups!$AO$46:$AO$83=$U188),Lineups!$W$46:$W$83)+SUMPRODUCT(--(Lineups!$AA$47:$AA$84="SP*"),--(Lineups!$AO$46:$AO$83=$U188),Lineups!$W$47:$W$84))</f>
        <v>62</v>
      </c>
      <c r="AB188" s="873">
        <f>IF(U188="","",SUMPRODUCT(--(Lineups!$AS$46:$AS$83=$U188),Lineups!$W$46:$W$83)+SUMPRODUCT(--(Lineups!$AA$47:$AA$84="SP*"),--(Lineups!$AS$46:$AS$83=$U188),Lineups!$W$47:$W$84))</f>
        <v>16</v>
      </c>
      <c r="AC188" s="875">
        <f t="shared" si="414"/>
        <v>82</v>
      </c>
      <c r="AD188" s="43"/>
      <c r="AE188" s="875">
        <f t="shared" si="415"/>
        <v>82</v>
      </c>
      <c r="AF188" s="43"/>
      <c r="AG188" s="43"/>
      <c r="AH188" s="875">
        <f>IF($U188="","",SUMPRODUCT(--(Lineups!$AC$46:$AC$83=$U188),Lineups!$W$46:$W$83) + SUMPRODUCT(--(Lineups!$AA$47:$AA$84="SP*"),--(Lineups!$AC$46:$AC$83=$U188),Lineups!$W$47:$W$84))</f>
        <v>0</v>
      </c>
      <c r="AI188" s="43"/>
      <c r="AJ188" s="875">
        <f t="shared" si="416"/>
        <v>82</v>
      </c>
      <c r="AK188" s="43"/>
    </row>
    <row r="189" ht="13.5" customHeight="1">
      <c r="A189" s="5">
        <f t="shared" si="407"/>
        <v>13</v>
      </c>
      <c r="B189" s="625" t="str">
        <f t="shared" ref="B189:C189" si="437">B120</f>
        <v>38</v>
      </c>
      <c r="C189" s="625" t="str">
        <f t="shared" si="437"/>
        <v>Colette Razorcat</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7</v>
      </c>
      <c r="P189" s="43"/>
      <c r="Q189" s="5">
        <f t="shared" si="411"/>
        <v>11</v>
      </c>
      <c r="R189" s="43"/>
      <c r="S189" s="43"/>
      <c r="T189" s="5">
        <f t="shared" si="412"/>
        <v>13</v>
      </c>
      <c r="U189" s="625" t="str">
        <f t="shared" ref="U189:V189" si="438">U120</f>
        <v>47</v>
      </c>
      <c r="V189" s="625" t="str">
        <f t="shared" si="438"/>
        <v>Author of Pain</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394</v>
      </c>
      <c r="C190" s="880" t="str">
        <f t="shared" si="439"/>
        <v>Punkie Pie</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2</v>
      </c>
      <c r="P190" s="43"/>
      <c r="Q190" s="875">
        <f t="shared" si="411"/>
        <v>2</v>
      </c>
      <c r="R190" s="43"/>
      <c r="S190" s="43"/>
      <c r="T190" s="875">
        <f t="shared" si="412"/>
        <v>14</v>
      </c>
      <c r="U190" s="880" t="str">
        <f t="shared" ref="U190:V190" si="440">U121</f>
        <v>484*</v>
      </c>
      <c r="V190" s="880" t="str">
        <f t="shared" si="440"/>
        <v>Gemineye</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3.5" customHeight="1">
      <c r="A191" s="5">
        <f t="shared" si="407"/>
        <v>15</v>
      </c>
      <c r="B191" s="625" t="str">
        <f t="shared" ref="B191:C191" si="441">B122</f>
        <v>4</v>
      </c>
      <c r="C191" s="625" t="str">
        <f t="shared" si="441"/>
        <v>Sure, man</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6</v>
      </c>
      <c r="I191" s="873">
        <f>IF($B191="","",SUMPRODUCT(--(Lineups!$S$46:$S$83=$B191),Lineups!$AW$46:$AW$83)+SUMPRODUCT(--(Lineups!$A$47:$A$84="SP*"),--(Lineups!$S$46:$S$83=$B191),Lineups!$AW$47:$AW$84))</f>
        <v>0</v>
      </c>
      <c r="J191" s="5">
        <f t="shared" si="409"/>
        <v>6</v>
      </c>
      <c r="K191" s="43"/>
      <c r="L191" s="5">
        <f t="shared" si="410"/>
        <v>6</v>
      </c>
      <c r="M191" s="43"/>
      <c r="N191" s="43"/>
      <c r="O191" s="5">
        <f>IF($B191="","",SUMPRODUCT(--(Lineups!$C$46:$C$83=$B191),Lineups!$AW$46:$AW$83) + SUMPRODUCT(--(Lineups!$A$47:$A$84="SP*"),--(Lineups!$C$46:$C$83=$B191),Lineups!$AW$47:$AW$84))</f>
        <v>0</v>
      </c>
      <c r="P191" s="43"/>
      <c r="Q191" s="5">
        <f t="shared" si="411"/>
        <v>6</v>
      </c>
      <c r="R191" s="43"/>
      <c r="S191" s="43"/>
      <c r="T191" s="5">
        <f t="shared" si="412"/>
        <v>15</v>
      </c>
      <c r="U191" s="625" t="str">
        <f t="shared" ref="U191:V191" si="442">U122</f>
        <v>505</v>
      </c>
      <c r="V191" s="625" t="str">
        <f t="shared" si="442"/>
        <v>Swearin' Marie</v>
      </c>
      <c r="W191" s="5">
        <f>IF($U191="","",SUMPRODUCT(--(Lineups!$AG$46:$AG$83=$U191),--(Lineups!$AB$46:$AB$83=""),Lineups!$W$46:$W$83)+SUMPRODUCT(--(Lineups!$AA$47:$AA$84="SP*"),--(Lineups!$AG$46:$AG$83=$U191),--(Lineups!$AB$46:$AB$83=""),Lineups!$W$47:$W$84))</f>
        <v>112</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112</v>
      </c>
      <c r="AF191" s="43"/>
      <c r="AG191" s="43"/>
      <c r="AH191" s="5">
        <f>IF($U191="","",SUMPRODUCT(--(Lineups!$AC$46:$AC$83=$U191),Lineups!$W$46:$W$83) + SUMPRODUCT(--(Lineups!$AA$47:$AA$84="SP*"),--(Lineups!$AC$46:$AC$83=$U191),Lineups!$W$47:$W$84))</f>
        <v>0</v>
      </c>
      <c r="AI191" s="43"/>
      <c r="AJ191" s="5">
        <f t="shared" si="416"/>
        <v>112</v>
      </c>
      <c r="AK191" s="43"/>
    </row>
    <row r="192" ht="13.5" customHeight="1">
      <c r="A192" s="875">
        <f t="shared" si="407"/>
        <v>16</v>
      </c>
      <c r="B192" s="880" t="str">
        <f t="shared" ref="B192:C192" si="443">B123</f>
        <v>602*</v>
      </c>
      <c r="C192" s="880" t="str">
        <f t="shared" si="443"/>
        <v>Feen-X</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75*</v>
      </c>
      <c r="V192" s="880" t="str">
        <f t="shared" si="444"/>
        <v>TamTrum</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7</v>
      </c>
      <c r="C193" s="625" t="str">
        <f t="shared" si="445"/>
        <v>Skatie Katie</v>
      </c>
      <c r="D193" s="5">
        <f>IF($B193="","",SUMPRODUCT(--(Lineups!$G$46:$G$83=$B193),--(Lineups!$B$46:$B$83=""),Lineups!$AW$46:$AW$83)+SUMPRODUCT(--(Lineups!$A$47:$A$84="SP*"),--(Lineups!$G$46:$G$83=$B193),--(Lineups!$B$46:$B$83=""),Lineups!$AW$47:$AW$84))</f>
        <v>13</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13</v>
      </c>
      <c r="M193" s="43"/>
      <c r="N193" s="43"/>
      <c r="O193" s="5">
        <f>IF($B193="","",SUMPRODUCT(--(Lineups!$C$46:$C$83=$B193),Lineups!$AW$46:$AW$83) + SUMPRODUCT(--(Lineups!$A$47:$A$84="SP*"),--(Lineups!$C$46:$C$83=$B193),Lineups!$AW$47:$AW$84))</f>
        <v>0</v>
      </c>
      <c r="P193" s="43"/>
      <c r="Q193" s="5">
        <f t="shared" si="411"/>
        <v>13</v>
      </c>
      <c r="R193" s="43"/>
      <c r="S193" s="43"/>
      <c r="T193" s="5">
        <f t="shared" si="412"/>
        <v>17</v>
      </c>
      <c r="U193" s="625" t="str">
        <f t="shared" ref="U193:V193" si="446">U124</f>
        <v>88</v>
      </c>
      <c r="V193" s="625" t="str">
        <f t="shared" si="446"/>
        <v>Rocktopus</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5">
        <f t="shared" si="407"/>
        <v>18</v>
      </c>
      <c r="B194" s="880" t="str">
        <f t="shared" ref="B194:C194" si="447">B125</f>
        <v>76</v>
      </c>
      <c r="C194" s="880" t="str">
        <f t="shared" si="447"/>
        <v>Queen Loseyateefa</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11</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11</v>
      </c>
      <c r="K194" s="43"/>
      <c r="L194" s="875">
        <f t="shared" si="410"/>
        <v>11</v>
      </c>
      <c r="M194" s="43"/>
      <c r="N194" s="43"/>
      <c r="O194" s="875">
        <f>IF($B194="","",SUMPRODUCT(--(Lineups!$C$46:$C$83=$B194),Lineups!$AW$46:$AW$83) + SUMPRODUCT(--(Lineups!$A$47:$A$84="SP*"),--(Lineups!$C$46:$C$83=$B194),Lineups!$AW$47:$AW$84))</f>
        <v>0</v>
      </c>
      <c r="P194" s="43"/>
      <c r="Q194" s="875">
        <f t="shared" si="411"/>
        <v>11</v>
      </c>
      <c r="R194" s="43"/>
      <c r="S194" s="43"/>
      <c r="T194" s="875">
        <f t="shared" si="412"/>
        <v>18</v>
      </c>
      <c r="U194" s="880" t="str">
        <f t="shared" ref="U194:V194" si="448">U125</f>
        <v>9</v>
      </c>
      <c r="V194" s="880" t="str">
        <f t="shared" si="448"/>
        <v>Kell's Inferno</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53</v>
      </c>
      <c r="AI194" s="43"/>
      <c r="AJ194" s="875">
        <f t="shared" si="416"/>
        <v>53</v>
      </c>
      <c r="AK194" s="43"/>
    </row>
    <row r="195" ht="13.5" customHeight="1">
      <c r="A195" s="5">
        <f t="shared" si="407"/>
        <v>19</v>
      </c>
      <c r="B195" s="625" t="str">
        <f t="shared" ref="B195:C195" si="449">B126</f>
        <v>88</v>
      </c>
      <c r="C195" s="625" t="str">
        <f t="shared" si="449"/>
        <v>MsMURDR</v>
      </c>
      <c r="D195" s="5">
        <f>IF($B195="","",SUMPRODUCT(--(Lineups!$G$46:$G$83=$B195),--(Lineups!$B$46:$B$83=""),Lineups!$AW$46:$AW$83)+SUMPRODUCT(--(Lineups!$A$47:$A$84="SP*"),--(Lineups!$G$46:$G$83=$B195),--(Lineups!$B$46:$B$83=""),Lineups!$AW$47:$AW$84))</f>
        <v>2</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4</v>
      </c>
      <c r="H195" s="873">
        <f>IF($B195="","",SUMPRODUCT(--(Lineups!$O$46:$O$83=$B195),Lineups!$AW$46:$AW$83)+SUMPRODUCT(--(Lineups!$A$47:$A$84="SP*"),--(Lineups!$O$46:$O$83=$B195),Lineups!$AW$47:$AW$84))</f>
        <v>2</v>
      </c>
      <c r="I195" s="873">
        <f>IF($B195="","",SUMPRODUCT(--(Lineups!$S$46:$S$83=$B195),Lineups!$AW$46:$AW$83)+SUMPRODUCT(--(Lineups!$A$47:$A$84="SP*"),--(Lineups!$S$46:$S$83=$B195),Lineups!$AW$47:$AW$84))</f>
        <v>4</v>
      </c>
      <c r="J195" s="5">
        <f t="shared" si="409"/>
        <v>10</v>
      </c>
      <c r="K195" s="43"/>
      <c r="L195" s="5">
        <f t="shared" si="410"/>
        <v>12</v>
      </c>
      <c r="M195" s="43"/>
      <c r="N195" s="43"/>
      <c r="O195" s="5">
        <f>IF($B195="","",SUMPRODUCT(--(Lineups!$C$46:$C$83=$B195),Lineups!$AW$46:$AW$83) + SUMPRODUCT(--(Lineups!$A$47:$A$84="SP*"),--(Lineups!$C$46:$C$83=$B195),Lineups!$AW$47:$AW$84))</f>
        <v>0</v>
      </c>
      <c r="P195" s="43"/>
      <c r="Q195" s="5">
        <f t="shared" si="411"/>
        <v>12</v>
      </c>
      <c r="R195" s="43"/>
      <c r="S195" s="43"/>
      <c r="T195" s="5">
        <f t="shared" si="412"/>
        <v>19</v>
      </c>
      <c r="U195" s="625" t="str">
        <f t="shared" ref="U195:V195" si="450">U126</f>
        <v>913*</v>
      </c>
      <c r="V195" s="625" t="str">
        <f t="shared" si="450"/>
        <v>Termiskater</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96*</v>
      </c>
      <c r="C196" s="880" t="str">
        <f t="shared" si="451"/>
        <v>Weird Flex</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999</v>
      </c>
      <c r="V196" s="880" t="str">
        <f t="shared" si="452"/>
        <v>Amanda Jamitinya</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93</v>
      </c>
      <c r="AA196" s="873">
        <f>IF(U196="","",SUMPRODUCT(--(Lineups!$AO$46:$AO$83=$U196),Lineups!$W$46:$W$83)+SUMPRODUCT(--(Lineups!$AA$47:$AA$84="SP*"),--(Lineups!$AO$46:$AO$83=$U196),Lineups!$W$47:$W$84))</f>
        <v>4</v>
      </c>
      <c r="AB196" s="873">
        <f>IF(U196="","",SUMPRODUCT(--(Lineups!$AS$46:$AS$83=$U196),Lineups!$W$46:$W$83)+SUMPRODUCT(--(Lineups!$AA$47:$AA$84="SP*"),--(Lineups!$AS$46:$AS$83=$U196),Lineups!$W$47:$W$84))</f>
        <v>0</v>
      </c>
      <c r="AC196" s="875">
        <f t="shared" si="414"/>
        <v>97</v>
      </c>
      <c r="AD196" s="43"/>
      <c r="AE196" s="875">
        <f t="shared" si="415"/>
        <v>97</v>
      </c>
      <c r="AF196" s="43"/>
      <c r="AG196" s="43"/>
      <c r="AH196" s="875">
        <f>IF($U196="","",SUMPRODUCT(--(Lineups!$AC$46:$AC$83=$U196),Lineups!$W$46:$W$83) + SUMPRODUCT(--(Lineups!$AA$47:$AA$84="SP*"),--(Lineups!$AC$46:$AC$83=$U196),Lineups!$W$47:$W$84))</f>
        <v>0</v>
      </c>
      <c r="AI196" s="43"/>
      <c r="AJ196" s="875">
        <f t="shared" si="416"/>
        <v>97</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355</v>
      </c>
      <c r="F1" s="882"/>
      <c r="G1" s="882"/>
      <c r="H1" s="882"/>
      <c r="I1" s="882"/>
      <c r="J1" s="816"/>
      <c r="K1" s="816"/>
      <c r="L1" s="816"/>
      <c r="M1" s="816"/>
      <c r="N1" s="816"/>
      <c r="O1" s="816"/>
      <c r="P1" s="816"/>
      <c r="Q1" s="816"/>
      <c r="R1" s="816"/>
      <c r="S1" s="816"/>
      <c r="T1" s="816"/>
      <c r="U1" s="816"/>
      <c r="V1" s="883" t="s">
        <v>449</v>
      </c>
      <c r="W1" s="884"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451</v>
      </c>
      <c r="B2" s="867" t="s">
        <v>436</v>
      </c>
      <c r="C2" s="867" t="s">
        <v>437</v>
      </c>
      <c r="D2" s="867"/>
      <c r="E2" s="867" t="s">
        <v>244</v>
      </c>
      <c r="F2" s="867" t="s">
        <v>251</v>
      </c>
      <c r="G2" s="867" t="s">
        <v>245</v>
      </c>
      <c r="H2" s="867" t="s">
        <v>254</v>
      </c>
      <c r="I2" s="867" t="s">
        <v>256</v>
      </c>
      <c r="J2" s="867" t="s">
        <v>243</v>
      </c>
      <c r="K2" s="867" t="s">
        <v>260</v>
      </c>
      <c r="L2" s="867" t="s">
        <v>262</v>
      </c>
      <c r="M2" s="867" t="s">
        <v>258</v>
      </c>
      <c r="N2" s="867" t="s">
        <v>248</v>
      </c>
      <c r="O2" s="867" t="s">
        <v>247</v>
      </c>
      <c r="P2" s="867" t="s">
        <v>231</v>
      </c>
      <c r="Q2" s="867" t="s">
        <v>278</v>
      </c>
      <c r="R2" s="867" t="s">
        <v>267</v>
      </c>
      <c r="S2" s="867"/>
      <c r="T2" s="867"/>
      <c r="U2" s="868" t="s">
        <v>410</v>
      </c>
      <c r="V2" s="885"/>
      <c r="W2" s="886" t="s">
        <v>452</v>
      </c>
      <c r="X2" s="886" t="s">
        <v>244</v>
      </c>
      <c r="Y2" s="886" t="s">
        <v>251</v>
      </c>
      <c r="Z2" s="886" t="s">
        <v>245</v>
      </c>
      <c r="AA2" s="886" t="s">
        <v>254</v>
      </c>
      <c r="AB2" s="886" t="s">
        <v>256</v>
      </c>
      <c r="AC2" s="886" t="s">
        <v>243</v>
      </c>
      <c r="AD2" s="886" t="s">
        <v>260</v>
      </c>
      <c r="AE2" s="886" t="s">
        <v>262</v>
      </c>
      <c r="AF2" s="886" t="s">
        <v>258</v>
      </c>
      <c r="AG2" s="886" t="s">
        <v>248</v>
      </c>
      <c r="AH2" s="886" t="s">
        <v>247</v>
      </c>
      <c r="AI2" s="886" t="s">
        <v>278</v>
      </c>
      <c r="AJ2" s="886"/>
      <c r="AK2" s="5"/>
      <c r="AL2" s="5"/>
      <c r="AM2" s="5"/>
      <c r="AN2" s="5"/>
      <c r="AO2" s="5"/>
      <c r="AP2" s="5"/>
      <c r="AQ2" s="5"/>
      <c r="AR2" s="5"/>
      <c r="AS2" s="5"/>
      <c r="AT2" s="5"/>
      <c r="AU2" s="5"/>
      <c r="AV2" s="5"/>
      <c r="AW2" s="5"/>
      <c r="AX2" s="5"/>
    </row>
    <row r="3" ht="13.5" customHeight="1">
      <c r="A3" s="418">
        <v>1.0</v>
      </c>
      <c r="B3" s="887" t="str">
        <f>IF(IGRF!B14="","",IGRF!B14)</f>
        <v>01</v>
      </c>
      <c r="C3" s="665" t="str">
        <f>IF(IGRF!C14="","",IGRF!C14)</f>
        <v>Goldy Knocks</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454</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024</v>
      </c>
      <c r="C5" s="894" t="str">
        <f>IF(IGRF!C15="","",IGRF!C15)</f>
        <v>Cutty</v>
      </c>
      <c r="D5" s="875" t="s">
        <v>453</v>
      </c>
      <c r="E5" s="875">
        <f>IF($B5="","",COUNTIF(Penalties!$B6:$J6,E$2))</f>
        <v>0</v>
      </c>
      <c r="F5" s="875">
        <f>IF($B5="","",COUNTIF(Penalties!$B6:$J6,F$2))</f>
        <v>0</v>
      </c>
      <c r="G5" s="875">
        <f>IF($B5="","",COUNTIF(Penalties!$B6:$J6,G$2))</f>
        <v>0</v>
      </c>
      <c r="H5" s="875">
        <f>IF($B5="","",COUNTIF(Penalties!$B6:$J6,H$2))</f>
        <v>0</v>
      </c>
      <c r="I5" s="875">
        <f>IF($B5="","",COUNTIF(Penalties!$B6:$J6,I$2))</f>
        <v>0</v>
      </c>
      <c r="J5" s="875">
        <f>IF($B5="","",COUNTIF(Penalties!$B6:$J6,J$2))</f>
        <v>1</v>
      </c>
      <c r="K5" s="875">
        <f>IF($B5="","",COUNTIF(Penalties!$B6:$J6,K$2))</f>
        <v>0</v>
      </c>
      <c r="L5" s="875">
        <f>IF($B5="","",COUNTIF(Penalties!$B6:$J6,L$2))</f>
        <v>0</v>
      </c>
      <c r="M5" s="875">
        <f>IF($B5="","",COUNTIF(Penalties!$B6:$J6,M$2))</f>
        <v>0</v>
      </c>
      <c r="N5" s="875">
        <f>IF($B5="","",COUNTIF(Penalties!$B6:$J6,N$2))</f>
        <v>0</v>
      </c>
      <c r="O5" s="875">
        <f>IF($B5="","",COUNTIF(Penalties!$B6:$J6,O$2))</f>
        <v>1</v>
      </c>
      <c r="P5" s="875">
        <f>IF($B5="","",COUNTIF(Penalties!$B6:$J6,P$2))</f>
        <v>0</v>
      </c>
      <c r="Q5" s="875">
        <f>IF($B5="","",COUNTIF(Penalties!$B6:$J6,Q$2))</f>
        <v>0</v>
      </c>
      <c r="R5" s="875">
        <f>IF($B5="","",COUNTIF(Penalties!$B6:$J6,R$2))</f>
        <v>0</v>
      </c>
      <c r="S5" s="875"/>
      <c r="T5" s="875"/>
      <c r="U5" s="895">
        <f>IF(B5="","",SUM(E5:T5))</f>
        <v>2</v>
      </c>
      <c r="V5" s="896">
        <f>IF(B5="","",SUM(E5:T5)*0.5)</f>
        <v>1</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454</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10</v>
      </c>
      <c r="C7" s="665" t="str">
        <f>IF(IGRF!C16="","",IGRF!C16)</f>
        <v>Frida</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88">
        <f>IF(B7="","",SUM(E8:T8))</f>
        <v>1</v>
      </c>
      <c r="V8" s="889">
        <f>IF(B7="","",SUM(E8:T8)*0.5)</f>
        <v>0.5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16*</v>
      </c>
      <c r="C9" s="894" t="str">
        <f>IF(IGRF!C17="","",IGRF!C17)</f>
        <v>Just Monroe</v>
      </c>
      <c r="D9" s="875" t="s">
        <v>453</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454</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22*</v>
      </c>
      <c r="C11" s="665" t="str">
        <f>IF(IGRF!C18="","",IGRF!C18)</f>
        <v>Meche</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24</v>
      </c>
      <c r="C13" s="894" t="str">
        <f>IF(IGRF!C19="","",IGRF!C19)</f>
        <v>Ima BlowBya</v>
      </c>
      <c r="D13" s="875" t="s">
        <v>453</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1</v>
      </c>
      <c r="O13" s="875">
        <f>IF($B13="","",COUNTIF(Penalties!$B14:$J14,O$2))</f>
        <v>0</v>
      </c>
      <c r="P13" s="875">
        <f>IF($B13="","",COUNTIF(Penalties!$B14:$J14,P$2))</f>
        <v>0</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454</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1</v>
      </c>
      <c r="O14" s="875">
        <f>IF($B13="","",COUNTIF(Penalties!$AD14:$AL14,O$2))</f>
        <v>0</v>
      </c>
      <c r="P14" s="875">
        <f>IF($B13="","",COUNTIF(Penalties!$AD14:$AL14,P$2))</f>
        <v>0</v>
      </c>
      <c r="Q14" s="875">
        <f>IF($B13="","",COUNTIF(Penalties!$AD14:$AL14,Q$2))</f>
        <v>0</v>
      </c>
      <c r="R14" s="875">
        <f>IF($B13="","",COUNTIF(Penalties!$AD14:$AL14,R$2))</f>
        <v>0</v>
      </c>
      <c r="S14" s="875"/>
      <c r="T14" s="875"/>
      <c r="U14" s="895">
        <f>IF(B13="","",SUM(E14:T14))</f>
        <v>1</v>
      </c>
      <c r="V14" s="896">
        <f>IF(B13="","",SUM(E14:T14)*0.5)</f>
        <v>0.5</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264</v>
      </c>
      <c r="C15" s="665" t="str">
        <f>IF(IGRF!C20="","",IGRF!C20)</f>
        <v>Velasco Sauce</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1</v>
      </c>
      <c r="V15" s="889">
        <f>IF(B15="","",SUM(E15:T15)*0.5)</f>
        <v>0.5</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1</v>
      </c>
      <c r="V16" s="889">
        <f>IF(B15="","",SUM(E16:T16)*0.5)</f>
        <v>0.5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27*</v>
      </c>
      <c r="C17" s="894" t="str">
        <f>IF(IGRF!C21="","",IGRF!C21)</f>
        <v>Babethoven</v>
      </c>
      <c r="D17" s="875" t="s">
        <v>453</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454</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v>
      </c>
      <c r="C19" s="665" t="str">
        <f>IF(IGRF!C22="","",IGRF!C22)</f>
        <v>Alexia</v>
      </c>
      <c r="D19" s="5" t="s">
        <v>453</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88">
        <f>IF(B19="","",SUM(E19:T19))</f>
        <v>2</v>
      </c>
      <c r="V19" s="889">
        <f>IF(B19="","",SUM(E19:T19)*0.5)</f>
        <v>1</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88">
        <f>IF(B19="","",SUM(E20:T20))</f>
        <v>1</v>
      </c>
      <c r="V20" s="889">
        <f>IF(B19="","",SUM(E20:T20)*0.5)</f>
        <v>0.5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31</v>
      </c>
      <c r="C21" s="894" t="str">
        <f>IF(IGRF!C23="","",IGRF!C23)</f>
        <v>2x Force</v>
      </c>
      <c r="D21" s="875" t="s">
        <v>453</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454</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1</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313</v>
      </c>
      <c r="C23" s="665" t="str">
        <f>IF(IGRF!C24="","",IGRF!C24)</f>
        <v>WestCoast MaFia</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8">
        <f>IF(B23="","",SUM(E23:T23))</f>
        <v>1</v>
      </c>
      <c r="V23" s="889">
        <f>IF(B23="","",SUM(E23:T23)*0.5)</f>
        <v>0.5</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3381</v>
      </c>
      <c r="C25" s="894" t="str">
        <f>IF(IGRF!C25="","",IGRF!C25)</f>
        <v>Hella Naughty</v>
      </c>
      <c r="D25" s="875" t="s">
        <v>453</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1</v>
      </c>
      <c r="Q25" s="875">
        <f>IF($B25="","",COUNTIF(Penalties!$B26:$J26,Q$2))</f>
        <v>0</v>
      </c>
      <c r="R25" s="875">
        <f>IF($B25="","",COUNTIF(Penalties!$B26:$J26,R$2))</f>
        <v>0</v>
      </c>
      <c r="S25" s="875"/>
      <c r="T25" s="875"/>
      <c r="U25" s="895">
        <f>IF(B25="","",SUM(E25:T25))</f>
        <v>1</v>
      </c>
      <c r="V25" s="896">
        <f>IF(B25="","",SUM(E25:T25)*0.5)</f>
        <v>0.5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454</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38</v>
      </c>
      <c r="C27" s="665" t="str">
        <f>IF(IGRF!C26="","",IGRF!C26)</f>
        <v>Colette Razorcat</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394</v>
      </c>
      <c r="C29" s="894" t="str">
        <f>IF(IGRF!C27="","",IGRF!C27)</f>
        <v>Punkie Pie</v>
      </c>
      <c r="D29" s="875" t="s">
        <v>453</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1</v>
      </c>
      <c r="Q29" s="875">
        <f>IF($B29="","",COUNTIF(Penalties!$B30:$J30,Q$2))</f>
        <v>0</v>
      </c>
      <c r="R29" s="875">
        <f>IF($B29="","",COUNTIF(Penalties!$B30:$J30,R$2))</f>
        <v>0</v>
      </c>
      <c r="S29" s="875"/>
      <c r="T29" s="875"/>
      <c r="U29" s="895">
        <f>IF(B29="","",SUM(E29:T29))</f>
        <v>1</v>
      </c>
      <c r="V29" s="896">
        <f>IF(B29="","",SUM(E29:T29)*0.5)</f>
        <v>0.5</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454</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4</v>
      </c>
      <c r="C31" s="665" t="str">
        <f>IF(IGRF!C28="","",IGRF!C28)</f>
        <v>Sure, man</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1</v>
      </c>
      <c r="V31" s="889">
        <f>IF(B31="","",SUM(E31:T31)*0.5)</f>
        <v>0.5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1</v>
      </c>
      <c r="V32" s="889">
        <f>IF(B31="","",SUM(E32:T32)*0.5)</f>
        <v>0.5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602*</v>
      </c>
      <c r="C33" s="894" t="str">
        <f>IF(IGRF!C29="","",IGRF!C29)</f>
        <v>Feen-X</v>
      </c>
      <c r="D33" s="875" t="s">
        <v>453</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454</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7</v>
      </c>
      <c r="C35" s="665" t="str">
        <f>IF(IGRF!C30="","",IGRF!C30)</f>
        <v>Skatie Katie</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76</v>
      </c>
      <c r="C37" s="894" t="str">
        <f>IF(IGRF!C31="","",IGRF!C31)</f>
        <v>Queen Loseyateefa</v>
      </c>
      <c r="D37" s="875" t="s">
        <v>453</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454</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1</v>
      </c>
      <c r="P38" s="875">
        <f>IF($B37="","",COUNTIF(Penalties!$AD38:$AL38,P$2))</f>
        <v>0</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88</v>
      </c>
      <c r="C39" s="665" t="str">
        <f>IF(IGRF!C32="","",IGRF!C32)</f>
        <v>MsMURDR</v>
      </c>
      <c r="D39" s="5" t="s">
        <v>453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454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1</v>
      </c>
      <c r="V40" s="889">
        <f>IF(B39="","",SUM(E40:T40)*0.5)</f>
        <v>0.5</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96*</v>
      </c>
      <c r="C41" s="894" t="str">
        <f>IF(IGRF!C33="","",IGRF!C33)</f>
        <v>Weird Flex</v>
      </c>
      <c r="D41" s="875" t="s">
        <v>453</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454</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455</v>
      </c>
      <c r="B43" s="207"/>
      <c r="C43" s="208"/>
      <c r="D43" s="902" t="s">
        <v>453</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454</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455</v>
      </c>
      <c r="B45" s="207"/>
      <c r="C45" s="208"/>
      <c r="D45" s="875" t="s">
        <v>453</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454</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451</v>
      </c>
      <c r="B47" s="208"/>
      <c r="C47" s="906" t="s">
        <v>456</v>
      </c>
      <c r="D47" s="907" t="s">
        <v>453</v>
      </c>
      <c r="E47" s="907">
        <f t="shared" ref="E47:AG47" si="1">SUM(E3,E5,E7,E9,E11,E13,E15,E17,E19,E21,E23,E25,E27,E29,E31,E33,E35,E37,E39,E41)</f>
        <v>0</v>
      </c>
      <c r="F47" s="907">
        <f t="shared" si="1"/>
        <v>1</v>
      </c>
      <c r="G47" s="907">
        <f t="shared" si="1"/>
        <v>0</v>
      </c>
      <c r="H47" s="907">
        <f t="shared" si="1"/>
        <v>0</v>
      </c>
      <c r="I47" s="907">
        <f t="shared" si="1"/>
        <v>0</v>
      </c>
      <c r="J47" s="907">
        <f t="shared" si="1"/>
        <v>3</v>
      </c>
      <c r="K47" s="907">
        <f t="shared" si="1"/>
        <v>0</v>
      </c>
      <c r="L47" s="907">
        <f t="shared" si="1"/>
        <v>0</v>
      </c>
      <c r="M47" s="907">
        <f t="shared" si="1"/>
        <v>1</v>
      </c>
      <c r="N47" s="907">
        <f t="shared" si="1"/>
        <v>1</v>
      </c>
      <c r="O47" s="907">
        <f t="shared" si="1"/>
        <v>2</v>
      </c>
      <c r="P47" s="907">
        <f t="shared" si="1"/>
        <v>3</v>
      </c>
      <c r="Q47" s="907">
        <f t="shared" si="1"/>
        <v>0</v>
      </c>
      <c r="R47" s="907">
        <f t="shared" si="1"/>
        <v>0</v>
      </c>
      <c r="S47" s="907">
        <f t="shared" si="1"/>
        <v>0</v>
      </c>
      <c r="T47" s="907">
        <f t="shared" si="1"/>
        <v>0</v>
      </c>
      <c r="U47" s="868">
        <f t="shared" si="1"/>
        <v>11</v>
      </c>
      <c r="V47" s="908">
        <f t="shared" si="1"/>
        <v>5.5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454</v>
      </c>
      <c r="E48" s="907">
        <f t="shared" ref="E48:AG48" si="3">SUM(E4,E6,E8,E10,E12,E14,E16,E18,E20,E22,E24,E26,E28,E30,E32,E34,E36,E38,E40,E42)</f>
        <v>0</v>
      </c>
      <c r="F48" s="907">
        <f t="shared" si="3"/>
        <v>0</v>
      </c>
      <c r="G48" s="907">
        <f t="shared" si="3"/>
        <v>2</v>
      </c>
      <c r="H48" s="907">
        <f t="shared" si="3"/>
        <v>0</v>
      </c>
      <c r="I48" s="907">
        <f t="shared" si="3"/>
        <v>0</v>
      </c>
      <c r="J48" s="907">
        <f t="shared" si="3"/>
        <v>1</v>
      </c>
      <c r="K48" s="907">
        <f t="shared" si="3"/>
        <v>0</v>
      </c>
      <c r="L48" s="907">
        <f t="shared" si="3"/>
        <v>0</v>
      </c>
      <c r="M48" s="907">
        <f t="shared" si="3"/>
        <v>0</v>
      </c>
      <c r="N48" s="907">
        <f t="shared" si="3"/>
        <v>2</v>
      </c>
      <c r="O48" s="907">
        <f t="shared" si="3"/>
        <v>2</v>
      </c>
      <c r="P48" s="907">
        <f t="shared" si="3"/>
        <v>2</v>
      </c>
      <c r="Q48" s="907">
        <f t="shared" si="3"/>
        <v>0</v>
      </c>
      <c r="R48" s="907">
        <f t="shared" si="3"/>
        <v>0</v>
      </c>
      <c r="S48" s="907">
        <f t="shared" si="3"/>
        <v>0</v>
      </c>
      <c r="T48" s="907">
        <f t="shared" si="3"/>
        <v>0</v>
      </c>
      <c r="U48" s="868">
        <f t="shared" si="3"/>
        <v>9</v>
      </c>
      <c r="V48" s="908">
        <f t="shared" si="3"/>
        <v>4.5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410</v>
      </c>
      <c r="E49" s="868">
        <f t="shared" ref="E49:AI49" si="5">SUM(E47,E48)</f>
        <v>0</v>
      </c>
      <c r="F49" s="868">
        <f t="shared" si="5"/>
        <v>1</v>
      </c>
      <c r="G49" s="868">
        <f t="shared" si="5"/>
        <v>2</v>
      </c>
      <c r="H49" s="868">
        <f t="shared" si="5"/>
        <v>0</v>
      </c>
      <c r="I49" s="868">
        <f t="shared" si="5"/>
        <v>0</v>
      </c>
      <c r="J49" s="868">
        <f t="shared" si="5"/>
        <v>4</v>
      </c>
      <c r="K49" s="868">
        <f t="shared" si="5"/>
        <v>0</v>
      </c>
      <c r="L49" s="868">
        <f t="shared" si="5"/>
        <v>0</v>
      </c>
      <c r="M49" s="868">
        <f t="shared" si="5"/>
        <v>1</v>
      </c>
      <c r="N49" s="868">
        <f t="shared" si="5"/>
        <v>3</v>
      </c>
      <c r="O49" s="868">
        <f t="shared" si="5"/>
        <v>4</v>
      </c>
      <c r="P49" s="868">
        <f t="shared" si="5"/>
        <v>5</v>
      </c>
      <c r="Q49" s="868">
        <f t="shared" si="5"/>
        <v>0</v>
      </c>
      <c r="R49" s="868">
        <f t="shared" si="5"/>
        <v>0</v>
      </c>
      <c r="S49" s="868">
        <f t="shared" si="5"/>
        <v>0</v>
      </c>
      <c r="T49" s="868">
        <f t="shared" si="5"/>
        <v>0</v>
      </c>
      <c r="U49" s="912">
        <f t="shared" si="5"/>
        <v>20</v>
      </c>
      <c r="V49" s="913">
        <f t="shared" si="5"/>
        <v>10</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355</v>
      </c>
      <c r="F54" s="882"/>
      <c r="G54" s="882"/>
      <c r="H54" s="882"/>
      <c r="I54" s="882"/>
      <c r="J54" s="816"/>
      <c r="K54" s="816"/>
      <c r="L54" s="816"/>
      <c r="M54" s="816"/>
      <c r="N54" s="816"/>
      <c r="O54" s="816"/>
      <c r="P54" s="816"/>
      <c r="Q54" s="816"/>
      <c r="R54" s="816"/>
      <c r="S54" s="816"/>
      <c r="T54" s="816"/>
      <c r="U54" s="816"/>
      <c r="V54" s="883" t="s">
        <v>449</v>
      </c>
      <c r="W54" s="884"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457</v>
      </c>
      <c r="B55" s="867" t="s">
        <v>436</v>
      </c>
      <c r="C55" s="867" t="s">
        <v>437</v>
      </c>
      <c r="D55" s="867"/>
      <c r="E55" s="867" t="s">
        <v>244</v>
      </c>
      <c r="F55" s="867" t="s">
        <v>251</v>
      </c>
      <c r="G55" s="867" t="s">
        <v>245</v>
      </c>
      <c r="H55" s="867" t="s">
        <v>254</v>
      </c>
      <c r="I55" s="867" t="s">
        <v>256</v>
      </c>
      <c r="J55" s="867" t="s">
        <v>243</v>
      </c>
      <c r="K55" s="867" t="s">
        <v>260</v>
      </c>
      <c r="L55" s="867" t="s">
        <v>262</v>
      </c>
      <c r="M55" s="867" t="s">
        <v>258</v>
      </c>
      <c r="N55" s="867" t="s">
        <v>248</v>
      </c>
      <c r="O55" s="867" t="s">
        <v>247</v>
      </c>
      <c r="P55" s="867" t="s">
        <v>231</v>
      </c>
      <c r="Q55" s="867" t="s">
        <v>278</v>
      </c>
      <c r="R55" s="867" t="s">
        <v>267</v>
      </c>
      <c r="S55" s="867"/>
      <c r="T55" s="867"/>
      <c r="U55" s="868" t="s">
        <v>410</v>
      </c>
      <c r="V55" s="885"/>
      <c r="W55" s="886" t="s">
        <v>452</v>
      </c>
      <c r="X55" s="886" t="s">
        <v>244</v>
      </c>
      <c r="Y55" s="886" t="s">
        <v>251</v>
      </c>
      <c r="Z55" s="886" t="s">
        <v>245</v>
      </c>
      <c r="AA55" s="886" t="s">
        <v>254</v>
      </c>
      <c r="AB55" s="886" t="s">
        <v>256</v>
      </c>
      <c r="AC55" s="886" t="s">
        <v>243</v>
      </c>
      <c r="AD55" s="886" t="s">
        <v>260</v>
      </c>
      <c r="AE55" s="886" t="s">
        <v>262</v>
      </c>
      <c r="AF55" s="886" t="s">
        <v>258</v>
      </c>
      <c r="AG55" s="886" t="s">
        <v>248</v>
      </c>
      <c r="AH55" s="886" t="s">
        <v>247</v>
      </c>
      <c r="AI55" s="886" t="s">
        <v>278</v>
      </c>
      <c r="AJ55" s="886"/>
      <c r="AK55" s="43"/>
      <c r="AL55" s="43"/>
      <c r="AM55" s="43"/>
      <c r="AN55" s="43"/>
      <c r="AO55" s="43"/>
      <c r="AP55" s="43"/>
      <c r="AQ55" s="43"/>
      <c r="AR55" s="43"/>
      <c r="AS55" s="43"/>
      <c r="AT55" s="43"/>
      <c r="AU55" s="43"/>
      <c r="AV55" s="43"/>
      <c r="AW55" s="43"/>
      <c r="AX55" s="43"/>
    </row>
    <row r="56" ht="13.5" customHeight="1">
      <c r="A56" s="418">
        <v>1.0</v>
      </c>
      <c r="B56" s="887" t="str">
        <f>IF(IGRF!I14="","",IGRF!I14)</f>
        <v>10*</v>
      </c>
      <c r="C56" s="665" t="str">
        <f>IF(IGRF!J14="","",IGRF!J14)</f>
        <v>BAMPF!</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11</v>
      </c>
      <c r="C58" s="894" t="str">
        <f>IF(IGRF!J15="","",IGRF!J15)</f>
        <v>Killer Queen</v>
      </c>
      <c r="D58" s="875" t="s">
        <v>453</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1</v>
      </c>
      <c r="K58" s="875">
        <f>IF($B58="","",COUNTIF(Penalties!$Q6:$Y6,K$55))</f>
        <v>0</v>
      </c>
      <c r="L58" s="875">
        <f>IF($B58="","",COUNTIF(Penalties!$Q6:$Y6,L$55))</f>
        <v>0</v>
      </c>
      <c r="M58" s="875">
        <f>IF($B58="","",COUNTIF(Penalties!$Q6:$Y6,M$55))</f>
        <v>0</v>
      </c>
      <c r="N58" s="875">
        <f>IF($B58="","",COUNTIF(Penalties!$Q6:$Y6,N$55))</f>
        <v>2</v>
      </c>
      <c r="O58" s="875">
        <f>IF($B58="","",COUNTIF(Penalties!$Q6:$Y6,O$55))</f>
        <v>0</v>
      </c>
      <c r="P58" s="875">
        <f>IF($B58="","",COUNTIF(Penalties!$Q6:$Y6,P$55))</f>
        <v>0</v>
      </c>
      <c r="Q58" s="875">
        <f>IF($B58="","",COUNTIF(Penalties!$Q6:$Y6,Q$55))</f>
        <v>0</v>
      </c>
      <c r="R58" s="875">
        <f>IF($B58="","",COUNTIF(Penalties!$Q6:$Y6,R$55))</f>
        <v>0</v>
      </c>
      <c r="S58" s="875"/>
      <c r="T58" s="875"/>
      <c r="U58" s="895">
        <f>IF(B58="","",SUM(E58:T58))</f>
        <v>3</v>
      </c>
      <c r="V58" s="896">
        <f>IF(B58="","",SUM(E58:T58)*0.5)</f>
        <v>1.5</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454</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1</v>
      </c>
      <c r="K59" s="875">
        <f>IF($B58="","",COUNTIF(Penalties!$AS6:$BA6,K$55))</f>
        <v>0</v>
      </c>
      <c r="L59" s="875">
        <f>IF($B58="","",COUNTIF(Penalties!$AS6:$BA6,L$55))</f>
        <v>0</v>
      </c>
      <c r="M59" s="875">
        <f>IF($B58="","",COUNTIF(Penalties!$AS6:$BA6,M$55))</f>
        <v>0</v>
      </c>
      <c r="N59" s="875">
        <f>IF($B58="","",COUNTIF(Penalties!$AS6:$BA6,N$55))</f>
        <v>0</v>
      </c>
      <c r="O59" s="875">
        <f>IF($B58="","",COUNTIF(Penalties!$AS6:$BA6,O$55))</f>
        <v>1</v>
      </c>
      <c r="P59" s="875">
        <f>IF($B58="","",COUNTIF(Penalties!$AS6:$BA6,P$55))</f>
        <v>0</v>
      </c>
      <c r="Q59" s="875">
        <f>IF($B58="","",COUNTIF(Penalties!$AS6:$BA6,Q$55))</f>
        <v>0</v>
      </c>
      <c r="R59" s="875">
        <f>IF($B58="","",COUNTIF(Penalties!$AS6:$BA6,R$55))</f>
        <v>0</v>
      </c>
      <c r="S59" s="875"/>
      <c r="T59" s="875"/>
      <c r="U59" s="895">
        <f>IF(B58="","",SUM(E59:T59))</f>
        <v>2</v>
      </c>
      <c r="V59" s="896">
        <f>IF(B58="","",SUM(E59:T59)*0.5)</f>
        <v>1</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120</v>
      </c>
      <c r="C60" s="665" t="str">
        <f>IF(IGRF!J16="","",IGRF!J16)</f>
        <v>Nikki Nail 'er</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13</v>
      </c>
      <c r="C62" s="894" t="str">
        <f>IF(IGRF!J17="","",IGRF!J17)</f>
        <v>Libido Loca</v>
      </c>
      <c r="D62" s="875" t="s">
        <v>453</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454</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15</v>
      </c>
      <c r="C64" s="665" t="str">
        <f>IF(IGRF!J18="","",IGRF!J18)</f>
        <v>Harley Darlin</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88">
        <f>IF(B64="","",SUM(E64:T64))</f>
        <v>1</v>
      </c>
      <c r="V64" s="889">
        <f>IF(B64="","",SUM(E64:T64)*0.5)</f>
        <v>0.5</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88">
        <f>IF(B64="","",SUM(E65:T65))</f>
        <v>1</v>
      </c>
      <c r="V65" s="889">
        <f>IF(B64="","",SUM(E65:T65)*0.5)</f>
        <v>0.5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21*</v>
      </c>
      <c r="C66" s="894" t="str">
        <f>IF(IGRF!J19="","",IGRF!J19)</f>
        <v>Agatha KrisB</v>
      </c>
      <c r="D66" s="875" t="s">
        <v>453</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454</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213</v>
      </c>
      <c r="C68" s="665" t="str">
        <f>IF(IGRF!J20="","",IGRF!J20)</f>
        <v>IceBox</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88">
        <f>IF(B68="","",SUM(E69:T69))</f>
        <v>2</v>
      </c>
      <c r="V69" s="889">
        <f>IF(B68="","",SUM(E69:T69)*0.5)</f>
        <v>1</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221</v>
      </c>
      <c r="C70" s="894" t="str">
        <f>IF(IGRF!J21="","",IGRF!J21)</f>
        <v>Syann</v>
      </c>
      <c r="D70" s="875" t="s">
        <v>453</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1</v>
      </c>
      <c r="Q70" s="875">
        <f>IF($B70="","",COUNTIF(Penalties!$Q18:$Y18,Q$55))</f>
        <v>0</v>
      </c>
      <c r="R70" s="875">
        <f>IF($B70="","",COUNTIF(Penalties!$Q18:$Y18,R$55))</f>
        <v>0</v>
      </c>
      <c r="S70" s="875"/>
      <c r="T70" s="875"/>
      <c r="U70" s="895">
        <f>IF(B70="","",SUM(E70:T70))</f>
        <v>1</v>
      </c>
      <c r="V70" s="896">
        <f>IF(B70="","",SUM(E70:T70)*0.5)</f>
        <v>0.5</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454</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28</v>
      </c>
      <c r="C72" s="665" t="str">
        <f>IF(IGRF!J22="","",IGRF!J22)</f>
        <v>Hot Box</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321</v>
      </c>
      <c r="C74" s="894" t="str">
        <f>IF(IGRF!J23="","",IGRF!J23)</f>
        <v>Rockit</v>
      </c>
      <c r="D74" s="875" t="s">
        <v>453</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454</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329</v>
      </c>
      <c r="C76" s="665" t="str">
        <f>IF(IGRF!J24="","",IGRF!J24)</f>
        <v>Triple Axel Rose</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888">
        <f>IF(B76="","",SUM(E77:T77))</f>
        <v>2</v>
      </c>
      <c r="V77" s="889">
        <f>IF(B76="","",SUM(E77:T77)*0.5)</f>
        <v>1</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410</v>
      </c>
      <c r="C78" s="894" t="str">
        <f>IF(IGRF!J25="","",IGRF!J25)</f>
        <v>Ricketts</v>
      </c>
      <c r="D78" s="875" t="s">
        <v>453</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2</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454</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1</v>
      </c>
      <c r="Q79" s="875">
        <f>IF($B78="","",COUNTIF(Penalties!$AS26:$BA26,Q$55))</f>
        <v>0</v>
      </c>
      <c r="R79" s="875">
        <f>IF($B78="","",COUNTIF(Penalties!$AS26:$BA26,R$55))</f>
        <v>1</v>
      </c>
      <c r="S79" s="875"/>
      <c r="T79" s="875"/>
      <c r="U79" s="895">
        <f>IF(B78="","",SUM(E79:T79))</f>
        <v>2</v>
      </c>
      <c r="V79" s="896">
        <f>IF(B78="","",SUM(E79:T79)*0.5)</f>
        <v>1</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47</v>
      </c>
      <c r="C80" s="665" t="str">
        <f>IF(IGRF!J26="","",IGRF!J26)</f>
        <v>Author of Pain</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484*</v>
      </c>
      <c r="C82" s="894" t="str">
        <f>IF(IGRF!J27="","",IGRF!J27)</f>
        <v>Gemineye</v>
      </c>
      <c r="D82" s="875" t="s">
        <v>453</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454</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505</v>
      </c>
      <c r="C84" s="665" t="str">
        <f>IF(IGRF!J28="","",IGRF!J28)</f>
        <v>Swearin' Marie</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88">
        <f>IF(B84="","",SUM(E84:T84))</f>
        <v>1</v>
      </c>
      <c r="V84" s="889">
        <f>IF(B84="","",SUM(E84:T84)*0.5)</f>
        <v>0.5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1</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8">
        <f>IF(B84="","",SUM(E85:T85))</f>
        <v>3</v>
      </c>
      <c r="V85" s="889">
        <f>IF(B84="","",SUM(E85:T85)*0.5)</f>
        <v>1.5</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75*</v>
      </c>
      <c r="C86" s="894" t="str">
        <f>IF(IGRF!J29="","",IGRF!J29)</f>
        <v>TamTrum</v>
      </c>
      <c r="D86" s="875" t="s">
        <v>453</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454</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88</v>
      </c>
      <c r="C88" s="665" t="str">
        <f>IF(IGRF!J30="","",IGRF!J30)</f>
        <v>Rocktopus</v>
      </c>
      <c r="D88" s="5" t="s">
        <v>453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454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v>
      </c>
      <c r="C90" s="894" t="str">
        <f>IF(IGRF!J31="","",IGRF!J31)</f>
        <v>Kell's Inferno</v>
      </c>
      <c r="D90" s="875" t="s">
        <v>453</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454</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913*</v>
      </c>
      <c r="C92" s="665" t="str">
        <f>IF(IGRF!J32="","",IGRF!J32)</f>
        <v>Termiskater</v>
      </c>
      <c r="D92" s="5" t="s">
        <v>453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454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999</v>
      </c>
      <c r="C94" s="894" t="str">
        <f>IF(IGRF!J33="","",IGRF!J33)</f>
        <v>Amanda Jamitinya</v>
      </c>
      <c r="D94" s="875" t="s">
        <v>453</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454</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455</v>
      </c>
      <c r="B96" s="207"/>
      <c r="C96" s="208"/>
      <c r="D96" s="902" t="s">
        <v>453</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454</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455</v>
      </c>
      <c r="B98" s="207"/>
      <c r="C98" s="208"/>
      <c r="D98" s="875" t="s">
        <v>453</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454</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457</v>
      </c>
      <c r="B100" s="208"/>
      <c r="C100" s="906" t="s">
        <v>456</v>
      </c>
      <c r="D100" s="907" t="s">
        <v>453</v>
      </c>
      <c r="E100" s="907">
        <f t="shared" ref="E100:AG100" si="6">SUM(E56,E58,E60,E62,E64,E66,E68,E70,E72,E74,E76,E78,E80,E82,E84,E86,E88,E90,E92,E94)</f>
        <v>0</v>
      </c>
      <c r="F100" s="907">
        <f t="shared" si="6"/>
        <v>0</v>
      </c>
      <c r="G100" s="907">
        <f t="shared" si="6"/>
        <v>0</v>
      </c>
      <c r="H100" s="907">
        <f t="shared" si="6"/>
        <v>0</v>
      </c>
      <c r="I100" s="907">
        <f t="shared" si="6"/>
        <v>0</v>
      </c>
      <c r="J100" s="907">
        <f t="shared" si="6"/>
        <v>1</v>
      </c>
      <c r="K100" s="907">
        <f t="shared" si="6"/>
        <v>0</v>
      </c>
      <c r="L100" s="907">
        <f t="shared" si="6"/>
        <v>0</v>
      </c>
      <c r="M100" s="907">
        <f t="shared" si="6"/>
        <v>0</v>
      </c>
      <c r="N100" s="907">
        <f t="shared" si="6"/>
        <v>2</v>
      </c>
      <c r="O100" s="907">
        <f t="shared" si="6"/>
        <v>0</v>
      </c>
      <c r="P100" s="907">
        <f t="shared" si="6"/>
        <v>3</v>
      </c>
      <c r="Q100" s="907">
        <f t="shared" si="6"/>
        <v>0</v>
      </c>
      <c r="R100" s="907">
        <f t="shared" si="6"/>
        <v>2</v>
      </c>
      <c r="S100" s="907">
        <f t="shared" si="6"/>
        <v>0</v>
      </c>
      <c r="T100" s="907">
        <f t="shared" si="6"/>
        <v>0</v>
      </c>
      <c r="U100" s="868">
        <f t="shared" si="6"/>
        <v>8</v>
      </c>
      <c r="V100" s="908">
        <f t="shared" si="6"/>
        <v>4</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454</v>
      </c>
      <c r="E101" s="907">
        <f t="shared" ref="E101:AG101" si="8">SUM(E57,E59,E61,E63,E65,E67,E69,E71,E73,E75,E77,E79,E81,E83,E85,E87,E89,E91,E93,E95)</f>
        <v>0</v>
      </c>
      <c r="F101" s="907">
        <f t="shared" si="8"/>
        <v>0</v>
      </c>
      <c r="G101" s="907">
        <f t="shared" si="8"/>
        <v>0</v>
      </c>
      <c r="H101" s="907">
        <f t="shared" si="8"/>
        <v>0</v>
      </c>
      <c r="I101" s="907">
        <f t="shared" si="8"/>
        <v>0</v>
      </c>
      <c r="J101" s="907">
        <f t="shared" si="8"/>
        <v>1</v>
      </c>
      <c r="K101" s="907">
        <f t="shared" si="8"/>
        <v>0</v>
      </c>
      <c r="L101" s="907">
        <f t="shared" si="8"/>
        <v>1</v>
      </c>
      <c r="M101" s="907">
        <f t="shared" si="8"/>
        <v>2</v>
      </c>
      <c r="N101" s="907">
        <f t="shared" si="8"/>
        <v>0</v>
      </c>
      <c r="O101" s="907">
        <f t="shared" si="8"/>
        <v>2</v>
      </c>
      <c r="P101" s="907">
        <f t="shared" si="8"/>
        <v>5</v>
      </c>
      <c r="Q101" s="907">
        <f t="shared" si="8"/>
        <v>0</v>
      </c>
      <c r="R101" s="907">
        <f t="shared" si="8"/>
        <v>1</v>
      </c>
      <c r="S101" s="907">
        <f t="shared" si="8"/>
        <v>0</v>
      </c>
      <c r="T101" s="907">
        <f t="shared" si="8"/>
        <v>0</v>
      </c>
      <c r="U101" s="868">
        <f t="shared" si="8"/>
        <v>12</v>
      </c>
      <c r="V101" s="908">
        <f t="shared" si="8"/>
        <v>6</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410</v>
      </c>
      <c r="E102" s="868">
        <f t="shared" ref="E102:AI102" si="10">SUM(E100,E101)</f>
        <v>0</v>
      </c>
      <c r="F102" s="868">
        <f t="shared" si="10"/>
        <v>0</v>
      </c>
      <c r="G102" s="868">
        <f t="shared" si="10"/>
        <v>0</v>
      </c>
      <c r="H102" s="868">
        <f t="shared" si="10"/>
        <v>0</v>
      </c>
      <c r="I102" s="868">
        <f t="shared" si="10"/>
        <v>0</v>
      </c>
      <c r="J102" s="868">
        <f t="shared" si="10"/>
        <v>2</v>
      </c>
      <c r="K102" s="868">
        <f t="shared" si="10"/>
        <v>0</v>
      </c>
      <c r="L102" s="868">
        <f t="shared" si="10"/>
        <v>1</v>
      </c>
      <c r="M102" s="868">
        <f t="shared" si="10"/>
        <v>2</v>
      </c>
      <c r="N102" s="868">
        <f t="shared" si="10"/>
        <v>2</v>
      </c>
      <c r="O102" s="868">
        <f t="shared" si="10"/>
        <v>2</v>
      </c>
      <c r="P102" s="868">
        <f t="shared" si="10"/>
        <v>8</v>
      </c>
      <c r="Q102" s="868">
        <f t="shared" si="10"/>
        <v>0</v>
      </c>
      <c r="R102" s="868">
        <f t="shared" si="10"/>
        <v>3</v>
      </c>
      <c r="S102" s="868">
        <f t="shared" si="10"/>
        <v>0</v>
      </c>
      <c r="T102" s="868">
        <f t="shared" si="10"/>
        <v>0</v>
      </c>
      <c r="U102" s="912">
        <f t="shared" si="10"/>
        <v>20</v>
      </c>
      <c r="V102" s="913">
        <f t="shared" si="10"/>
        <v>10</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453</v>
      </c>
      <c r="B1" s="914" t="s">
        <v>451</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453</v>
      </c>
      <c r="R1" s="914" t="s">
        <v>457</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375</v>
      </c>
      <c r="B2" s="916" t="s">
        <v>458</v>
      </c>
      <c r="C2" s="916" t="s">
        <v>290</v>
      </c>
      <c r="D2" s="916" t="s">
        <v>459</v>
      </c>
      <c r="E2" s="916" t="s">
        <v>460</v>
      </c>
      <c r="F2" s="916" t="s">
        <v>461</v>
      </c>
      <c r="G2" s="919" t="s">
        <v>462</v>
      </c>
      <c r="H2" s="919" t="s">
        <v>443</v>
      </c>
      <c r="I2" s="918" t="s">
        <v>463</v>
      </c>
      <c r="J2" s="919" t="s">
        <v>464</v>
      </c>
      <c r="K2" s="919" t="s">
        <v>465</v>
      </c>
      <c r="L2" s="919" t="s">
        <v>218</v>
      </c>
      <c r="M2" s="916" t="s">
        <v>230</v>
      </c>
      <c r="N2" s="916" t="s">
        <v>466</v>
      </c>
      <c r="O2" s="916" t="s">
        <v>467</v>
      </c>
      <c r="P2" s="418"/>
      <c r="Q2" s="916" t="s">
        <v>375</v>
      </c>
      <c r="R2" s="916" t="s">
        <v>458</v>
      </c>
      <c r="S2" s="916" t="s">
        <v>290</v>
      </c>
      <c r="T2" s="916" t="s">
        <v>459</v>
      </c>
      <c r="U2" s="916" t="s">
        <v>460</v>
      </c>
      <c r="V2" s="916" t="s">
        <v>461</v>
      </c>
      <c r="W2" s="919" t="s">
        <v>462</v>
      </c>
      <c r="X2" s="919" t="s">
        <v>443</v>
      </c>
      <c r="Y2" s="918" t="s">
        <v>463</v>
      </c>
      <c r="Z2" s="919" t="s">
        <v>464</v>
      </c>
      <c r="AA2" s="919" t="s">
        <v>465</v>
      </c>
      <c r="AB2" s="919" t="s">
        <v>218</v>
      </c>
      <c r="AC2" s="916" t="s">
        <v>230</v>
      </c>
      <c r="AD2" s="916" t="s">
        <v>466</v>
      </c>
      <c r="AE2" s="916" t="s">
        <v>467</v>
      </c>
    </row>
    <row r="3" ht="13.5" customHeight="1">
      <c r="A3" s="665">
        <v>1.0</v>
      </c>
      <c r="B3" s="418">
        <f>IF(ISNA(MATCH($A3,Score!A$4:A$41,0)),"",MATCH($A3,Score!A$4:A$41,0)+ROW(Score!A$3))</f>
        <v>4</v>
      </c>
      <c r="C3" s="887" t="str">
        <f t="shared" ref="C3:D3" si="1">IF($B3="","",INDIRECT(ADDRESS($B3,C$1,1,,"Score")))</f>
        <v>313</v>
      </c>
      <c r="D3" s="418">
        <f t="shared" si="1"/>
        <v>4</v>
      </c>
      <c r="E3" s="665">
        <f>IF(B3="","",SUM(D3,D4))</f>
        <v>4</v>
      </c>
      <c r="F3" s="665">
        <f>IF(B3="","",E3-U3)</f>
        <v>4</v>
      </c>
      <c r="G3" s="920" t="str">
        <f t="shared" ref="G3:H3" si="2">IF($B3="","",IF(ISBLANK(INDIRECT(ADDRESS($B3,G$1,1,,"Score"))),"",1))</f>
        <v/>
      </c>
      <c r="H3" s="920">
        <f t="shared" si="2"/>
        <v>1</v>
      </c>
      <c r="I3" s="921">
        <f>IF(H3=1,F3,"")</f>
        <v>4</v>
      </c>
      <c r="J3" s="920">
        <f t="shared" ref="J3:L3" si="3">IF($B3="","",IF(ISBLANK(INDIRECT(ADDRESS($B3,J$1,1,,"Score"))),"",1))</f>
        <v>1</v>
      </c>
      <c r="K3" s="920" t="str">
        <f t="shared" si="3"/>
        <v/>
      </c>
      <c r="L3" s="920" t="str">
        <f t="shared" si="3"/>
        <v/>
      </c>
      <c r="M3" s="418">
        <f t="shared" ref="M3:M78" si="9">IF($B3="","",INDIRECT(ADDRESS($B3,M$1,1,,"Score")))</f>
        <v>1</v>
      </c>
      <c r="N3" s="665">
        <f>IF(ISNA(MATCH($A3,'Game Clock'!A$11:A$48,0)),"",INDIRECT(ADDRESS(MATCH($A3,'Game Clock'!A$11:A$48,0)+ROW('Game Clock'!A$10),N$1,1,,"Game Clock")))</f>
        <v>20</v>
      </c>
      <c r="O3" s="665">
        <f>IF(OR(N3="",N3=0),"",60*E3/N3)</f>
        <v>12</v>
      </c>
      <c r="P3" s="418"/>
      <c r="Q3" s="665">
        <v>1.0</v>
      </c>
      <c r="R3" s="418">
        <f>IF(ISNA(MATCH($Q3,Score!T$4:T$41,0)),"",MATCH($Q3,Score!T$4:T$41,0)++ROW(Score!T$3))</f>
        <v>4</v>
      </c>
      <c r="S3" s="887" t="str">
        <f t="shared" ref="S3:T3" si="4">IF($R3="","",INDIRECT(ADDRESS($R3,S$1,1,,"Score")))</f>
        <v>15</v>
      </c>
      <c r="T3" s="418">
        <f t="shared" si="4"/>
        <v>0</v>
      </c>
      <c r="U3" s="665">
        <f>IF(R3="","",SUM(T3,T4))</f>
        <v>0</v>
      </c>
      <c r="V3" s="665">
        <f>IF(R3="","",U3-E3)</f>
        <v>-4</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f t="shared" si="6"/>
        <v>1</v>
      </c>
      <c r="AC3" s="418">
        <f t="shared" ref="AC3:AC78" si="12">IF($R3="","",INDIRECT(ADDRESS($R3,AC$1,1,,"Score")))</f>
        <v>0</v>
      </c>
      <c r="AD3" s="665">
        <f>N3</f>
        <v>20</v>
      </c>
      <c r="AE3" s="665">
        <f>IF(OR(AD3="",AD3=0),"",60*U3/AD3)</f>
        <v>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3381</v>
      </c>
      <c r="D5" s="923">
        <f t="shared" si="13"/>
        <v>21</v>
      </c>
      <c r="E5" s="922">
        <f>IF(B5="","",SUM(D5,D6))</f>
        <v>21</v>
      </c>
      <c r="F5" s="922">
        <f>IF(B5="","",E5-U5)</f>
        <v>11</v>
      </c>
      <c r="G5" s="925">
        <f t="shared" ref="G5:H5" si="14">IF($B5="","",IF(ISBLANK(INDIRECT(ADDRESS($B5,G$1,1,,"Score"))),"",1))</f>
        <v>1</v>
      </c>
      <c r="H5" s="925" t="str">
        <f t="shared" si="14"/>
        <v/>
      </c>
      <c r="I5" s="926" t="str">
        <f>IF(H5=1,F5,"")</f>
        <v/>
      </c>
      <c r="J5" s="925" t="str">
        <f t="shared" ref="J5:L5" si="15">IF($B5="","",IF(ISBLANK(INDIRECT(ADDRESS($B5,J$1,1,,"Score"))),"",1))</f>
        <v/>
      </c>
      <c r="K5" s="925" t="str">
        <f t="shared" si="15"/>
        <v/>
      </c>
      <c r="L5" s="925" t="str">
        <f t="shared" si="15"/>
        <v/>
      </c>
      <c r="M5" s="923">
        <f t="shared" si="9"/>
        <v>6</v>
      </c>
      <c r="N5" s="665">
        <f>IF(ISNA(MATCH($A5,'Game Clock'!A$11:A$48,0)),"",INDIRECT(ADDRESS(MATCH($A5,'Game Clock'!A$11:A$48,0)+ROW('Game Clock'!A$10),N$1,1,,"Game Clock")))</f>
        <v>120</v>
      </c>
      <c r="O5" s="922">
        <f>IF(OR(N5="",N5=0),"",60*E5/N5)</f>
        <v>10.5</v>
      </c>
      <c r="P5" s="418"/>
      <c r="Q5" s="922">
        <f>Q3+1</f>
        <v>2</v>
      </c>
      <c r="R5" s="923">
        <f>IF(ISNA(MATCH($Q5,Score!T$4:T$41,0)),"",MATCH($Q5,Score!T$4:T$41,0)++ROW(Score!T$3))</f>
        <v>5</v>
      </c>
      <c r="S5" s="924" t="str">
        <f t="shared" ref="S5:T5" si="16">IF($R5="","",INDIRECT(ADDRESS($R5,S$1,1,,"Score")))</f>
        <v>329</v>
      </c>
      <c r="T5" s="923">
        <f t="shared" si="16"/>
        <v>10</v>
      </c>
      <c r="U5" s="922">
        <f>IF(R5="","",SUM(T5,T6))</f>
        <v>10</v>
      </c>
      <c r="V5" s="922">
        <f>IF(R5="","",U5-E5)</f>
        <v>-11</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t="str">
        <f t="shared" si="18"/>
        <v/>
      </c>
      <c r="AC5" s="923">
        <f t="shared" si="12"/>
        <v>3</v>
      </c>
      <c r="AD5" s="922">
        <f>N5</f>
        <v>120</v>
      </c>
      <c r="AE5" s="922">
        <f>IF(OR(AD5="",AD5=0),"",60*U5/AD5)</f>
        <v>5</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10</v>
      </c>
      <c r="D7" s="418">
        <f t="shared" si="23"/>
        <v>4</v>
      </c>
      <c r="E7" s="665">
        <f>IF(B7="","",SUM(D7,D8))</f>
        <v>4</v>
      </c>
      <c r="F7" s="665">
        <f>IF(B7="","",E7-U7)</f>
        <v>4</v>
      </c>
      <c r="G7" s="920" t="str">
        <f t="shared" ref="G7:H7" si="24">IF($B7="","",IF(ISBLANK(INDIRECT(ADDRESS($B7,G$1,1,,"Score"))),"",1))</f>
        <v/>
      </c>
      <c r="H7" s="920">
        <f t="shared" si="24"/>
        <v>1</v>
      </c>
      <c r="I7" s="921">
        <f>IF(H7=1,F7,"")</f>
        <v>4</v>
      </c>
      <c r="J7" s="920">
        <f t="shared" ref="J7:L7" si="25">IF($B7="","",IF(ISBLANK(INDIRECT(ADDRESS($B7,J$1,1,,"Score"))),"",1))</f>
        <v>1</v>
      </c>
      <c r="K7" s="920" t="str">
        <f t="shared" si="25"/>
        <v/>
      </c>
      <c r="L7" s="920" t="str">
        <f t="shared" si="25"/>
        <v/>
      </c>
      <c r="M7" s="418">
        <f t="shared" si="9"/>
        <v>2</v>
      </c>
      <c r="N7" s="665">
        <f>IF(ISNA(MATCH($A7,'Game Clock'!A$11:A$48,0)),"",INDIRECT(ADDRESS(MATCH($A7,'Game Clock'!A$11:A$48,0)+ROW('Game Clock'!A$10),N$1,1,,"Game Clock")))</f>
        <v>32</v>
      </c>
      <c r="O7" s="665">
        <f>IF(OR(N7="",N7=0),"",60*E7/N7)</f>
        <v>7.5</v>
      </c>
      <c r="P7" s="418"/>
      <c r="Q7" s="665">
        <f>Q5+1</f>
        <v>3</v>
      </c>
      <c r="R7" s="418">
        <f>IF(ISNA(MATCH($Q7,Score!T$4:T$41,0)),"",MATCH($Q7,Score!T$4:T$41,0)++ROW(Score!T$3))</f>
        <v>6</v>
      </c>
      <c r="S7" s="887" t="str">
        <f t="shared" ref="S7:T7" si="26">IF($R7="","",INDIRECT(ADDRESS($R7,S$1,1,,"Score")))</f>
        <v>9</v>
      </c>
      <c r="T7" s="418">
        <f t="shared" si="26"/>
        <v>0</v>
      </c>
      <c r="U7" s="665">
        <f>IF(R7="","",SUM(T7,T8))</f>
        <v>0</v>
      </c>
      <c r="V7" s="665">
        <f>IF(R7="","",U7-E7)</f>
        <v>-4</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f t="shared" si="28"/>
        <v>1</v>
      </c>
      <c r="AC7" s="418">
        <f t="shared" si="12"/>
        <v>0</v>
      </c>
      <c r="AD7" s="665">
        <f>N7</f>
        <v>32</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f>IF($R7="","",IF(INDIRECT(ADDRESS($R7+1,S$1-1,1,,"Score"))="SP",$R7+1,""))</f>
        <v>7</v>
      </c>
      <c r="S8" s="887" t="str">
        <f t="shared" ref="S8:T8" si="31">IF($R8="","",INDIRECT(ADDRESS($R8,S$1,1,,"Score")))</f>
        <v>505</v>
      </c>
      <c r="T8" s="418">
        <f t="shared" si="31"/>
        <v>0</v>
      </c>
      <c r="U8" s="665"/>
      <c r="V8" s="665"/>
      <c r="W8" s="920"/>
      <c r="X8" s="920"/>
      <c r="Y8" s="921"/>
      <c r="Z8" s="920" t="str">
        <f t="shared" ref="Z8:AB8" si="32">IF($R8="","",IF(ISBLANK(INDIRECT(ADDRESS($R8,Z$1,1,,"Score"))),"",1))</f>
        <v/>
      </c>
      <c r="AA8" s="920" t="str">
        <f t="shared" si="32"/>
        <v/>
      </c>
      <c r="AB8" s="920" t="str">
        <f t="shared" si="32"/>
        <v/>
      </c>
      <c r="AC8" s="418">
        <f t="shared" si="12"/>
        <v>1</v>
      </c>
      <c r="AD8" s="665"/>
      <c r="AE8" s="665"/>
    </row>
    <row r="9" ht="13.5" customHeight="1">
      <c r="A9" s="922">
        <f>A7+1</f>
        <v>4</v>
      </c>
      <c r="B9" s="923">
        <f>IF(ISNA(MATCH($A9,Score!A$4:A$41,0)),"",MATCH($A9,Score!A$4:A$41,0)+ROW(Score!A$3))</f>
        <v>8</v>
      </c>
      <c r="C9" s="924" t="str">
        <f t="shared" ref="C9:D9" si="33">IF($B9="","",INDIRECT(ADDRESS($B9,C$1,1,,"Score")))</f>
        <v>394</v>
      </c>
      <c r="D9" s="923">
        <f t="shared" si="33"/>
        <v>4</v>
      </c>
      <c r="E9" s="922">
        <f>IF(B9="","",SUM(D9,D10))</f>
        <v>4</v>
      </c>
      <c r="F9" s="922">
        <f>IF(B9="","",E9-U9)</f>
        <v>4</v>
      </c>
      <c r="G9" s="925" t="str">
        <f t="shared" ref="G9:H9" si="34">IF($B9="","",IF(ISBLANK(INDIRECT(ADDRESS($B9,G$1,1,,"Score"))),"",1))</f>
        <v/>
      </c>
      <c r="H9" s="925">
        <f t="shared" si="34"/>
        <v>1</v>
      </c>
      <c r="I9" s="926">
        <f>IF(H9=1,F9,"")</f>
        <v>4</v>
      </c>
      <c r="J9" s="925">
        <f t="shared" ref="J9:L9" si="35">IF($B9="","",IF(ISBLANK(INDIRECT(ADDRESS($B9,J$1,1,,"Score"))),"",1))</f>
        <v>1</v>
      </c>
      <c r="K9" s="925" t="str">
        <f t="shared" si="35"/>
        <v/>
      </c>
      <c r="L9" s="925" t="str">
        <f t="shared" si="35"/>
        <v/>
      </c>
      <c r="M9" s="923">
        <f t="shared" si="9"/>
        <v>2</v>
      </c>
      <c r="N9" s="665">
        <f>IF(ISNA(MATCH($A9,'Game Clock'!A$11:A$48,0)),"",INDIRECT(ADDRESS(MATCH($A9,'Game Clock'!A$11:A$48,0)+ROW('Game Clock'!A$10),N$1,1,,"Game Clock")))</f>
        <v>65</v>
      </c>
      <c r="O9" s="922">
        <f>IF(OR(N9="",N9=0),"",60*E9/N9)</f>
        <v>3.692307692</v>
      </c>
      <c r="P9" s="418"/>
      <c r="Q9" s="922">
        <f>Q7+1</f>
        <v>4</v>
      </c>
      <c r="R9" s="923">
        <f>IF(ISNA(MATCH($Q9,Score!T$4:T$41,0)),"",MATCH($Q9,Score!T$4:T$41,0)++ROW(Score!T$3))</f>
        <v>8</v>
      </c>
      <c r="S9" s="924" t="str">
        <f t="shared" ref="S9:T9" si="36">IF($R9="","",INDIRECT(ADDRESS($R9,S$1,1,,"Score")))</f>
        <v>505</v>
      </c>
      <c r="T9" s="923">
        <f t="shared" si="36"/>
        <v>0</v>
      </c>
      <c r="U9" s="922">
        <f>IF(R9="","",SUM(T9,T10))</f>
        <v>0</v>
      </c>
      <c r="V9" s="922">
        <f>IF(R9="","",U9-E9)</f>
        <v>-4</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t="str">
        <f t="shared" si="38"/>
        <v/>
      </c>
      <c r="AC9" s="923">
        <f t="shared" si="12"/>
        <v>1</v>
      </c>
      <c r="AD9" s="922">
        <f>N9</f>
        <v>65</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9</v>
      </c>
      <c r="C11" s="887" t="str">
        <f t="shared" ref="C11:D11" si="43">IF($B11="","",INDIRECT(ADDRESS($B11,C$1,1,,"Score")))</f>
        <v>313</v>
      </c>
      <c r="D11" s="418">
        <f t="shared" si="43"/>
        <v>12</v>
      </c>
      <c r="E11" s="665">
        <f>IF(B11="","",SUM(D11,D12))</f>
        <v>12</v>
      </c>
      <c r="F11" s="665">
        <f>IF(B11="","",E11-U11)</f>
        <v>7</v>
      </c>
      <c r="G11" s="920">
        <f t="shared" ref="G11:H11" si="44">IF($B11="","",IF(ISBLANK(INDIRECT(ADDRESS($B11,G$1,1,,"Score"))),"",1))</f>
        <v>1</v>
      </c>
      <c r="H11" s="920" t="str">
        <f t="shared" si="44"/>
        <v/>
      </c>
      <c r="I11" s="921" t="str">
        <f>IF(H11=1,F11,"")</f>
        <v/>
      </c>
      <c r="J11" s="920" t="str">
        <f t="shared" ref="J11:L11" si="45">IF($B11="","",IF(ISBLANK(INDIRECT(ADDRESS($B11,J$1,1,,"Score"))),"",1))</f>
        <v/>
      </c>
      <c r="K11" s="920" t="str">
        <f t="shared" si="45"/>
        <v/>
      </c>
      <c r="L11" s="920" t="str">
        <f t="shared" si="45"/>
        <v/>
      </c>
      <c r="M11" s="418">
        <f t="shared" si="9"/>
        <v>4</v>
      </c>
      <c r="N11" s="665">
        <f>IF(ISNA(MATCH($A11,'Game Clock'!A$11:A$48,0)),"",INDIRECT(ADDRESS(MATCH($A11,'Game Clock'!A$11:A$48,0)+ROW('Game Clock'!A$10),N$1,1,,"Game Clock")))</f>
        <v>120</v>
      </c>
      <c r="O11" s="665">
        <f>IF(OR(N11="",N11=0),"",60*E11/N11)</f>
        <v>6</v>
      </c>
      <c r="P11" s="418"/>
      <c r="Q11" s="665">
        <f>Q9+1</f>
        <v>5</v>
      </c>
      <c r="R11" s="418">
        <f>IF(ISNA(MATCH($Q11,Score!T$4:T$41,0)),"",MATCH($Q11,Score!T$4:T$41,0)++ROW(Score!T$3))</f>
        <v>9</v>
      </c>
      <c r="S11" s="887" t="str">
        <f t="shared" ref="S11:T11" si="46">IF($R11="","",INDIRECT(ADDRESS($R11,S$1,1,,"Score")))</f>
        <v>15</v>
      </c>
      <c r="T11" s="418">
        <f t="shared" si="46"/>
        <v>5</v>
      </c>
      <c r="U11" s="665">
        <f>IF(R11="","",SUM(T11,T12))</f>
        <v>5</v>
      </c>
      <c r="V11" s="665">
        <f>IF(R11="","",U11-E11)</f>
        <v>-7</v>
      </c>
      <c r="W11" s="920">
        <f t="shared" ref="W11:X11" si="47">IF($R11="","",IF(ISBLANK(INDIRECT(ADDRESS($R11,W$1,1,,"Score"))),"",1))</f>
        <v>1</v>
      </c>
      <c r="X11" s="920">
        <f t="shared" si="47"/>
        <v>1</v>
      </c>
      <c r="Y11" s="921">
        <f>IF(X11=1,V11,"")</f>
        <v>-7</v>
      </c>
      <c r="Z11" s="920" t="str">
        <f t="shared" ref="Z11:AB11" si="48">IF($R11="","",IF(ISBLANK(INDIRECT(ADDRESS($R11,Z$1,1,,"Score"))),"",1))</f>
        <v/>
      </c>
      <c r="AA11" s="920" t="str">
        <f t="shared" si="48"/>
        <v/>
      </c>
      <c r="AB11" s="920" t="str">
        <f t="shared" si="48"/>
        <v/>
      </c>
      <c r="AC11" s="418">
        <f t="shared" si="12"/>
        <v>2</v>
      </c>
      <c r="AD11" s="665">
        <f>N11</f>
        <v>120</v>
      </c>
      <c r="AE11" s="665">
        <f>IF(OR(AD11="",AD11=0),"",60*U11/AD11)</f>
        <v>2.5</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10</v>
      </c>
      <c r="C13" s="924" t="str">
        <f t="shared" ref="C13:D13" si="53">IF($B13="","",INDIRECT(ADDRESS($B13,C$1,1,,"Score")))</f>
        <v>3381</v>
      </c>
      <c r="D13" s="923">
        <f t="shared" si="53"/>
        <v>4</v>
      </c>
      <c r="E13" s="922">
        <f>IF(B13="","",SUM(D13,D14))</f>
        <v>4</v>
      </c>
      <c r="F13" s="922">
        <f>IF(B13="","",E13-U13)</f>
        <v>4</v>
      </c>
      <c r="G13" s="925" t="str">
        <f t="shared" ref="G13:H13" si="54">IF($B13="","",IF(ISBLANK(INDIRECT(ADDRESS($B13,G$1,1,,"Score"))),"",1))</f>
        <v/>
      </c>
      <c r="H13" s="925">
        <f t="shared" si="54"/>
        <v>1</v>
      </c>
      <c r="I13" s="926">
        <f>IF(H13=1,F13,"")</f>
        <v>4</v>
      </c>
      <c r="J13" s="925">
        <f t="shared" ref="J13:L13" si="55">IF($B13="","",IF(ISBLANK(INDIRECT(ADDRESS($B13,J$1,1,,"Score"))),"",1))</f>
        <v>1</v>
      </c>
      <c r="K13" s="925" t="str">
        <f t="shared" si="55"/>
        <v/>
      </c>
      <c r="L13" s="925" t="str">
        <f t="shared" si="55"/>
        <v/>
      </c>
      <c r="M13" s="923">
        <f t="shared" si="9"/>
        <v>2</v>
      </c>
      <c r="N13" s="665">
        <f>IF(ISNA(MATCH($A13,'Game Clock'!A$11:A$48,0)),"",INDIRECT(ADDRESS(MATCH($A13,'Game Clock'!A$11:A$48,0)+ROW('Game Clock'!A$10),N$1,1,,"Game Clock")))</f>
        <v>63</v>
      </c>
      <c r="O13" s="922">
        <f>IF(OR(N13="",N13=0),"",60*E13/N13)</f>
        <v>3.80952381</v>
      </c>
      <c r="P13" s="418"/>
      <c r="Q13" s="922">
        <f>Q11+1</f>
        <v>6</v>
      </c>
      <c r="R13" s="923">
        <f>IF(ISNA(MATCH($Q13,Score!T$4:T$41,0)),"",MATCH($Q13,Score!T$4:T$41,0)++ROW(Score!T$3))</f>
        <v>10</v>
      </c>
      <c r="S13" s="924" t="str">
        <f t="shared" ref="S13:T13" si="56">IF($R13="","",INDIRECT(ADDRESS($R13,S$1,1,,"Score")))</f>
        <v>329</v>
      </c>
      <c r="T13" s="923">
        <f t="shared" si="56"/>
        <v>0</v>
      </c>
      <c r="U13" s="922">
        <f>IF(R13="","",SUM(T13,T14))</f>
        <v>0</v>
      </c>
      <c r="V13" s="922">
        <f>IF(R13="","",U13-E13)</f>
        <v>-4</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f t="shared" si="58"/>
        <v>1</v>
      </c>
      <c r="AC13" s="923">
        <f t="shared" si="12"/>
        <v>0</v>
      </c>
      <c r="AD13" s="922">
        <f>N13</f>
        <v>63</v>
      </c>
      <c r="AE13" s="922">
        <f>IF(OR(AD13="",AD13=0),"",60*U13/AD13)</f>
        <v>0</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f>IF($R13="","",IF(INDIRECT(ADDRESS($R13+1,S$1-1,1,,"Score"))="SP",$R13+1,""))</f>
        <v>11</v>
      </c>
      <c r="S14" s="924" t="str">
        <f t="shared" ref="S14:T14" si="61">IF($R14="","",INDIRECT(ADDRESS($R14,S$1,1,,"Score")))</f>
        <v>28</v>
      </c>
      <c r="T14" s="923">
        <f t="shared" si="61"/>
        <v>0</v>
      </c>
      <c r="U14" s="922"/>
      <c r="V14" s="922"/>
      <c r="W14" s="925"/>
      <c r="X14" s="927"/>
      <c r="Y14" s="926"/>
      <c r="Z14" s="925" t="str">
        <f t="shared" ref="Z14:AB14" si="62">IF($R14="","",IF(ISBLANK(INDIRECT(ADDRESS($R14,Z$1,1,,"Score"))),"",1))</f>
        <v/>
      </c>
      <c r="AA14" s="925" t="str">
        <f t="shared" si="62"/>
        <v/>
      </c>
      <c r="AB14" s="925" t="str">
        <f t="shared" si="62"/>
        <v/>
      </c>
      <c r="AC14" s="923">
        <f t="shared" si="12"/>
        <v>1</v>
      </c>
      <c r="AD14" s="922"/>
      <c r="AE14" s="922"/>
    </row>
    <row r="15" ht="13.5" customHeight="1">
      <c r="A15" s="665">
        <f>A13+1</f>
        <v>7</v>
      </c>
      <c r="B15" s="418">
        <f>IF(ISNA(MATCH($A15,Score!A$4:A$41,0)),"",MATCH($A15,Score!A$4:A$41,0)+ROW(Score!A$3))</f>
        <v>12</v>
      </c>
      <c r="C15" s="887" t="str">
        <f t="shared" ref="C15:D15" si="63">IF($B15="","",INDIRECT(ADDRESS($B15,C$1,1,,"Score")))</f>
        <v>10</v>
      </c>
      <c r="D15" s="418">
        <f t="shared" si="63"/>
        <v>12</v>
      </c>
      <c r="E15" s="665">
        <f>IF(B15="","",SUM(D15,D16))</f>
        <v>12</v>
      </c>
      <c r="F15" s="665">
        <f>IF(B15="","",E15-U15)</f>
        <v>12</v>
      </c>
      <c r="G15" s="920" t="str">
        <f t="shared" ref="G15:H15" si="64">IF($B15="","",IF(ISBLANK(INDIRECT(ADDRESS($B15,G$1,1,,"Score"))),"",1))</f>
        <v/>
      </c>
      <c r="H15" s="920">
        <f t="shared" si="64"/>
        <v>1</v>
      </c>
      <c r="I15" s="921">
        <f>IF(H15=1,F15,"")</f>
        <v>12</v>
      </c>
      <c r="J15" s="920">
        <f t="shared" ref="J15:L15" si="65">IF($B15="","",IF(ISBLANK(INDIRECT(ADDRESS($B15,J$1,1,,"Score"))),"",1))</f>
        <v>1</v>
      </c>
      <c r="K15" s="920" t="str">
        <f t="shared" si="65"/>
        <v/>
      </c>
      <c r="L15" s="920" t="str">
        <f t="shared" si="65"/>
        <v/>
      </c>
      <c r="M15" s="418">
        <f t="shared" si="9"/>
        <v>3</v>
      </c>
      <c r="N15" s="665">
        <f>IF(ISNA(MATCH($A15,'Game Clock'!A$11:A$48,0)),"",INDIRECT(ADDRESS(MATCH($A15,'Game Clock'!A$11:A$48,0)+ROW('Game Clock'!A$10),N$1,1,,"Game Clock")))</f>
        <v>54</v>
      </c>
      <c r="O15" s="665">
        <f>IF(OR(N15="",N15=0),"",60*E15/N15)</f>
        <v>13.33333333</v>
      </c>
      <c r="P15" s="418"/>
      <c r="Q15" s="665">
        <f>Q13+1</f>
        <v>7</v>
      </c>
      <c r="R15" s="418">
        <f>IF(ISNA(MATCH($Q15,Score!T$4:T$41,0)),"",MATCH($Q15,Score!T$4:T$41,0)++ROW(Score!T$3))</f>
        <v>12</v>
      </c>
      <c r="S15" s="887" t="str">
        <f t="shared" ref="S15:T15" si="66">IF($R15="","",INDIRECT(ADDRESS($R15,S$1,1,,"Score")))</f>
        <v>9</v>
      </c>
      <c r="T15" s="418">
        <f t="shared" si="66"/>
        <v>0</v>
      </c>
      <c r="U15" s="665">
        <f>IF(R15="","",SUM(T15,T16))</f>
        <v>0</v>
      </c>
      <c r="V15" s="665">
        <f>IF(R15="","",U15-E15)</f>
        <v>-12</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f t="shared" si="68"/>
        <v>1</v>
      </c>
      <c r="AC15" s="418">
        <f t="shared" si="12"/>
        <v>0</v>
      </c>
      <c r="AD15" s="665">
        <f>N15</f>
        <v>54</v>
      </c>
      <c r="AE15" s="665">
        <f>IF(OR(AD15="",AD15=0),"",60*U15/AD15)</f>
        <v>0</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13</v>
      </c>
      <c r="C17" s="924" t="str">
        <f t="shared" ref="C17:D17" si="73">IF($B17="","",INDIRECT(ADDRESS($B17,C$1,1,,"Score")))</f>
        <v>394</v>
      </c>
      <c r="D17" s="923">
        <f t="shared" si="73"/>
        <v>4</v>
      </c>
      <c r="E17" s="922">
        <f>IF(B17="","",SUM(D17,D18))</f>
        <v>4</v>
      </c>
      <c r="F17" s="922">
        <f>IF(B17="","",E17-U17)</f>
        <v>0</v>
      </c>
      <c r="G17" s="925" t="str">
        <f t="shared" ref="G17:H17" si="74">IF($B17="","",IF(ISBLANK(INDIRECT(ADDRESS($B17,G$1,1,,"Score"))),"",1))</f>
        <v/>
      </c>
      <c r="H17" s="925">
        <f t="shared" si="74"/>
        <v>1</v>
      </c>
      <c r="I17" s="926">
        <f>IF(H17=1,F17,"")</f>
        <v>0</v>
      </c>
      <c r="J17" s="925">
        <f t="shared" ref="J17:L17" si="75">IF($B17="","",IF(ISBLANK(INDIRECT(ADDRESS($B17,J$1,1,,"Score"))),"",1))</f>
        <v>1</v>
      </c>
      <c r="K17" s="925" t="str">
        <f t="shared" si="75"/>
        <v/>
      </c>
      <c r="L17" s="925" t="str">
        <f t="shared" si="75"/>
        <v/>
      </c>
      <c r="M17" s="923">
        <f t="shared" si="9"/>
        <v>2</v>
      </c>
      <c r="N17" s="665">
        <f>IF(ISNA(MATCH($A17,'Game Clock'!A$11:A$48,0)),"",INDIRECT(ADDRESS(MATCH($A17,'Game Clock'!A$11:A$48,0)+ROW('Game Clock'!A$10),N$1,1,,"Game Clock")))</f>
        <v>90</v>
      </c>
      <c r="O17" s="922">
        <f>IF(OR(N17="",N17=0),"",60*E17/N17)</f>
        <v>2.666666667</v>
      </c>
      <c r="P17" s="418"/>
      <c r="Q17" s="922">
        <f>Q15+1</f>
        <v>8</v>
      </c>
      <c r="R17" s="923">
        <f>IF(ISNA(MATCH($Q17,Score!T$4:T$41,0)),"",MATCH($Q17,Score!T$4:T$41,0)++ROW(Score!T$3))</f>
        <v>13</v>
      </c>
      <c r="S17" s="924" t="str">
        <f t="shared" ref="S17:T17" si="76">IF($R17="","",INDIRECT(ADDRESS($R17,S$1,1,,"Score")))</f>
        <v>221</v>
      </c>
      <c r="T17" s="923">
        <f t="shared" si="76"/>
        <v>4</v>
      </c>
      <c r="U17" s="922">
        <f>IF(R17="","",SUM(T17,T18))</f>
        <v>4</v>
      </c>
      <c r="V17" s="922">
        <f>IF(R17="","",U17-E17)</f>
        <v>0</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2</v>
      </c>
      <c r="AD17" s="922">
        <f>N17</f>
        <v>90</v>
      </c>
      <c r="AE17" s="922">
        <f>IF(OR(AD17="",AD17=0),"",60*U17/AD17)</f>
        <v>2.666666667</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14</v>
      </c>
      <c r="C19" s="887" t="str">
        <f t="shared" ref="C19:D19" si="83">IF($B19="","",INDIRECT(ADDRESS($B19,C$1,1,,"Score")))</f>
        <v>313</v>
      </c>
      <c r="D19" s="418">
        <f t="shared" si="83"/>
        <v>3</v>
      </c>
      <c r="E19" s="665">
        <f>IF(B19="","",SUM(D19,D20))</f>
        <v>3</v>
      </c>
      <c r="F19" s="665">
        <f>IF(B19="","",E19-U19)</f>
        <v>1</v>
      </c>
      <c r="G19" s="920" t="str">
        <f t="shared" ref="G19:H19" si="84">IF($B19="","",IF(ISBLANK(INDIRECT(ADDRESS($B19,G$1,1,,"Score"))),"",1))</f>
        <v/>
      </c>
      <c r="H19" s="920">
        <f t="shared" si="84"/>
        <v>1</v>
      </c>
      <c r="I19" s="921">
        <f>IF(H19=1,F19,"")</f>
        <v>1</v>
      </c>
      <c r="J19" s="920">
        <f t="shared" ref="J19:L19" si="85">IF($B19="","",IF(ISBLANK(INDIRECT(ADDRESS($B19,J$1,1,,"Score"))),"",1))</f>
        <v>1</v>
      </c>
      <c r="K19" s="920" t="str">
        <f t="shared" si="85"/>
        <v/>
      </c>
      <c r="L19" s="920" t="str">
        <f t="shared" si="85"/>
        <v/>
      </c>
      <c r="M19" s="418">
        <f t="shared" si="9"/>
        <v>2</v>
      </c>
      <c r="N19" s="665">
        <f>IF(ISNA(MATCH($A19,'Game Clock'!A$11:A$48,0)),"",INDIRECT(ADDRESS(MATCH($A19,'Game Clock'!A$11:A$48,0)+ROW('Game Clock'!A$10),N$1,1,,"Game Clock")))</f>
        <v>41</v>
      </c>
      <c r="O19" s="665">
        <f>IF(OR(N19="",N19=0),"",60*E19/N19)</f>
        <v>4.390243902</v>
      </c>
      <c r="P19" s="418"/>
      <c r="Q19" s="665">
        <f>Q17+1</f>
        <v>9</v>
      </c>
      <c r="R19" s="418">
        <f>IF(ISNA(MATCH($Q19,Score!T$4:T$41,0)),"",MATCH($Q19,Score!T$4:T$41,0)++ROW(Score!T$3))</f>
        <v>14</v>
      </c>
      <c r="S19" s="887" t="str">
        <f t="shared" ref="S19:T19" si="86">IF($R19="","",INDIRECT(ADDRESS($R19,S$1,1,,"Score")))</f>
        <v>15</v>
      </c>
      <c r="T19" s="418">
        <f t="shared" si="86"/>
        <v>2</v>
      </c>
      <c r="U19" s="665">
        <f>IF(R19="","",SUM(T19,T20))</f>
        <v>2</v>
      </c>
      <c r="V19" s="665">
        <f>IF(R19="","",U19-E19)</f>
        <v>-1</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1</v>
      </c>
      <c r="AD19" s="665">
        <f>N19</f>
        <v>41</v>
      </c>
      <c r="AE19" s="665">
        <f>IF(OR(AD19="",AD19=0),"",60*U19/AD19)</f>
        <v>2.926829268</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15</v>
      </c>
      <c r="C21" s="924" t="str">
        <f t="shared" ref="C21:D21" si="93">IF($B21="","",INDIRECT(ADDRESS($B21,C$1,1,,"Score")))</f>
        <v>3381</v>
      </c>
      <c r="D21" s="923">
        <f t="shared" si="93"/>
        <v>4</v>
      </c>
      <c r="E21" s="922">
        <f>IF(B21="","",SUM(D21,D22))</f>
        <v>4</v>
      </c>
      <c r="F21" s="922">
        <f>IF(B21="","",E21-U21)</f>
        <v>4</v>
      </c>
      <c r="G21" s="925" t="str">
        <f t="shared" ref="G21:H21" si="94">IF($B21="","",IF(ISBLANK(INDIRECT(ADDRESS($B21,G$1,1,,"Score"))),"",1))</f>
        <v/>
      </c>
      <c r="H21" s="925">
        <f t="shared" si="94"/>
        <v>1</v>
      </c>
      <c r="I21" s="926">
        <f>IF(H21=1,F21,"")</f>
        <v>4</v>
      </c>
      <c r="J21" s="925">
        <f t="shared" ref="J21:L21" si="95">IF($B21="","",IF(ISBLANK(INDIRECT(ADDRESS($B21,J$1,1,,"Score"))),"",1))</f>
        <v>1</v>
      </c>
      <c r="K21" s="925" t="str">
        <f t="shared" si="95"/>
        <v/>
      </c>
      <c r="L21" s="925" t="str">
        <f t="shared" si="95"/>
        <v/>
      </c>
      <c r="M21" s="923">
        <f t="shared" si="9"/>
        <v>2</v>
      </c>
      <c r="N21" s="665">
        <f>IF(ISNA(MATCH($A21,'Game Clock'!A$11:A$48,0)),"",INDIRECT(ADDRESS(MATCH($A21,'Game Clock'!A$11:A$48,0)+ROW('Game Clock'!A$10),N$1,1,,"Game Clock")))</f>
        <v>56</v>
      </c>
      <c r="O21" s="922">
        <f>IF(OR(N21="",N21=0),"",60*E21/N21)</f>
        <v>4.285714286</v>
      </c>
      <c r="P21" s="418"/>
      <c r="Q21" s="922">
        <f>Q19+1</f>
        <v>10</v>
      </c>
      <c r="R21" s="923">
        <f>IF(ISNA(MATCH($Q21,Score!T$4:T$41,0)),"",MATCH($Q21,Score!T$4:T$41,0)++ROW(Score!T$3))</f>
        <v>15</v>
      </c>
      <c r="S21" s="924" t="str">
        <f t="shared" ref="S21:T21" si="96">IF($R21="","",INDIRECT(ADDRESS($R21,S$1,1,,"Score")))</f>
        <v>329</v>
      </c>
      <c r="T21" s="923">
        <f t="shared" si="96"/>
        <v>0</v>
      </c>
      <c r="U21" s="922">
        <f>IF(R21="","",SUM(T21,T22))</f>
        <v>0</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f t="shared" si="98"/>
        <v>1</v>
      </c>
      <c r="AC21" s="923">
        <f t="shared" si="12"/>
        <v>0</v>
      </c>
      <c r="AD21" s="922">
        <f>N21</f>
        <v>56</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f>IF($R21="","",IF(INDIRECT(ADDRESS($R21+1,S$1-1,1,,"Score"))="SP",$R21+1,""))</f>
        <v>16</v>
      </c>
      <c r="S22" s="924" t="str">
        <f t="shared" ref="S22:T22" si="101">IF($R22="","",INDIRECT(ADDRESS($R22,S$1,1,,"Score")))</f>
        <v>28</v>
      </c>
      <c r="T22" s="923">
        <f t="shared" si="101"/>
        <v>0</v>
      </c>
      <c r="U22" s="922"/>
      <c r="V22" s="922"/>
      <c r="W22" s="925"/>
      <c r="X22" s="927"/>
      <c r="Y22" s="926"/>
      <c r="Z22" s="925" t="str">
        <f t="shared" ref="Z22:AB22" si="102">IF($R22="","",IF(ISBLANK(INDIRECT(ADDRESS($R22,Z$1,1,,"Score"))),"",1))</f>
        <v/>
      </c>
      <c r="AA22" s="925" t="str">
        <f t="shared" si="102"/>
        <v/>
      </c>
      <c r="AB22" s="925">
        <f t="shared" si="102"/>
        <v>1</v>
      </c>
      <c r="AC22" s="923">
        <f t="shared" si="12"/>
        <v>0</v>
      </c>
      <c r="AD22" s="922"/>
      <c r="AE22" s="922"/>
    </row>
    <row r="23" ht="13.5" customHeight="1">
      <c r="A23" s="665">
        <f>A21+1</f>
        <v>11</v>
      </c>
      <c r="B23" s="418">
        <f>IF(ISNA(MATCH($A23,Score!A$4:A$41,0)),"",MATCH($A23,Score!A$4:A$41,0)+ROW(Score!A$3))</f>
        <v>17</v>
      </c>
      <c r="C23" s="887" t="str">
        <f t="shared" ref="C23:D23" si="103">IF($B23="","",INDIRECT(ADDRESS($B23,C$1,1,,"Score")))</f>
        <v>10</v>
      </c>
      <c r="D23" s="418">
        <f t="shared" si="103"/>
        <v>5</v>
      </c>
      <c r="E23" s="665">
        <f>IF(B23="","",SUM(D23,D24))</f>
        <v>5</v>
      </c>
      <c r="F23" s="665">
        <f>IF(B23="","",E23-U23)</f>
        <v>-2</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2</v>
      </c>
      <c r="N23" s="665">
        <f>IF(ISNA(MATCH($A23,'Game Clock'!A$11:A$48,0)),"",INDIRECT(ADDRESS(MATCH($A23,'Game Clock'!A$11:A$48,0)+ROW('Game Clock'!A$10),N$1,1,,"Game Clock")))</f>
        <v>58</v>
      </c>
      <c r="O23" s="665">
        <f>IF(OR(N23="",N23=0),"",60*E23/N23)</f>
        <v>5.172413793</v>
      </c>
      <c r="P23" s="418"/>
      <c r="Q23" s="665">
        <f>Q21+1</f>
        <v>11</v>
      </c>
      <c r="R23" s="418">
        <f>IF(ISNA(MATCH($Q23,Score!T$4:T$41,0)),"",MATCH($Q23,Score!T$4:T$41,0)++ROW(Score!T$3))</f>
        <v>17</v>
      </c>
      <c r="S23" s="887" t="str">
        <f t="shared" ref="S23:T23" si="106">IF($R23="","",INDIRECT(ADDRESS($R23,S$1,1,,"Score")))</f>
        <v>9</v>
      </c>
      <c r="T23" s="418">
        <f t="shared" si="106"/>
        <v>7</v>
      </c>
      <c r="U23" s="665">
        <f>IF(R23="","",SUM(T23,T24))</f>
        <v>7</v>
      </c>
      <c r="V23" s="665">
        <f>IF(R23="","",U23-E23)</f>
        <v>2</v>
      </c>
      <c r="W23" s="920" t="str">
        <f t="shared" ref="W23:X23" si="107">IF($R23="","",IF(ISBLANK(INDIRECT(ADDRESS($R23,W$1,1,,"Score"))),"",1))</f>
        <v/>
      </c>
      <c r="X23" s="920">
        <f t="shared" si="107"/>
        <v>1</v>
      </c>
      <c r="Y23" s="921">
        <f>IF(X23=1,V23,"")</f>
        <v>2</v>
      </c>
      <c r="Z23" s="920">
        <f t="shared" ref="Z23:AB23" si="108">IF($R23="","",IF(ISBLANK(INDIRECT(ADDRESS($R23,Z$1,1,,"Score"))),"",1))</f>
        <v>1</v>
      </c>
      <c r="AA23" s="920" t="str">
        <f t="shared" si="108"/>
        <v/>
      </c>
      <c r="AB23" s="920" t="str">
        <f t="shared" si="108"/>
        <v/>
      </c>
      <c r="AC23" s="418">
        <f t="shared" si="12"/>
        <v>2</v>
      </c>
      <c r="AD23" s="665">
        <f>N23</f>
        <v>58</v>
      </c>
      <c r="AE23" s="665">
        <f>IF(OR(AD23="",AD23=0),"",60*U23/AD23)</f>
        <v>7.24137931</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18</v>
      </c>
      <c r="C25" s="924" t="str">
        <f t="shared" ref="C25:D25" si="113">IF($B25="","",INDIRECT(ADDRESS($B25,C$1,1,,"Score")))</f>
        <v>394</v>
      </c>
      <c r="D25" s="923">
        <f t="shared" si="113"/>
        <v>0</v>
      </c>
      <c r="E25" s="922">
        <f>IF(B25="","",SUM(D25,D26))</f>
        <v>0</v>
      </c>
      <c r="F25" s="922">
        <f>IF(B25="","",E25-U25)</f>
        <v>-4</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t="str">
        <f t="shared" si="115"/>
        <v/>
      </c>
      <c r="M25" s="923">
        <f t="shared" si="9"/>
        <v>1</v>
      </c>
      <c r="N25" s="665">
        <f>IF(ISNA(MATCH($A25,'Game Clock'!A$11:A$48,0)),"",INDIRECT(ADDRESS(MATCH($A25,'Game Clock'!A$11:A$48,0)+ROW('Game Clock'!A$10),N$1,1,,"Game Clock")))</f>
        <v>78</v>
      </c>
      <c r="O25" s="922">
        <f>IF(OR(N25="",N25=0),"",60*E25/N25)</f>
        <v>0</v>
      </c>
      <c r="P25" s="418"/>
      <c r="Q25" s="922">
        <f>Q23+1</f>
        <v>12</v>
      </c>
      <c r="R25" s="923">
        <f>IF(ISNA(MATCH($Q25,Score!T$4:T$41,0)),"",MATCH($Q25,Score!T$4:T$41,0)++ROW(Score!T$3))</f>
        <v>18</v>
      </c>
      <c r="S25" s="924" t="str">
        <f t="shared" ref="S25:T25" si="116">IF($R25="","",INDIRECT(ADDRESS($R25,S$1,1,,"Score")))</f>
        <v>15</v>
      </c>
      <c r="T25" s="923">
        <f t="shared" si="116"/>
        <v>4</v>
      </c>
      <c r="U25" s="922">
        <f>IF(R25="","",SUM(T25,T26))</f>
        <v>4</v>
      </c>
      <c r="V25" s="922">
        <f>IF(R25="","",U25-E25)</f>
        <v>4</v>
      </c>
      <c r="W25" s="925" t="str">
        <f t="shared" ref="W25:X25" si="117">IF($R25="","",IF(ISBLANK(INDIRECT(ADDRESS($R25,W$1,1,,"Score"))),"",1))</f>
        <v/>
      </c>
      <c r="X25" s="925">
        <f t="shared" si="117"/>
        <v>1</v>
      </c>
      <c r="Y25" s="926">
        <f>IF(X25=1,V25,"")</f>
        <v>4</v>
      </c>
      <c r="Z25" s="925">
        <f t="shared" ref="Z25:AB25" si="118">IF($R25="","",IF(ISBLANK(INDIRECT(ADDRESS($R25,Z$1,1,,"Score"))),"",1))</f>
        <v>1</v>
      </c>
      <c r="AA25" s="925" t="str">
        <f t="shared" si="118"/>
        <v/>
      </c>
      <c r="AB25" s="925" t="str">
        <f t="shared" si="118"/>
        <v/>
      </c>
      <c r="AC25" s="923">
        <f t="shared" si="12"/>
        <v>2</v>
      </c>
      <c r="AD25" s="922">
        <f>N25</f>
        <v>78</v>
      </c>
      <c r="AE25" s="922">
        <f>IF(OR(AD25="",AD25=0),"",60*U25/AD25)</f>
        <v>3.076923077</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19</v>
      </c>
      <c r="C27" s="887" t="str">
        <f t="shared" ref="C27:D27" si="123">IF($B27="","",INDIRECT(ADDRESS($B27,C$1,1,,"Score")))</f>
        <v>313</v>
      </c>
      <c r="D27" s="418">
        <f t="shared" si="123"/>
        <v>8</v>
      </c>
      <c r="E27" s="665">
        <f>IF(B27="","",SUM(D27,D28))</f>
        <v>8</v>
      </c>
      <c r="F27" s="665">
        <f>IF(B27="","",E27-U27)</f>
        <v>4</v>
      </c>
      <c r="G27" s="920" t="str">
        <f t="shared" ref="G27:H27" si="124">IF($B27="","",IF(ISBLANK(INDIRECT(ADDRESS($B27,G$1,1,,"Score"))),"",1))</f>
        <v/>
      </c>
      <c r="H27" s="920">
        <f t="shared" si="124"/>
        <v>1</v>
      </c>
      <c r="I27" s="921">
        <f>IF(H27=1,F27,"")</f>
        <v>4</v>
      </c>
      <c r="J27" s="920">
        <f t="shared" ref="J27:L27" si="125">IF($B27="","",IF(ISBLANK(INDIRECT(ADDRESS($B27,J$1,1,,"Score"))),"",1))</f>
        <v>1</v>
      </c>
      <c r="K27" s="920" t="str">
        <f t="shared" si="125"/>
        <v/>
      </c>
      <c r="L27" s="920" t="str">
        <f t="shared" si="125"/>
        <v/>
      </c>
      <c r="M27" s="418">
        <f t="shared" si="9"/>
        <v>3</v>
      </c>
      <c r="N27" s="665">
        <f>IF(ISNA(MATCH($A27,'Game Clock'!A$11:A$48,0)),"",INDIRECT(ADDRESS(MATCH($A27,'Game Clock'!A$11:A$48,0)+ROW('Game Clock'!A$10),N$1,1,,"Game Clock")))</f>
        <v>56</v>
      </c>
      <c r="O27" s="665">
        <f>IF(OR(N27="",N27=0),"",60*E27/N27)</f>
        <v>8.571428571</v>
      </c>
      <c r="P27" s="418"/>
      <c r="Q27" s="665">
        <f>Q25+1</f>
        <v>13</v>
      </c>
      <c r="R27" s="418">
        <f>IF(ISNA(MATCH($Q27,Score!T$4:T$41,0)),"",MATCH($Q27,Score!T$4:T$41,0)++ROW(Score!T$3))</f>
        <v>19</v>
      </c>
      <c r="S27" s="887" t="str">
        <f t="shared" ref="S27:T27" si="126">IF($R27="","",INDIRECT(ADDRESS($R27,S$1,1,,"Score")))</f>
        <v>329</v>
      </c>
      <c r="T27" s="418">
        <f t="shared" si="126"/>
        <v>4</v>
      </c>
      <c r="U27" s="665">
        <f>IF(R27="","",SUM(T27,T28))</f>
        <v>4</v>
      </c>
      <c r="V27" s="665">
        <f>IF(R27="","",U27-E27)</f>
        <v>-4</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56</v>
      </c>
      <c r="AE27" s="665">
        <f>IF(OR(AD27="",AD27=0),"",60*U27/AD27)</f>
        <v>4.285714286</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20</v>
      </c>
      <c r="C29" s="924" t="str">
        <f t="shared" ref="C29:D29" si="133">IF($B29="","",INDIRECT(ADDRESS($B29,C$1,1,,"Score")))</f>
        <v>3381</v>
      </c>
      <c r="D29" s="923">
        <f t="shared" si="133"/>
        <v>8</v>
      </c>
      <c r="E29" s="922">
        <f>IF(B29="","",SUM(D29,D30))</f>
        <v>8</v>
      </c>
      <c r="F29" s="922">
        <f>IF(B29="","",E29-U29)</f>
        <v>8</v>
      </c>
      <c r="G29" s="925" t="str">
        <f t="shared" ref="G29:H29" si="134">IF($B29="","",IF(ISBLANK(INDIRECT(ADDRESS($B29,G$1,1,,"Score"))),"",1))</f>
        <v/>
      </c>
      <c r="H29" s="925">
        <f t="shared" si="134"/>
        <v>1</v>
      </c>
      <c r="I29" s="926">
        <f>IF(H29=1,F29,"")</f>
        <v>8</v>
      </c>
      <c r="J29" s="925">
        <f t="shared" ref="J29:L29" si="135">IF($B29="","",IF(ISBLANK(INDIRECT(ADDRESS($B29,J$1,1,,"Score"))),"",1))</f>
        <v>1</v>
      </c>
      <c r="K29" s="925" t="str">
        <f t="shared" si="135"/>
        <v/>
      </c>
      <c r="L29" s="925" t="str">
        <f t="shared" si="135"/>
        <v/>
      </c>
      <c r="M29" s="923">
        <f t="shared" si="9"/>
        <v>2</v>
      </c>
      <c r="N29" s="665">
        <f>IF(ISNA(MATCH($A29,'Game Clock'!A$11:A$48,0)),"",INDIRECT(ADDRESS(MATCH($A29,'Game Clock'!A$11:A$48,0)+ROW('Game Clock'!A$10),N$1,1,,"Game Clock")))</f>
        <v>56</v>
      </c>
      <c r="O29" s="922">
        <f>IF(OR(N29="",N29=0),"",60*E29/N29)</f>
        <v>8.571428571</v>
      </c>
      <c r="P29" s="418"/>
      <c r="Q29" s="922">
        <f>Q27+1</f>
        <v>14</v>
      </c>
      <c r="R29" s="923">
        <f>IF(ISNA(MATCH($Q29,Score!T$4:T$41,0)),"",MATCH($Q29,Score!T$4:T$41,0)++ROW(Score!T$3))</f>
        <v>20</v>
      </c>
      <c r="S29" s="924" t="str">
        <f t="shared" ref="S29:T29" si="136">IF($R29="","",INDIRECT(ADDRESS($R29,S$1,1,,"Score")))</f>
        <v>9</v>
      </c>
      <c r="T29" s="923">
        <f t="shared" si="136"/>
        <v>0</v>
      </c>
      <c r="U29" s="922">
        <f>IF(R29="","",SUM(T29,T30))</f>
        <v>0</v>
      </c>
      <c r="V29" s="922">
        <f>IF(R29="","",U29-E29)</f>
        <v>-8</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56</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f>IF($R29="","",IF(INDIRECT(ADDRESS($R29+1,S$1-1,1,,"Score"))="SP",$R29+1,""))</f>
        <v>21</v>
      </c>
      <c r="S30" s="924" t="str">
        <f t="shared" ref="S30:T30" si="141">IF($R30="","",INDIRECT(ADDRESS($R30,S$1,1,,"Score")))</f>
        <v>28</v>
      </c>
      <c r="T30" s="923">
        <f t="shared" si="141"/>
        <v>0</v>
      </c>
      <c r="U30" s="922"/>
      <c r="V30" s="922"/>
      <c r="W30" s="925"/>
      <c r="X30" s="927"/>
      <c r="Y30" s="926"/>
      <c r="Z30" s="925" t="str">
        <f t="shared" ref="Z30:AB30" si="142">IF($R30="","",IF(ISBLANK(INDIRECT(ADDRESS($R30,Z$1,1,,"Score"))),"",1))</f>
        <v/>
      </c>
      <c r="AA30" s="925" t="str">
        <f t="shared" si="142"/>
        <v/>
      </c>
      <c r="AB30" s="925">
        <f t="shared" si="142"/>
        <v>1</v>
      </c>
      <c r="AC30" s="923">
        <f t="shared" si="12"/>
        <v>0</v>
      </c>
      <c r="AD30" s="922"/>
      <c r="AE30" s="922"/>
    </row>
    <row r="31" ht="13.5" customHeight="1">
      <c r="A31" s="665">
        <f>A29+1</f>
        <v>15</v>
      </c>
      <c r="B31" s="418">
        <f>IF(ISNA(MATCH($A31,Score!A$4:A$41,0)),"",MATCH($A31,Score!A$4:A$41,0)+ROW(Score!A$3))</f>
        <v>22</v>
      </c>
      <c r="C31" s="887" t="str">
        <f t="shared" ref="C31:D31" si="143">IF($B31="","",INDIRECT(ADDRESS($B31,C$1,1,,"Score")))</f>
        <v>10</v>
      </c>
      <c r="D31" s="418">
        <f t="shared" si="143"/>
        <v>8</v>
      </c>
      <c r="E31" s="665">
        <f>IF(B31="","",SUM(D31,D32))</f>
        <v>8</v>
      </c>
      <c r="F31" s="665">
        <f>IF(B31="","",E31-U31)</f>
        <v>8</v>
      </c>
      <c r="G31" s="920" t="str">
        <f t="shared" ref="G31:H31" si="144">IF($B31="","",IF(ISBLANK(INDIRECT(ADDRESS($B31,G$1,1,,"Score"))),"",1))</f>
        <v/>
      </c>
      <c r="H31" s="920">
        <f t="shared" si="144"/>
        <v>1</v>
      </c>
      <c r="I31" s="921">
        <f>IF(H31=1,F31,"")</f>
        <v>8</v>
      </c>
      <c r="J31" s="920">
        <f t="shared" ref="J31:L31" si="145">IF($B31="","",IF(ISBLANK(INDIRECT(ADDRESS($B31,J$1,1,,"Score"))),"",1))</f>
        <v>1</v>
      </c>
      <c r="K31" s="920" t="str">
        <f t="shared" si="145"/>
        <v/>
      </c>
      <c r="L31" s="920" t="str">
        <f t="shared" si="145"/>
        <v/>
      </c>
      <c r="M31" s="418">
        <f t="shared" si="9"/>
        <v>3</v>
      </c>
      <c r="N31" s="665">
        <f>IF(ISNA(MATCH($A31,'Game Clock'!A$11:A$48,0)),"",INDIRECT(ADDRESS(MATCH($A31,'Game Clock'!A$11:A$48,0)+ROW('Game Clock'!A$10),N$1,1,,"Game Clock")))</f>
        <v>49</v>
      </c>
      <c r="O31" s="665">
        <f>IF(OR(N31="",N31=0),"",60*E31/N31)</f>
        <v>9.795918367</v>
      </c>
      <c r="P31" s="418"/>
      <c r="Q31" s="665">
        <f>Q29+1</f>
        <v>15</v>
      </c>
      <c r="R31" s="418">
        <f>IF(ISNA(MATCH($Q31,Score!T$4:T$41,0)),"",MATCH($Q31,Score!T$4:T$41,0)++ROW(Score!T$3))</f>
        <v>22</v>
      </c>
      <c r="S31" s="887" t="str">
        <f t="shared" ref="S31:T31" si="146">IF($R31="","",INDIRECT(ADDRESS($R31,S$1,1,,"Score")))</f>
        <v>221</v>
      </c>
      <c r="T31" s="418">
        <f t="shared" si="146"/>
        <v>0</v>
      </c>
      <c r="U31" s="665">
        <f>IF(R31="","",SUM(T31,T32))</f>
        <v>0</v>
      </c>
      <c r="V31" s="665">
        <f>IF(R31="","",U31-E31)</f>
        <v>-8</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f t="shared" si="148"/>
        <v>1</v>
      </c>
      <c r="AC31" s="418">
        <f t="shared" si="12"/>
        <v>0</v>
      </c>
      <c r="AD31" s="665">
        <f>N31</f>
        <v>49</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23</v>
      </c>
      <c r="C33" s="924" t="str">
        <f t="shared" ref="C33:D33" si="153">IF($B33="","",INDIRECT(ADDRESS($B33,C$1,1,,"Score")))</f>
        <v>394</v>
      </c>
      <c r="D33" s="923">
        <f t="shared" si="153"/>
        <v>12</v>
      </c>
      <c r="E33" s="922">
        <f>IF(B33="","",SUM(D33,D34))</f>
        <v>12</v>
      </c>
      <c r="F33" s="922">
        <f>IF(B33="","",E33-U33)</f>
        <v>12</v>
      </c>
      <c r="G33" s="925" t="str">
        <f t="shared" ref="G33:H33" si="154">IF($B33="","",IF(ISBLANK(INDIRECT(ADDRESS($B33,G$1,1,,"Score"))),"",1))</f>
        <v/>
      </c>
      <c r="H33" s="925">
        <f t="shared" si="154"/>
        <v>1</v>
      </c>
      <c r="I33" s="926">
        <f>IF(H33=1,F33,"")</f>
        <v>12</v>
      </c>
      <c r="J33" s="925">
        <f t="shared" ref="J33:L33" si="155">IF($B33="","",IF(ISBLANK(INDIRECT(ADDRESS($B33,J$1,1,,"Score"))),"",1))</f>
        <v>1</v>
      </c>
      <c r="K33" s="925" t="str">
        <f t="shared" si="155"/>
        <v/>
      </c>
      <c r="L33" s="925" t="str">
        <f t="shared" si="155"/>
        <v/>
      </c>
      <c r="M33" s="923">
        <f t="shared" si="9"/>
        <v>3</v>
      </c>
      <c r="N33" s="665">
        <f>IF(ISNA(MATCH($A33,'Game Clock'!A$11:A$48,0)),"",INDIRECT(ADDRESS(MATCH($A33,'Game Clock'!A$11:A$48,0)+ROW('Game Clock'!A$10),N$1,1,,"Game Clock")))</f>
        <v>96</v>
      </c>
      <c r="O33" s="922">
        <f>IF(OR(N33="",N33=0),"",60*E33/N33)</f>
        <v>7.5</v>
      </c>
      <c r="P33" s="418"/>
      <c r="Q33" s="922">
        <f>Q31+1</f>
        <v>16</v>
      </c>
      <c r="R33" s="923">
        <f>IF(ISNA(MATCH($Q33,Score!T$4:T$41,0)),"",MATCH($Q33,Score!T$4:T$41,0)++ROW(Score!T$3))</f>
        <v>23</v>
      </c>
      <c r="S33" s="924" t="str">
        <f t="shared" ref="S33:T33" si="156">IF($R33="","",INDIRECT(ADDRESS($R33,S$1,1,,"Score")))</f>
        <v>221</v>
      </c>
      <c r="T33" s="923">
        <f t="shared" si="156"/>
        <v>0</v>
      </c>
      <c r="U33" s="922">
        <f>IF(R33="","",SUM(T33,T34))</f>
        <v>0</v>
      </c>
      <c r="V33" s="922">
        <f>IF(R33="","",U33-E33)</f>
        <v>-12</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f t="shared" si="158"/>
        <v>1</v>
      </c>
      <c r="AC33" s="923">
        <f t="shared" si="12"/>
        <v>0</v>
      </c>
      <c r="AD33" s="922">
        <f>N33</f>
        <v>96</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f>IF($R33="","",IF(INDIRECT(ADDRESS($R33+1,S$1-1,1,,"Score"))="SP",$R33+1,""))</f>
        <v>24</v>
      </c>
      <c r="S34" s="924" t="str">
        <f t="shared" ref="S34:T34" si="161">IF($R34="","",INDIRECT(ADDRESS($R34,S$1,1,,"Score")))</f>
        <v>28</v>
      </c>
      <c r="T34" s="923">
        <f t="shared" si="161"/>
        <v>0</v>
      </c>
      <c r="U34" s="922"/>
      <c r="V34" s="922"/>
      <c r="W34" s="925"/>
      <c r="X34" s="927"/>
      <c r="Y34" s="926"/>
      <c r="Z34" s="925" t="str">
        <f t="shared" ref="Z34:AB34" si="162">IF($R34="","",IF(ISBLANK(INDIRECT(ADDRESS($R34,Z$1,1,,"Score"))),"",1))</f>
        <v/>
      </c>
      <c r="AA34" s="925" t="str">
        <f t="shared" si="162"/>
        <v/>
      </c>
      <c r="AB34" s="925">
        <f t="shared" si="162"/>
        <v>1</v>
      </c>
      <c r="AC34" s="923">
        <f t="shared" si="12"/>
        <v>0</v>
      </c>
      <c r="AD34" s="922"/>
      <c r="AE34" s="922"/>
    </row>
    <row r="35" ht="13.5" customHeight="1">
      <c r="A35" s="665">
        <f>A33+1</f>
        <v>17</v>
      </c>
      <c r="B35" s="418">
        <f>IF(ISNA(MATCH($A35,Score!A$4:A$41,0)),"",MATCH($A35,Score!A$4:A$41,0)+ROW(Score!A$3))</f>
        <v>25</v>
      </c>
      <c r="C35" s="887" t="str">
        <f t="shared" ref="C35:D35" si="163">IF($B35="","",INDIRECT(ADDRESS($B35,C$1,1,,"Score")))</f>
        <v>313</v>
      </c>
      <c r="D35" s="418">
        <f t="shared" si="163"/>
        <v>8</v>
      </c>
      <c r="E35" s="665">
        <f>IF(B35="","",SUM(D35,D36))</f>
        <v>8</v>
      </c>
      <c r="F35" s="665">
        <f>IF(B35="","",E35-U35)</f>
        <v>8</v>
      </c>
      <c r="G35" s="920" t="str">
        <f t="shared" ref="G35:H35" si="164">IF($B35="","",IF(ISBLANK(INDIRECT(ADDRESS($B35,G$1,1,,"Score"))),"",1))</f>
        <v/>
      </c>
      <c r="H35" s="920">
        <f t="shared" si="164"/>
        <v>1</v>
      </c>
      <c r="I35" s="921">
        <f>IF(H35=1,F35,"")</f>
        <v>8</v>
      </c>
      <c r="J35" s="920">
        <f t="shared" ref="J35:L35" si="165">IF($B35="","",IF(ISBLANK(INDIRECT(ADDRESS($B35,J$1,1,,"Score"))),"",1))</f>
        <v>1</v>
      </c>
      <c r="K35" s="920" t="str">
        <f t="shared" si="165"/>
        <v/>
      </c>
      <c r="L35" s="920" t="str">
        <f t="shared" si="165"/>
        <v/>
      </c>
      <c r="M35" s="418">
        <f t="shared" si="9"/>
        <v>3</v>
      </c>
      <c r="N35" s="665">
        <f>IF(ISNA(MATCH($A35,'Game Clock'!A$11:A$48,0)),"",INDIRECT(ADDRESS(MATCH($A35,'Game Clock'!A$11:A$48,0)+ROW('Game Clock'!A$10),N$1,1,,"Game Clock")))</f>
        <v>64</v>
      </c>
      <c r="O35" s="665">
        <f>IF(OR(N35="",N35=0),"",60*E35/N35)</f>
        <v>7.5</v>
      </c>
      <c r="P35" s="418"/>
      <c r="Q35" s="665">
        <f>Q33+1</f>
        <v>17</v>
      </c>
      <c r="R35" s="418">
        <f>IF(ISNA(MATCH($Q35,Score!T$4:T$41,0)),"",MATCH($Q35,Score!T$4:T$41,0)++ROW(Score!T$3))</f>
        <v>25</v>
      </c>
      <c r="S35" s="887" t="str">
        <f t="shared" ref="S35:T35" si="166">IF($R35="","",INDIRECT(ADDRESS($R35,S$1,1,,"Score")))</f>
        <v>15</v>
      </c>
      <c r="T35" s="418">
        <f t="shared" si="166"/>
        <v>0</v>
      </c>
      <c r="U35" s="665">
        <f>IF(R35="","",SUM(T35,T36))</f>
        <v>0</v>
      </c>
      <c r="V35" s="665">
        <f>IF(R35="","",U35-E35)</f>
        <v>-8</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f t="shared" si="168"/>
        <v>1</v>
      </c>
      <c r="AC35" s="418">
        <f t="shared" si="12"/>
        <v>0</v>
      </c>
      <c r="AD35" s="665">
        <f>N35</f>
        <v>64</v>
      </c>
      <c r="AE35" s="665">
        <f>IF(OR(AD35="",AD35=0),"",60*U35/AD35)</f>
        <v>0</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f>IF($R35="","",IF(INDIRECT(ADDRESS($R35+1,S$1-1,1,,"Score"))="SP",$R35+1,""))</f>
        <v>26</v>
      </c>
      <c r="S36" s="887" t="str">
        <f t="shared" ref="S36:T36" si="171">IF($R36="","",INDIRECT(ADDRESS($R36,S$1,1,,"Score")))</f>
        <v>505</v>
      </c>
      <c r="T36" s="418">
        <f t="shared" si="171"/>
        <v>0</v>
      </c>
      <c r="U36" s="665"/>
      <c r="V36" s="665"/>
      <c r="W36" s="920"/>
      <c r="X36" s="920"/>
      <c r="Y36" s="921"/>
      <c r="Z36" s="920" t="str">
        <f t="shared" ref="Z36:AB36" si="172">IF($R36="","",IF(ISBLANK(INDIRECT(ADDRESS($R36,Z$1,1,,"Score"))),"",1))</f>
        <v/>
      </c>
      <c r="AA36" s="920" t="str">
        <f t="shared" si="172"/>
        <v/>
      </c>
      <c r="AB36" s="920" t="str">
        <f t="shared" si="172"/>
        <v/>
      </c>
      <c r="AC36" s="418">
        <f t="shared" si="12"/>
        <v>1</v>
      </c>
      <c r="AD36" s="665"/>
      <c r="AE36" s="665"/>
    </row>
    <row r="37" ht="13.5" customHeight="1">
      <c r="A37" s="922">
        <f>A35+1</f>
        <v>18</v>
      </c>
      <c r="B37" s="923">
        <f>IF(ISNA(MATCH($A37,Score!A$4:A$41,0)),"",MATCH($A37,Score!A$4:A$41,0)+ROW(Score!A$3))</f>
        <v>27</v>
      </c>
      <c r="C37" s="924" t="str">
        <f t="shared" ref="C37:D37" si="173">IF($B37="","",INDIRECT(ADDRESS($B37,C$1,1,,"Score")))</f>
        <v>3381</v>
      </c>
      <c r="D37" s="923">
        <f t="shared" si="173"/>
        <v>3</v>
      </c>
      <c r="E37" s="922">
        <f>IF(B37="","",SUM(D37,D38))</f>
        <v>3</v>
      </c>
      <c r="F37" s="922">
        <f>IF(B37="","",E37-U37)</f>
        <v>-9</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f t="shared" si="9"/>
        <v>1</v>
      </c>
      <c r="N37" s="665">
        <f>IF(ISNA(MATCH($A37,'Game Clock'!A$11:A$48,0)),"",INDIRECT(ADDRESS(MATCH($A37,'Game Clock'!A$11:A$48,0)+ROW('Game Clock'!A$10),N$1,1,,"Game Clock")))</f>
        <v>120</v>
      </c>
      <c r="O37" s="922">
        <f>IF(OR(N37="",N37=0),"",60*E37/N37)</f>
        <v>1.5</v>
      </c>
      <c r="P37" s="418"/>
      <c r="Q37" s="922">
        <f>Q35+1</f>
        <v>18</v>
      </c>
      <c r="R37" s="923">
        <f>IF(ISNA(MATCH($Q37,Score!T$4:T$41,0)),"",MATCH($Q37,Score!T$4:T$41,0)++ROW(Score!T$3))</f>
        <v>27</v>
      </c>
      <c r="S37" s="924" t="str">
        <f t="shared" ref="S37:T37" si="176">IF($R37="","",INDIRECT(ADDRESS($R37,S$1,1,,"Score")))</f>
        <v>329</v>
      </c>
      <c r="T37" s="923">
        <f t="shared" si="176"/>
        <v>12</v>
      </c>
      <c r="U37" s="922">
        <f>IF(R37="","",SUM(T37,T38))</f>
        <v>12</v>
      </c>
      <c r="V37" s="922">
        <f>IF(R37="","",U37-E37)</f>
        <v>9</v>
      </c>
      <c r="W37" s="925" t="str">
        <f t="shared" ref="W37:X37" si="177">IF($R37="","",IF(ISBLANK(INDIRECT(ADDRESS($R37,W$1,1,,"Score"))),"",1))</f>
        <v/>
      </c>
      <c r="X37" s="925">
        <f t="shared" si="177"/>
        <v>1</v>
      </c>
      <c r="Y37" s="926">
        <f>IF(X37=1,V37,"")</f>
        <v>9</v>
      </c>
      <c r="Z37" s="925" t="str">
        <f t="shared" ref="Z37:AB37" si="178">IF($R37="","",IF(ISBLANK(INDIRECT(ADDRESS($R37,Z$1,1,,"Score"))),"",1))</f>
        <v/>
      </c>
      <c r="AA37" s="925" t="str">
        <f t="shared" si="178"/>
        <v/>
      </c>
      <c r="AB37" s="925" t="str">
        <f t="shared" si="178"/>
        <v/>
      </c>
      <c r="AC37" s="923">
        <f t="shared" si="12"/>
        <v>4</v>
      </c>
      <c r="AD37" s="922">
        <f>N37</f>
        <v>120</v>
      </c>
      <c r="AE37" s="922">
        <f>IF(OR(AD37="",AD37=0),"",60*U37/AD37)</f>
        <v>6</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28</v>
      </c>
      <c r="C39" s="887" t="str">
        <f t="shared" ref="C39:D39" si="183">IF($B39="","",INDIRECT(ADDRESS($B39,C$1,1,,"Score")))</f>
        <v>10</v>
      </c>
      <c r="D39" s="418">
        <f t="shared" si="183"/>
        <v>0</v>
      </c>
      <c r="E39" s="665">
        <f>IF(B39="","",SUM(D39,D40))</f>
        <v>0</v>
      </c>
      <c r="F39" s="665">
        <f>IF(B39="","",E39-U39)</f>
        <v>0</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f t="shared" si="9"/>
        <v>1</v>
      </c>
      <c r="N39" s="665">
        <f>IF(ISNA(MATCH($A39,'Game Clock'!A$11:A$48,0)),"",INDIRECT(ADDRESS(MATCH($A39,'Game Clock'!A$11:A$48,0)+ROW('Game Clock'!A$10),N$1,1,,"Game Clock")))</f>
        <v>19</v>
      </c>
      <c r="O39" s="665">
        <f>IF(OR(N39="",N39=0),"",60*E39/N39)</f>
        <v>0</v>
      </c>
      <c r="P39" s="418"/>
      <c r="Q39" s="665">
        <f>Q37+1</f>
        <v>19</v>
      </c>
      <c r="R39" s="418">
        <f>IF(ISNA(MATCH($Q39,Score!T$4:T$41,0)),"",MATCH($Q39,Score!T$4:T$41,0)++ROW(Score!T$3))</f>
        <v>28</v>
      </c>
      <c r="S39" s="887" t="str">
        <f t="shared" ref="S39:T39" si="186">IF($R39="","",INDIRECT(ADDRESS($R39,S$1,1,,"Score")))</f>
        <v>9</v>
      </c>
      <c r="T39" s="418">
        <f t="shared" si="186"/>
        <v>0</v>
      </c>
      <c r="U39" s="665">
        <f>IF(R39="","",SUM(T39,T40))</f>
        <v>0</v>
      </c>
      <c r="V39" s="665">
        <f>IF(R39="","",U39-E39)</f>
        <v>0</v>
      </c>
      <c r="W39" s="920" t="str">
        <f t="shared" ref="W39:X39" si="187">IF($R39="","",IF(ISBLANK(INDIRECT(ADDRESS($R39,W$1,1,,"Score"))),"",1))</f>
        <v/>
      </c>
      <c r="X39" s="920">
        <f t="shared" si="187"/>
        <v>1</v>
      </c>
      <c r="Y39" s="921">
        <f>IF(X39=1,V39,"")</f>
        <v>0</v>
      </c>
      <c r="Z39" s="920">
        <f t="shared" ref="Z39:AB39" si="188">IF($R39="","",IF(ISBLANK(INDIRECT(ADDRESS($R39,Z$1,1,,"Score"))),"",1))</f>
        <v>1</v>
      </c>
      <c r="AA39" s="920" t="str">
        <f t="shared" si="188"/>
        <v/>
      </c>
      <c r="AB39" s="920" t="str">
        <f t="shared" si="188"/>
        <v/>
      </c>
      <c r="AC39" s="418">
        <f t="shared" si="12"/>
        <v>1</v>
      </c>
      <c r="AD39" s="665">
        <f>N39</f>
        <v>19</v>
      </c>
      <c r="AE39" s="665">
        <f>IF(OR(AD39="",AD39=0),"",60*U39/AD39)</f>
        <v>0</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468</v>
      </c>
      <c r="B79" s="929"/>
      <c r="C79" s="929"/>
      <c r="D79" s="929"/>
      <c r="E79" s="930">
        <f>SUM(E3:E78)</f>
        <v>124</v>
      </c>
      <c r="F79" s="931"/>
      <c r="G79" s="919">
        <f t="shared" ref="G79:H79" si="383">SUM(G3:G78)</f>
        <v>2</v>
      </c>
      <c r="H79" s="919">
        <f t="shared" si="383"/>
        <v>13</v>
      </c>
      <c r="I79" s="918"/>
      <c r="J79" s="932">
        <f t="shared" ref="J79:K79" si="384">SUM(J3:J78)</f>
        <v>13</v>
      </c>
      <c r="K79" s="932">
        <f t="shared" si="384"/>
        <v>0</v>
      </c>
      <c r="L79" s="919">
        <f>SUM(L3,L5,L7,L9,L11,L13,L15,L17,L19,L21,L23,L25,L27,L29,L31,L33,L35,L37,L39,L41,L43,L45,L47,L49,L51,L53,L55,L57,L59,L61,L63,L65,L67,L69,L71,L73,L75,L77)</f>
        <v>0</v>
      </c>
      <c r="M79" s="929"/>
      <c r="N79" s="931" t="s">
        <v>469</v>
      </c>
      <c r="O79" s="930">
        <f>IF(COUNT(O3:O78),AVERAGE(O3:O78),"")</f>
        <v>6.146788368</v>
      </c>
      <c r="P79" s="418"/>
      <c r="Q79" s="928" t="s">
        <v>468</v>
      </c>
      <c r="R79" s="929"/>
      <c r="S79" s="929"/>
      <c r="T79" s="929"/>
      <c r="U79" s="930">
        <f>SUM(U3:U78)</f>
        <v>48</v>
      </c>
      <c r="V79" s="931"/>
      <c r="W79" s="919">
        <f t="shared" ref="W79:X79" si="385">SUM(W3:W78)</f>
        <v>2</v>
      </c>
      <c r="X79" s="919">
        <f t="shared" si="385"/>
        <v>5</v>
      </c>
      <c r="Y79" s="918"/>
      <c r="Z79" s="932">
        <f t="shared" ref="Z79:AA79" si="386">SUM(Z3:Z78)</f>
        <v>3</v>
      </c>
      <c r="AA79" s="932">
        <f t="shared" si="386"/>
        <v>0</v>
      </c>
      <c r="AB79" s="919">
        <f t="shared" ref="AB79:AB80" si="387">SUM(AB3,AB5,AB7,AB9,AB11,AB13,AB15,AB17,AB19,AB21,AB23,AB25,AB27,AB29,AB31,AB33,AB35,AB37,AB39,AB41,AB43,AB45,AB47,AB49,AB51,AB53,AB55,AB57,AB59,AB61, AB63, AB65, AB67, AB69, AB71,AB73,AB75,AB77)</f>
        <v>9</v>
      </c>
      <c r="AC79" s="929"/>
      <c r="AD79" s="931" t="s">
        <v>469</v>
      </c>
      <c r="AE79" s="930">
        <f>IF(COUNT(AE3:AE78),AVERAGE(AE3:AE78),"")</f>
        <v>1.773553295</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3</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454</v>
      </c>
      <c r="B86" s="914" t="s">
        <v>451</v>
      </c>
      <c r="C86" s="915"/>
      <c r="D86" s="915"/>
      <c r="E86" s="916"/>
      <c r="F86" s="916"/>
      <c r="G86" s="917"/>
      <c r="H86" s="917"/>
      <c r="I86" s="918"/>
      <c r="J86" s="917"/>
      <c r="K86" s="917"/>
      <c r="L86" s="917"/>
      <c r="M86" s="915"/>
      <c r="N86" s="915"/>
      <c r="O86" s="916"/>
      <c r="P86" s="418"/>
      <c r="Q86" s="914" t="s">
        <v>454</v>
      </c>
      <c r="R86" s="914" t="s">
        <v>457</v>
      </c>
      <c r="S86" s="915"/>
      <c r="T86" s="915"/>
      <c r="U86" s="916"/>
      <c r="V86" s="916"/>
      <c r="W86" s="917"/>
      <c r="X86" s="917"/>
      <c r="Y86" s="918"/>
      <c r="Z86" s="917"/>
      <c r="AA86" s="917"/>
      <c r="AB86" s="917"/>
      <c r="AC86" s="915"/>
      <c r="AD86" s="915"/>
      <c r="AE86" s="916"/>
    </row>
    <row r="87" ht="13.5" customHeight="1">
      <c r="A87" s="916" t="s">
        <v>375</v>
      </c>
      <c r="B87" s="916" t="s">
        <v>458</v>
      </c>
      <c r="C87" s="916" t="s">
        <v>290</v>
      </c>
      <c r="D87" s="916" t="s">
        <v>459</v>
      </c>
      <c r="E87" s="916" t="s">
        <v>460</v>
      </c>
      <c r="F87" s="916" t="s">
        <v>461</v>
      </c>
      <c r="G87" s="919" t="s">
        <v>462</v>
      </c>
      <c r="H87" s="919" t="s">
        <v>443</v>
      </c>
      <c r="I87" s="918" t="s">
        <v>463</v>
      </c>
      <c r="J87" s="919" t="s">
        <v>464</v>
      </c>
      <c r="K87" s="919" t="s">
        <v>465</v>
      </c>
      <c r="L87" s="919" t="s">
        <v>218</v>
      </c>
      <c r="M87" s="916" t="s">
        <v>230</v>
      </c>
      <c r="N87" s="916" t="s">
        <v>466</v>
      </c>
      <c r="O87" s="916" t="s">
        <v>467</v>
      </c>
      <c r="P87" s="418"/>
      <c r="Q87" s="916" t="s">
        <v>375</v>
      </c>
      <c r="R87" s="916" t="s">
        <v>458</v>
      </c>
      <c r="S87" s="916" t="s">
        <v>290</v>
      </c>
      <c r="T87" s="916" t="s">
        <v>459</v>
      </c>
      <c r="U87" s="916" t="s">
        <v>460</v>
      </c>
      <c r="V87" s="916" t="s">
        <v>461</v>
      </c>
      <c r="W87" s="919" t="s">
        <v>462</v>
      </c>
      <c r="X87" s="919" t="s">
        <v>443</v>
      </c>
      <c r="Y87" s="918" t="s">
        <v>463</v>
      </c>
      <c r="Z87" s="919" t="s">
        <v>464</v>
      </c>
      <c r="AA87" s="919" t="s">
        <v>465</v>
      </c>
      <c r="AB87" s="919" t="s">
        <v>218</v>
      </c>
      <c r="AC87" s="916" t="s">
        <v>230</v>
      </c>
      <c r="AD87" s="916" t="s">
        <v>466</v>
      </c>
      <c r="AE87" s="916" t="s">
        <v>467</v>
      </c>
    </row>
    <row r="88" ht="13.5" customHeight="1">
      <c r="A88" s="665">
        <v>1.0</v>
      </c>
      <c r="B88" s="418">
        <f>IF(ISNA(MATCH($A88,Score!A$46:A$83,0)),"",MATCH($A88,Score!A$46:A$83,0)+ROW(Score!A$45))</f>
        <v>46</v>
      </c>
      <c r="C88" s="887" t="str">
        <f t="shared" ref="C88:D88" si="388">IF($B88="","",INDIRECT(ADDRESS($B88,C$1,1,,"Score")))</f>
        <v>394</v>
      </c>
      <c r="D88" s="418">
        <f t="shared" si="388"/>
        <v>12</v>
      </c>
      <c r="E88" s="665">
        <f>IF(B88="","",SUM(D88,D89))</f>
        <v>12</v>
      </c>
      <c r="F88" s="665">
        <f>IF(B88="","",E88-U88)</f>
        <v>12</v>
      </c>
      <c r="G88" s="920" t="str">
        <f t="shared" ref="G88:H88" si="389">IF($B88="","",IF(ISBLANK(INDIRECT(ADDRESS($B88,G$1,1,,"Score"))),"",1))</f>
        <v/>
      </c>
      <c r="H88" s="920">
        <f t="shared" si="389"/>
        <v>1</v>
      </c>
      <c r="I88" s="921">
        <f>IF(H88=1,F88,"")</f>
        <v>12</v>
      </c>
      <c r="J88" s="920">
        <f t="shared" ref="J88:L88" si="390">IF($B88="","",IF(ISBLANK(INDIRECT(ADDRESS($B88,J$1,1,,"Score"))),"",1))</f>
        <v>1</v>
      </c>
      <c r="K88" s="920" t="str">
        <f t="shared" si="390"/>
        <v/>
      </c>
      <c r="L88" s="920" t="str">
        <f t="shared" si="390"/>
        <v/>
      </c>
      <c r="M88" s="418">
        <f t="shared" ref="M88:M163" si="396">IF($B88="","",INDIRECT(ADDRESS($B88,M$1,1,,"Score")))</f>
        <v>3</v>
      </c>
      <c r="N88" s="665">
        <f>IF(ISNA(MATCH($A88,'Game Clock'!A$62:A$99,0)),"",INDIRECT(ADDRESS(MATCH($A88,'Game Clock'!A$62:A$99,0)+ROW('Game Clock'!A$61),N$1,1,,"Game Clock")))</f>
        <v>52</v>
      </c>
      <c r="O88" s="665">
        <f>IF(OR(N88="",N88=0),"",60*E88/N88)</f>
        <v>13.84615385</v>
      </c>
      <c r="P88" s="418"/>
      <c r="Q88" s="665">
        <v>1.0</v>
      </c>
      <c r="R88" s="418">
        <f>IF(ISNA(MATCH($Q88,Score!T$46:T$83,0)),"",MATCH($Q88,Score!T$46:T$83,0)+ROW(Score!T$45))</f>
        <v>46</v>
      </c>
      <c r="S88" s="887" t="str">
        <f t="shared" ref="S88:T88" si="391">IF($R88="","",INDIRECT(ADDRESS($R88,S$1,1,,"Score")))</f>
        <v>15</v>
      </c>
      <c r="T88" s="418">
        <f t="shared" si="391"/>
        <v>0</v>
      </c>
      <c r="U88" s="665">
        <f>IF(R88="","",SUM(T88,T89))</f>
        <v>0</v>
      </c>
      <c r="V88" s="665">
        <f>IF(R88="","",U88-E88)</f>
        <v>-12</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f t="shared" si="393"/>
        <v>1</v>
      </c>
      <c r="AC88" s="418">
        <f t="shared" ref="AC88:AC163" si="399">IF($R88="","",INDIRECT(ADDRESS($R88,AC$1,1,,"Score")))</f>
        <v>0</v>
      </c>
      <c r="AD88" s="665">
        <f>N88</f>
        <v>52</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313</v>
      </c>
      <c r="D90" s="923">
        <f t="shared" si="400"/>
        <v>15</v>
      </c>
      <c r="E90" s="922">
        <f>IF(B90="","",SUM(D90,D91))</f>
        <v>15</v>
      </c>
      <c r="F90" s="922">
        <f>IF(B90="","",E90-U90)</f>
        <v>15</v>
      </c>
      <c r="G90" s="925" t="str">
        <f t="shared" ref="G90:H90" si="401">IF($B90="","",IF(ISBLANK(INDIRECT(ADDRESS($B90,G$1,1,,"Score"))),"",1))</f>
        <v/>
      </c>
      <c r="H90" s="925">
        <f t="shared" si="401"/>
        <v>1</v>
      </c>
      <c r="I90" s="926">
        <f>IF(H90=1,F90,"")</f>
        <v>15</v>
      </c>
      <c r="J90" s="925">
        <f t="shared" ref="J90:L90" si="402">IF($B90="","",IF(ISBLANK(INDIRECT(ADDRESS($B90,J$1,1,,"Score"))),"",1))</f>
        <v>1</v>
      </c>
      <c r="K90" s="925" t="str">
        <f t="shared" si="402"/>
        <v/>
      </c>
      <c r="L90" s="925" t="str">
        <f t="shared" si="402"/>
        <v/>
      </c>
      <c r="M90" s="923">
        <f t="shared" si="396"/>
        <v>4</v>
      </c>
      <c r="N90" s="665">
        <f>IF(ISNA(MATCH($A90,'Game Clock'!A$62:A$99,0)),"",INDIRECT(ADDRESS(MATCH($A90,'Game Clock'!A$62:A$99,0)+ROW('Game Clock'!A$61),N$1,1,,"Game Clock")))</f>
        <v>101</v>
      </c>
      <c r="O90" s="922">
        <f>IF(OR(N90="",N90=0),"",60*E90/N90)</f>
        <v>8.910891089</v>
      </c>
      <c r="P90" s="418"/>
      <c r="Q90" s="922">
        <f>Q88+1</f>
        <v>2</v>
      </c>
      <c r="R90" s="923">
        <f>IF(ISNA(MATCH($Q90,Score!T$46:T$83,0)),"",MATCH($Q90,Score!T$46:T$83,0)+ROW(Score!T$45))</f>
        <v>47</v>
      </c>
      <c r="S90" s="924" t="str">
        <f t="shared" ref="S90:T90" si="403">IF($R90="","",INDIRECT(ADDRESS($R90,S$1,1,,"Score")))</f>
        <v>329</v>
      </c>
      <c r="T90" s="923">
        <f t="shared" si="403"/>
        <v>0</v>
      </c>
      <c r="U90" s="922">
        <f>IF(R90="","",SUM(T90,T91))</f>
        <v>0</v>
      </c>
      <c r="V90" s="922">
        <f>IF(R90="","",U90-E90)</f>
        <v>-15</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f t="shared" si="405"/>
        <v>1</v>
      </c>
      <c r="AC90" s="923">
        <f t="shared" si="399"/>
        <v>0</v>
      </c>
      <c r="AD90" s="922">
        <f>N90</f>
        <v>101</v>
      </c>
      <c r="AE90" s="922">
        <f>IF(OR(AD90="",AD90=0),"",60*U90/AD90)</f>
        <v>0</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3381</v>
      </c>
      <c r="D92" s="418">
        <f t="shared" si="410"/>
        <v>12</v>
      </c>
      <c r="E92" s="665">
        <f>IF(B92="","",SUM(D92,D93))</f>
        <v>12</v>
      </c>
      <c r="F92" s="665">
        <f>IF(B92="","",E92-U92)</f>
        <v>12</v>
      </c>
      <c r="G92" s="920" t="str">
        <f t="shared" ref="G92:H92" si="411">IF($B92="","",IF(ISBLANK(INDIRECT(ADDRESS($B92,G$1,1,,"Score"))),"",1))</f>
        <v/>
      </c>
      <c r="H92" s="920">
        <f t="shared" si="411"/>
        <v>1</v>
      </c>
      <c r="I92" s="921">
        <f>IF(H92=1,F92,"")</f>
        <v>12</v>
      </c>
      <c r="J92" s="920">
        <f t="shared" ref="J92:L92" si="412">IF($B92="","",IF(ISBLANK(INDIRECT(ADDRESS($B92,J$1,1,,"Score"))),"",1))</f>
        <v>1</v>
      </c>
      <c r="K92" s="920" t="str">
        <f t="shared" si="412"/>
        <v/>
      </c>
      <c r="L92" s="920" t="str">
        <f t="shared" si="412"/>
        <v/>
      </c>
      <c r="M92" s="418">
        <f t="shared" si="396"/>
        <v>3</v>
      </c>
      <c r="N92" s="665">
        <f>IF(ISNA(MATCH($A92,'Game Clock'!A$62:A$99,0)),"",INDIRECT(ADDRESS(MATCH($A92,'Game Clock'!A$62:A$99,0)+ROW('Game Clock'!A$61),N$1,1,,"Game Clock")))</f>
        <v>67</v>
      </c>
      <c r="O92" s="665">
        <f>IF(OR(N92="",N92=0),"",60*E92/N92)</f>
        <v>10.74626866</v>
      </c>
      <c r="P92" s="418"/>
      <c r="Q92" s="665">
        <f>Q90+1</f>
        <v>3</v>
      </c>
      <c r="R92" s="418">
        <f>IF(ISNA(MATCH($Q92,Score!T$46:T$83,0)),"",MATCH($Q92,Score!T$46:T$83,0)+ROW(Score!T$45))</f>
        <v>48</v>
      </c>
      <c r="S92" s="887" t="str">
        <f t="shared" ref="S92:T92" si="413">IF($R92="","",INDIRECT(ADDRESS($R92,S$1,1,,"Score")))</f>
        <v>329</v>
      </c>
      <c r="T92" s="418">
        <f t="shared" si="413"/>
        <v>0</v>
      </c>
      <c r="U92" s="665">
        <f>IF(R92="","",SUM(T92,T93))</f>
        <v>0</v>
      </c>
      <c r="V92" s="665">
        <f>IF(R92="","",U92-E92)</f>
        <v>-12</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f t="shared" si="415"/>
        <v>1</v>
      </c>
      <c r="AC92" s="418">
        <f t="shared" si="399"/>
        <v>0</v>
      </c>
      <c r="AD92" s="665">
        <f>N92</f>
        <v>67</v>
      </c>
      <c r="AE92" s="665">
        <f>IF(OR(AD92="",AD92=0),"",60*U92/AD92)</f>
        <v>0</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f>IF($R92="","",IF(INDIRECT(ADDRESS($R92+1,S$1-1,1,,"Score"))="SP",$R92+1,""))</f>
        <v>49</v>
      </c>
      <c r="S93" s="887" t="str">
        <f t="shared" ref="S93:T93" si="418">IF($R93="","",INDIRECT(ADDRESS($R93,S$1,1,,"Score")))</f>
        <v>505</v>
      </c>
      <c r="T93" s="418">
        <f t="shared" si="418"/>
        <v>0</v>
      </c>
      <c r="U93" s="665"/>
      <c r="V93" s="665"/>
      <c r="W93" s="920"/>
      <c r="X93" s="920"/>
      <c r="Y93" s="921"/>
      <c r="Z93" s="920" t="str">
        <f t="shared" ref="Z93:AB93" si="419">IF($R93="","",IF(ISBLANK(INDIRECT(ADDRESS($R93,Z$1,1,,"Score"))),"",1))</f>
        <v/>
      </c>
      <c r="AA93" s="920" t="str">
        <f t="shared" si="419"/>
        <v/>
      </c>
      <c r="AB93" s="920" t="str">
        <f t="shared" si="419"/>
        <v/>
      </c>
      <c r="AC93" s="418">
        <f t="shared" si="399"/>
        <v>1</v>
      </c>
      <c r="AD93" s="665"/>
      <c r="AE93" s="665"/>
    </row>
    <row r="94" ht="13.5" customHeight="1">
      <c r="A94" s="922">
        <f>A92+1</f>
        <v>4</v>
      </c>
      <c r="B94" s="923">
        <f>IF(ISNA(MATCH($A94,Score!A$46:A$83,0)),"",MATCH($A94,Score!A$46:A$83,0)+ROW(Score!A$45))</f>
        <v>50</v>
      </c>
      <c r="C94" s="924" t="str">
        <f t="shared" ref="C94:D94" si="420">IF($B94="","",INDIRECT(ADDRESS($B94,C$1,1,,"Score")))</f>
        <v>10</v>
      </c>
      <c r="D94" s="923">
        <f t="shared" si="420"/>
        <v>16</v>
      </c>
      <c r="E94" s="922">
        <f>IF(B94="","",SUM(D94,D95))</f>
        <v>16</v>
      </c>
      <c r="F94" s="922">
        <f>IF(B94="","",E94-U94)</f>
        <v>12</v>
      </c>
      <c r="G94" s="925" t="str">
        <f t="shared" ref="G94:H94" si="421">IF($B94="","",IF(ISBLANK(INDIRECT(ADDRESS($B94,G$1,1,,"Score"))),"",1))</f>
        <v/>
      </c>
      <c r="H94" s="925">
        <f t="shared" si="421"/>
        <v>1</v>
      </c>
      <c r="I94" s="926">
        <f>IF(H94=1,F94,"")</f>
        <v>12</v>
      </c>
      <c r="J94" s="925">
        <f t="shared" ref="J94:L94" si="422">IF($B94="","",IF(ISBLANK(INDIRECT(ADDRESS($B94,J$1,1,,"Score"))),"",1))</f>
        <v>1</v>
      </c>
      <c r="K94" s="925" t="str">
        <f t="shared" si="422"/>
        <v/>
      </c>
      <c r="L94" s="925" t="str">
        <f t="shared" si="422"/>
        <v/>
      </c>
      <c r="M94" s="923">
        <f t="shared" si="396"/>
        <v>5</v>
      </c>
      <c r="N94" s="665">
        <f>IF(ISNA(MATCH($A94,'Game Clock'!A$62:A$99,0)),"",INDIRECT(ADDRESS(MATCH($A94,'Game Clock'!A$62:A$99,0)+ROW('Game Clock'!A$61),N$1,1,,"Game Clock")))</f>
        <v>86</v>
      </c>
      <c r="O94" s="922">
        <f>IF(OR(N94="",N94=0),"",60*E94/N94)</f>
        <v>11.1627907</v>
      </c>
      <c r="P94" s="418"/>
      <c r="Q94" s="922">
        <f>Q92+1</f>
        <v>4</v>
      </c>
      <c r="R94" s="923">
        <f>IF(ISNA(MATCH($Q94,Score!T$46:T$83,0)),"",MATCH($Q94,Score!T$46:T$83,0)+ROW(Score!T$45))</f>
        <v>50</v>
      </c>
      <c r="S94" s="924" t="str">
        <f t="shared" ref="S94:T94" si="423">IF($R94="","",INDIRECT(ADDRESS($R94,S$1,1,,"Score")))</f>
        <v>9</v>
      </c>
      <c r="T94" s="923">
        <f t="shared" si="423"/>
        <v>4</v>
      </c>
      <c r="U94" s="922">
        <f>IF(R94="","",SUM(T94,T95))</f>
        <v>4</v>
      </c>
      <c r="V94" s="922">
        <f>IF(R94="","",U94-E94)</f>
        <v>-12</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86</v>
      </c>
      <c r="AE94" s="922">
        <f>IF(OR(AD94="",AD94=0),"",60*U94/AD94)</f>
        <v>2.790697674</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51</v>
      </c>
      <c r="C96" s="887" t="str">
        <f t="shared" ref="C96:D96" si="430">IF($B96="","",INDIRECT(ADDRESS($B96,C$1,1,,"Score")))</f>
        <v>394</v>
      </c>
      <c r="D96" s="418">
        <f t="shared" si="430"/>
        <v>12</v>
      </c>
      <c r="E96" s="665">
        <f>IF(B96="","",SUM(D96,D97))</f>
        <v>12</v>
      </c>
      <c r="F96" s="665">
        <f>IF(B96="","",E96-U96)</f>
        <v>12</v>
      </c>
      <c r="G96" s="920" t="str">
        <f t="shared" ref="G96:H96" si="431">IF($B96="","",IF(ISBLANK(INDIRECT(ADDRESS($B96,G$1,1,,"Score"))),"",1))</f>
        <v/>
      </c>
      <c r="H96" s="920">
        <f t="shared" si="431"/>
        <v>1</v>
      </c>
      <c r="I96" s="921">
        <f>IF(H96=1,F96,"")</f>
        <v>12</v>
      </c>
      <c r="J96" s="920">
        <f t="shared" ref="J96:L96" si="432">IF($B96="","",IF(ISBLANK(INDIRECT(ADDRESS($B96,J$1,1,,"Score"))),"",1))</f>
        <v>1</v>
      </c>
      <c r="K96" s="920" t="str">
        <f t="shared" si="432"/>
        <v/>
      </c>
      <c r="L96" s="920" t="str">
        <f t="shared" si="432"/>
        <v/>
      </c>
      <c r="M96" s="418">
        <f t="shared" si="396"/>
        <v>4</v>
      </c>
      <c r="N96" s="665">
        <f>IF(ISNA(MATCH($A96,'Game Clock'!A$62:A$99,0)),"",INDIRECT(ADDRESS(MATCH($A96,'Game Clock'!A$62:A$99,0)+ROW('Game Clock'!A$61),N$1,1,,"Game Clock")))</f>
        <v>67</v>
      </c>
      <c r="O96" s="665">
        <f>IF(OR(N96="",N96=0),"",60*E96/N96)</f>
        <v>10.74626866</v>
      </c>
      <c r="P96" s="418"/>
      <c r="Q96" s="665">
        <f>Q94+1</f>
        <v>5</v>
      </c>
      <c r="R96" s="418">
        <f>IF(ISNA(MATCH($Q96,Score!T$46:T$83,0)),"",MATCH($Q96,Score!T$46:T$83,0)+ROW(Score!T$45))</f>
        <v>51</v>
      </c>
      <c r="S96" s="887" t="str">
        <f t="shared" ref="S96:T96" si="433">IF($R96="","",INDIRECT(ADDRESS($R96,S$1,1,,"Score")))</f>
        <v>15</v>
      </c>
      <c r="T96" s="418">
        <f t="shared" si="433"/>
        <v>0</v>
      </c>
      <c r="U96" s="665">
        <f>IF(R96="","",SUM(T96,T97))</f>
        <v>0</v>
      </c>
      <c r="V96" s="665">
        <f>IF(R96="","",U96-E96)</f>
        <v>-12</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8">
        <f t="shared" si="399"/>
        <v>1</v>
      </c>
      <c r="AD96" s="665">
        <f>N96</f>
        <v>67</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52</v>
      </c>
      <c r="C98" s="924" t="str">
        <f t="shared" ref="C98:D98" si="440">IF($B98="","",INDIRECT(ADDRESS($B98,C$1,1,,"Score")))</f>
        <v>313</v>
      </c>
      <c r="D98" s="923">
        <f t="shared" si="440"/>
        <v>12</v>
      </c>
      <c r="E98" s="922">
        <f>IF(B98="","",SUM(D98,D99))</f>
        <v>12</v>
      </c>
      <c r="F98" s="922">
        <f>IF(B98="","",E98-U98)</f>
        <v>12</v>
      </c>
      <c r="G98" s="925" t="str">
        <f t="shared" ref="G98:H98" si="441">IF($B98="","",IF(ISBLANK(INDIRECT(ADDRESS($B98,G$1,1,,"Score"))),"",1))</f>
        <v/>
      </c>
      <c r="H98" s="925">
        <f t="shared" si="441"/>
        <v>1</v>
      </c>
      <c r="I98" s="926">
        <f>IF(H98=1,F98,"")</f>
        <v>12</v>
      </c>
      <c r="J98" s="925">
        <f t="shared" ref="J98:L98" si="442">IF($B98="","",IF(ISBLANK(INDIRECT(ADDRESS($B98,J$1,1,,"Score"))),"",1))</f>
        <v>1</v>
      </c>
      <c r="K98" s="925" t="str">
        <f t="shared" si="442"/>
        <v/>
      </c>
      <c r="L98" s="925" t="str">
        <f t="shared" si="442"/>
        <v/>
      </c>
      <c r="M98" s="923">
        <f t="shared" si="396"/>
        <v>3</v>
      </c>
      <c r="N98" s="665">
        <f>IF(ISNA(MATCH($A98,'Game Clock'!A$62:A$99,0)),"",INDIRECT(ADDRESS(MATCH($A98,'Game Clock'!A$62:A$99,0)+ROW('Game Clock'!A$61),N$1,1,,"Game Clock")))</f>
        <v>57</v>
      </c>
      <c r="O98" s="922">
        <f>IF(OR(N98="",N98=0),"",60*E98/N98)</f>
        <v>12.63157895</v>
      </c>
      <c r="P98" s="418"/>
      <c r="Q98" s="922">
        <f>Q96+1</f>
        <v>6</v>
      </c>
      <c r="R98" s="923">
        <f>IF(ISNA(MATCH($Q98,Score!T$46:T$83,0)),"",MATCH($Q98,Score!T$46:T$83,0)+ROW(Score!T$45))</f>
        <v>52</v>
      </c>
      <c r="S98" s="924" t="str">
        <f t="shared" ref="S98:T98" si="443">IF($R98="","",INDIRECT(ADDRESS($R98,S$1,1,,"Score")))</f>
        <v>329</v>
      </c>
      <c r="T98" s="923">
        <f t="shared" si="443"/>
        <v>0</v>
      </c>
      <c r="U98" s="922">
        <f>IF(R98="","",SUM(T98,T99))</f>
        <v>0</v>
      </c>
      <c r="V98" s="922">
        <f>IF(R98="","",U98-E98)</f>
        <v>-12</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f t="shared" si="445"/>
        <v>1</v>
      </c>
      <c r="AC98" s="923">
        <f t="shared" si="399"/>
        <v>0</v>
      </c>
      <c r="AD98" s="922">
        <f>N98</f>
        <v>57</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f>IF($R98="","",IF(INDIRECT(ADDRESS($R98+1,S$1-1,1,,"Score"))="SP",$R98+1,""))</f>
        <v>53</v>
      </c>
      <c r="S99" s="924" t="str">
        <f t="shared" ref="S99:T99" si="448">IF($R99="","",INDIRECT(ADDRESS($R99,S$1,1,,"Score")))</f>
        <v>28</v>
      </c>
      <c r="T99" s="923">
        <f t="shared" si="448"/>
        <v>0</v>
      </c>
      <c r="U99" s="922"/>
      <c r="V99" s="922"/>
      <c r="W99" s="925"/>
      <c r="X99" s="927"/>
      <c r="Y99" s="926"/>
      <c r="Z99" s="925" t="str">
        <f t="shared" ref="Z99:AB99" si="449">IF($R99="","",IF(ISBLANK(INDIRECT(ADDRESS($R99,Z$1,1,,"Score"))),"",1))</f>
        <v/>
      </c>
      <c r="AA99" s="925" t="str">
        <f t="shared" si="449"/>
        <v/>
      </c>
      <c r="AB99" s="925" t="str">
        <f t="shared" si="449"/>
        <v/>
      </c>
      <c r="AC99" s="923">
        <f t="shared" si="399"/>
        <v>1</v>
      </c>
      <c r="AD99" s="922"/>
      <c r="AE99" s="922"/>
    </row>
    <row r="100" ht="13.5" customHeight="1">
      <c r="A100" s="665">
        <f>A98+1</f>
        <v>7</v>
      </c>
      <c r="B100" s="418">
        <f>IF(ISNA(MATCH($A100,Score!A$46:A$83,0)),"",MATCH($A100,Score!A$46:A$83,0)+ROW(Score!A$45))</f>
        <v>54</v>
      </c>
      <c r="C100" s="887" t="str">
        <f t="shared" ref="C100:D100" si="450">IF($B100="","",INDIRECT(ADDRESS($B100,C$1,1,,"Score")))</f>
        <v>3381</v>
      </c>
      <c r="D100" s="418">
        <f t="shared" si="450"/>
        <v>4</v>
      </c>
      <c r="E100" s="665">
        <f>IF(B100="","",SUM(D100,D101))</f>
        <v>4</v>
      </c>
      <c r="F100" s="665">
        <f>IF(B100="","",E100-U100)</f>
        <v>0</v>
      </c>
      <c r="G100" s="920" t="str">
        <f t="shared" ref="G100:H100" si="451">IF($B100="","",IF(ISBLANK(INDIRECT(ADDRESS($B100,G$1,1,,"Score"))),"",1))</f>
        <v/>
      </c>
      <c r="H100" s="920">
        <f t="shared" si="451"/>
        <v>1</v>
      </c>
      <c r="I100" s="921">
        <f>IF(H100=1,F100,"")</f>
        <v>0</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44</v>
      </c>
      <c r="O100" s="665">
        <f>IF(OR(N100="",N100=0),"",60*E100/N100)</f>
        <v>5.454545455</v>
      </c>
      <c r="P100" s="418"/>
      <c r="Q100" s="665">
        <f>Q98+1</f>
        <v>7</v>
      </c>
      <c r="R100" s="418">
        <f>IF(ISNA(MATCH($Q100,Score!T$46:T$83,0)),"",MATCH($Q100,Score!T$46:T$83,0)+ROW(Score!T$45))</f>
        <v>54</v>
      </c>
      <c r="S100" s="887" t="str">
        <f t="shared" ref="S100:T100" si="453">IF($R100="","",INDIRECT(ADDRESS($R100,S$1,1,,"Score")))</f>
        <v>9</v>
      </c>
      <c r="T100" s="418">
        <f t="shared" si="453"/>
        <v>4</v>
      </c>
      <c r="U100" s="665">
        <f>IF(R100="","",SUM(T100,T101))</f>
        <v>4</v>
      </c>
      <c r="V100" s="665">
        <f>IF(R100="","",U100-E100)</f>
        <v>0</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44</v>
      </c>
      <c r="AE100" s="665">
        <f>IF(OR(AD100="",AD100=0),"",60*U100/AD100)</f>
        <v>5.454545455</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55</v>
      </c>
      <c r="C102" s="924" t="str">
        <f t="shared" ref="C102:D102" si="460">IF($B102="","",INDIRECT(ADDRESS($B102,C$1,1,,"Score")))</f>
        <v>10</v>
      </c>
      <c r="D102" s="923">
        <f t="shared" si="460"/>
        <v>4</v>
      </c>
      <c r="E102" s="922">
        <f>IF(B102="","",SUM(D102,D103))</f>
        <v>4</v>
      </c>
      <c r="F102" s="922">
        <f>IF(B102="","",E102-U102)</f>
        <v>0</v>
      </c>
      <c r="G102" s="925" t="str">
        <f t="shared" ref="G102:H102" si="461">IF($B102="","",IF(ISBLANK(INDIRECT(ADDRESS($B102,G$1,1,,"Score"))),"",1))</f>
        <v/>
      </c>
      <c r="H102" s="925">
        <f t="shared" si="461"/>
        <v>1</v>
      </c>
      <c r="I102" s="926">
        <f>IF(H102=1,F102,"")</f>
        <v>0</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42</v>
      </c>
      <c r="O102" s="922">
        <f>IF(OR(N102="",N102=0),"",60*E102/N102)</f>
        <v>5.714285714</v>
      </c>
      <c r="P102" s="418"/>
      <c r="Q102" s="922">
        <f>Q100+1</f>
        <v>8</v>
      </c>
      <c r="R102" s="923">
        <f>IF(ISNA(MATCH($Q102,Score!T$46:T$83,0)),"",MATCH($Q102,Score!T$46:T$83,0)+ROW(Score!T$45))</f>
        <v>55</v>
      </c>
      <c r="S102" s="924" t="str">
        <f t="shared" ref="S102:T102" si="463">IF($R102="","",INDIRECT(ADDRESS($R102,S$1,1,,"Score")))</f>
        <v>15</v>
      </c>
      <c r="T102" s="923">
        <f t="shared" si="463"/>
        <v>4</v>
      </c>
      <c r="U102" s="922">
        <f>IF(R102="","",SUM(T102,T103))</f>
        <v>4</v>
      </c>
      <c r="V102" s="922">
        <f>IF(R102="","",U102-E102)</f>
        <v>0</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2</v>
      </c>
      <c r="AD102" s="922">
        <f>N102</f>
        <v>42</v>
      </c>
      <c r="AE102" s="922">
        <f>IF(OR(AD102="",AD102=0),"",60*U102/AD102)</f>
        <v>5.714285714</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56</v>
      </c>
      <c r="C104" s="887" t="str">
        <f t="shared" ref="C104:D104" si="470">IF($B104="","",INDIRECT(ADDRESS($B104,C$1,1,,"Score")))</f>
        <v>394</v>
      </c>
      <c r="D104" s="418">
        <f t="shared" si="470"/>
        <v>6</v>
      </c>
      <c r="E104" s="665">
        <f>IF(B104="","",SUM(D104,D105))</f>
        <v>6</v>
      </c>
      <c r="F104" s="665">
        <f>IF(B104="","",E104-U104)</f>
        <v>6</v>
      </c>
      <c r="G104" s="920" t="str">
        <f t="shared" ref="G104:H104" si="471">IF($B104="","",IF(ISBLANK(INDIRECT(ADDRESS($B104,G$1,1,,"Score"))),"",1))</f>
        <v/>
      </c>
      <c r="H104" s="920">
        <f t="shared" si="471"/>
        <v>1</v>
      </c>
      <c r="I104" s="921">
        <f>IF(H104=1,F104,"")</f>
        <v>6</v>
      </c>
      <c r="J104" s="920">
        <f t="shared" ref="J104:L104" si="472">IF($B104="","",IF(ISBLANK(INDIRECT(ADDRESS($B104,J$1,1,,"Score"))),"",1))</f>
        <v>1</v>
      </c>
      <c r="K104" s="920" t="str">
        <f t="shared" si="472"/>
        <v/>
      </c>
      <c r="L104" s="920" t="str">
        <f t="shared" si="472"/>
        <v/>
      </c>
      <c r="M104" s="418">
        <f t="shared" si="396"/>
        <v>2</v>
      </c>
      <c r="N104" s="665">
        <f>IF(ISNA(MATCH($A104,'Game Clock'!A$62:A$99,0)),"",INDIRECT(ADDRESS(MATCH($A104,'Game Clock'!A$62:A$99,0)+ROW('Game Clock'!A$61),N$1,1,,"Game Clock")))</f>
        <v>39</v>
      </c>
      <c r="O104" s="665">
        <f>IF(OR(N104="",N104=0),"",60*E104/N104)</f>
        <v>9.230769231</v>
      </c>
      <c r="P104" s="418"/>
      <c r="Q104" s="665">
        <f>Q102+1</f>
        <v>9</v>
      </c>
      <c r="R104" s="418">
        <f>IF(ISNA(MATCH($Q104,Score!T$46:T$83,0)),"",MATCH($Q104,Score!T$46:T$83,0)+ROW(Score!T$45))</f>
        <v>56</v>
      </c>
      <c r="S104" s="887" t="str">
        <f t="shared" ref="S104:T104" si="473">IF($R104="","",INDIRECT(ADDRESS($R104,S$1,1,,"Score")))</f>
        <v>329</v>
      </c>
      <c r="T104" s="418">
        <f t="shared" si="473"/>
        <v>0</v>
      </c>
      <c r="U104" s="665">
        <f>IF(R104="","",SUM(T104,T105))</f>
        <v>0</v>
      </c>
      <c r="V104" s="665">
        <f>IF(R104="","",U104-E104)</f>
        <v>-6</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f t="shared" si="475"/>
        <v>1</v>
      </c>
      <c r="AC104" s="418">
        <f t="shared" si="399"/>
        <v>0</v>
      </c>
      <c r="AD104" s="665">
        <f>N104</f>
        <v>39</v>
      </c>
      <c r="AE104" s="665">
        <f>IF(OR(AD104="",AD104=0),"",60*U104/AD104)</f>
        <v>0</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f>IF($R104="","",IF(INDIRECT(ADDRESS($R104+1,S$1-1,1,,"Score"))="SP",$R104+1,""))</f>
        <v>57</v>
      </c>
      <c r="S105" s="887" t="str">
        <f t="shared" ref="S105:T105" si="478">IF($R105="","",INDIRECT(ADDRESS($R105,S$1,1,,"Score")))</f>
        <v>505</v>
      </c>
      <c r="T105" s="418">
        <f t="shared" si="478"/>
        <v>0</v>
      </c>
      <c r="U105" s="665"/>
      <c r="V105" s="665"/>
      <c r="W105" s="920"/>
      <c r="X105" s="920"/>
      <c r="Y105" s="921"/>
      <c r="Z105" s="920" t="str">
        <f t="shared" ref="Z105:AB105" si="479">IF($R105="","",IF(ISBLANK(INDIRECT(ADDRESS($R105,Z$1,1,,"Score"))),"",1))</f>
        <v/>
      </c>
      <c r="AA105" s="920" t="str">
        <f t="shared" si="479"/>
        <v/>
      </c>
      <c r="AB105" s="920" t="str">
        <f t="shared" si="479"/>
        <v/>
      </c>
      <c r="AC105" s="418">
        <f t="shared" si="399"/>
        <v>1</v>
      </c>
      <c r="AD105" s="665"/>
      <c r="AE105" s="665"/>
    </row>
    <row r="106" ht="13.5" customHeight="1">
      <c r="A106" s="922">
        <f>A104+1</f>
        <v>10</v>
      </c>
      <c r="B106" s="923">
        <f>IF(ISNA(MATCH($A106,Score!A$46:A$83,0)),"",MATCH($A106,Score!A$46:A$83,0)+ROW(Score!A$45))</f>
        <v>58</v>
      </c>
      <c r="C106" s="924" t="str">
        <f t="shared" ref="C106:D106" si="480">IF($B106="","",INDIRECT(ADDRESS($B106,C$1,1,,"Score")))</f>
        <v>38</v>
      </c>
      <c r="D106" s="923">
        <f t="shared" si="480"/>
        <v>0</v>
      </c>
      <c r="E106" s="922">
        <f>IF(B106="","",SUM(D106,D107))</f>
        <v>0</v>
      </c>
      <c r="F106" s="922">
        <f>IF(B106="","",E106-U106)</f>
        <v>-3</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t="str">
        <f t="shared" si="482"/>
        <v/>
      </c>
      <c r="M106" s="923">
        <f t="shared" si="396"/>
        <v>1</v>
      </c>
      <c r="N106" s="665">
        <f>IF(ISNA(MATCH($A106,'Game Clock'!A$62:A$99,0)),"",INDIRECT(ADDRESS(MATCH($A106,'Game Clock'!A$62:A$99,0)+ROW('Game Clock'!A$61),N$1,1,,"Game Clock")))</f>
        <v>35</v>
      </c>
      <c r="O106" s="922">
        <f>IF(OR(N106="",N106=0),"",60*E106/N106)</f>
        <v>0</v>
      </c>
      <c r="P106" s="418"/>
      <c r="Q106" s="922">
        <f>Q104+1</f>
        <v>10</v>
      </c>
      <c r="R106" s="923">
        <f>IF(ISNA(MATCH($Q106,Score!T$46:T$83,0)),"",MATCH($Q106,Score!T$46:T$83,0)+ROW(Score!T$45))</f>
        <v>58</v>
      </c>
      <c r="S106" s="924" t="str">
        <f t="shared" ref="S106:T106" si="483">IF($R106="","",INDIRECT(ADDRESS($R106,S$1,1,,"Score")))</f>
        <v>9</v>
      </c>
      <c r="T106" s="923">
        <f t="shared" si="483"/>
        <v>3</v>
      </c>
      <c r="U106" s="922">
        <f>IF(R106="","",SUM(T106,T107))</f>
        <v>3</v>
      </c>
      <c r="V106" s="922">
        <f>IF(R106="","",U106-E106)</f>
        <v>3</v>
      </c>
      <c r="W106" s="925" t="str">
        <f t="shared" ref="W106:X106" si="484">IF($R106="","",IF(ISBLANK(INDIRECT(ADDRESS($R106,W$1,1,,"Score"))),"",1))</f>
        <v/>
      </c>
      <c r="X106" s="925">
        <f t="shared" si="484"/>
        <v>1</v>
      </c>
      <c r="Y106" s="926">
        <f>IF(X106=1,V106,"")</f>
        <v>3</v>
      </c>
      <c r="Z106" s="925">
        <f t="shared" ref="Z106:AB106" si="485">IF($R106="","",IF(ISBLANK(INDIRECT(ADDRESS($R106,Z$1,1,,"Score"))),"",1))</f>
        <v>1</v>
      </c>
      <c r="AA106" s="925" t="str">
        <f t="shared" si="485"/>
        <v/>
      </c>
      <c r="AB106" s="925" t="str">
        <f t="shared" si="485"/>
        <v/>
      </c>
      <c r="AC106" s="923">
        <f t="shared" si="399"/>
        <v>1</v>
      </c>
      <c r="AD106" s="922">
        <f>N106</f>
        <v>35</v>
      </c>
      <c r="AE106" s="922">
        <f>IF(OR(AD106="",AD106=0),"",60*U106/AD106)</f>
        <v>5.142857143</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59</v>
      </c>
      <c r="C108" s="887" t="str">
        <f t="shared" ref="C108:D108" si="490">IF($B108="","",INDIRECT(ADDRESS($B108,C$1,1,,"Score")))</f>
        <v>313</v>
      </c>
      <c r="D108" s="418">
        <f t="shared" si="490"/>
        <v>7</v>
      </c>
      <c r="E108" s="665">
        <f>IF(B108="","",SUM(D108,D109))</f>
        <v>7</v>
      </c>
      <c r="F108" s="665">
        <f>IF(B108="","",E108-U108)</f>
        <v>7</v>
      </c>
      <c r="G108" s="920" t="str">
        <f t="shared" ref="G108:H108" si="491">IF($B108="","",IF(ISBLANK(INDIRECT(ADDRESS($B108,G$1,1,,"Score"))),"",1))</f>
        <v/>
      </c>
      <c r="H108" s="920">
        <f t="shared" si="491"/>
        <v>1</v>
      </c>
      <c r="I108" s="921">
        <f>IF(H108=1,F108,"")</f>
        <v>7</v>
      </c>
      <c r="J108" s="920">
        <f t="shared" ref="J108:L108" si="492">IF($B108="","",IF(ISBLANK(INDIRECT(ADDRESS($B108,J$1,1,,"Score"))),"",1))</f>
        <v>1</v>
      </c>
      <c r="K108" s="920" t="str">
        <f t="shared" si="492"/>
        <v/>
      </c>
      <c r="L108" s="920" t="str">
        <f t="shared" si="492"/>
        <v/>
      </c>
      <c r="M108" s="418">
        <f t="shared" si="396"/>
        <v>2</v>
      </c>
      <c r="N108" s="665">
        <f>IF(ISNA(MATCH($A108,'Game Clock'!A$62:A$99,0)),"",INDIRECT(ADDRESS(MATCH($A108,'Game Clock'!A$62:A$99,0)+ROW('Game Clock'!A$61),N$1,1,,"Game Clock")))</f>
        <v>39</v>
      </c>
      <c r="O108" s="665">
        <f>IF(OR(N108="",N108=0),"",60*E108/N108)</f>
        <v>10.76923077</v>
      </c>
      <c r="P108" s="418"/>
      <c r="Q108" s="665">
        <f>Q106+1</f>
        <v>11</v>
      </c>
      <c r="R108" s="418">
        <f>IF(ISNA(MATCH($Q108,Score!T$46:T$83,0)),"",MATCH($Q108,Score!T$46:T$83,0)+ROW(Score!T$45))</f>
        <v>59</v>
      </c>
      <c r="S108" s="887" t="str">
        <f t="shared" ref="S108:T108" si="493">IF($R108="","",INDIRECT(ADDRESS($R108,S$1,1,,"Score")))</f>
        <v>221</v>
      </c>
      <c r="T108" s="418">
        <f t="shared" si="493"/>
        <v>0</v>
      </c>
      <c r="U108" s="665">
        <f>IF(R108="","",SUM(T108,T109))</f>
        <v>0</v>
      </c>
      <c r="V108" s="665">
        <f>IF(R108="","",U108-E108)</f>
        <v>-7</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f t="shared" si="495"/>
        <v>1</v>
      </c>
      <c r="AC108" s="418">
        <f t="shared" si="399"/>
        <v>0</v>
      </c>
      <c r="AD108" s="665">
        <f>N108</f>
        <v>39</v>
      </c>
      <c r="AE108" s="665">
        <f>IF(OR(AD108="",AD108=0),"",60*U108/AD108)</f>
        <v>0</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f>IF($R108="","",IF(INDIRECT(ADDRESS($R108+1,S$1-1,1,,"Score"))="SP",$R108+1,""))</f>
        <v>60</v>
      </c>
      <c r="S109" s="887" t="str">
        <f t="shared" ref="S109:T109" si="498">IF($R109="","",INDIRECT(ADDRESS($R109,S$1,1,,"Score")))</f>
        <v>505</v>
      </c>
      <c r="T109" s="418">
        <f t="shared" si="498"/>
        <v>0</v>
      </c>
      <c r="U109" s="665"/>
      <c r="V109" s="665"/>
      <c r="W109" s="920"/>
      <c r="X109" s="920"/>
      <c r="Y109" s="921"/>
      <c r="Z109" s="920" t="str">
        <f t="shared" ref="Z109:AB109" si="499">IF($R109="","",IF(ISBLANK(INDIRECT(ADDRESS($R109,Z$1,1,,"Score"))),"",1))</f>
        <v/>
      </c>
      <c r="AA109" s="920" t="str">
        <f t="shared" si="499"/>
        <v/>
      </c>
      <c r="AB109" s="920" t="str">
        <f t="shared" si="499"/>
        <v/>
      </c>
      <c r="AC109" s="418">
        <f t="shared" si="399"/>
        <v>1</v>
      </c>
      <c r="AD109" s="665"/>
      <c r="AE109" s="665"/>
    </row>
    <row r="110" ht="13.5" customHeight="1">
      <c r="A110" s="922">
        <f>A108+1</f>
        <v>12</v>
      </c>
      <c r="B110" s="923">
        <f>IF(ISNA(MATCH($A110,Score!A$46:A$83,0)),"",MATCH($A110,Score!A$46:A$83,0)+ROW(Score!A$45))</f>
        <v>61</v>
      </c>
      <c r="C110" s="924" t="str">
        <f t="shared" ref="C110:D110" si="500">IF($B110="","",INDIRECT(ADDRESS($B110,C$1,1,,"Score")))</f>
        <v>3</v>
      </c>
      <c r="D110" s="923">
        <f t="shared" si="500"/>
        <v>0</v>
      </c>
      <c r="E110" s="922">
        <f>IF(B110="","",SUM(D110,D111))</f>
        <v>1</v>
      </c>
      <c r="F110" s="922">
        <f>IF(B110="","",E110-U110)</f>
        <v>-1</v>
      </c>
      <c r="G110" s="925">
        <f t="shared" ref="G110:H110" si="501">IF($B110="","",IF(ISBLANK(INDIRECT(ADDRESS($B110,G$1,1,,"Score"))),"",1))</f>
        <v>1</v>
      </c>
      <c r="H110" s="925" t="str">
        <f t="shared" si="501"/>
        <v/>
      </c>
      <c r="I110" s="926" t="str">
        <f>IF(H110=1,F110,"")</f>
        <v/>
      </c>
      <c r="J110" s="925" t="str">
        <f t="shared" ref="J110:L110" si="502">IF($B110="","",IF(ISBLANK(INDIRECT(ADDRESS($B110,J$1,1,,"Score"))),"",1))</f>
        <v/>
      </c>
      <c r="K110" s="925" t="str">
        <f t="shared" si="502"/>
        <v/>
      </c>
      <c r="L110" s="925">
        <f t="shared" si="502"/>
        <v>1</v>
      </c>
      <c r="M110" s="923">
        <f t="shared" si="396"/>
        <v>0</v>
      </c>
      <c r="N110" s="665">
        <f>IF(ISNA(MATCH($A110,'Game Clock'!A$62:A$99,0)),"",INDIRECT(ADDRESS(MATCH($A110,'Game Clock'!A$62:A$99,0)+ROW('Game Clock'!A$61),N$1,1,,"Game Clock")))</f>
        <v>120</v>
      </c>
      <c r="O110" s="922">
        <f>IF(OR(N110="",N110=0),"",60*E110/N110)</f>
        <v>0.5</v>
      </c>
      <c r="P110" s="418"/>
      <c r="Q110" s="922">
        <f>Q108+1</f>
        <v>12</v>
      </c>
      <c r="R110" s="923">
        <f>IF(ISNA(MATCH($Q110,Score!T$46:T$83,0)),"",MATCH($Q110,Score!T$46:T$83,0)+ROW(Score!T$45))</f>
        <v>61</v>
      </c>
      <c r="S110" s="924" t="str">
        <f t="shared" ref="S110:T110" si="503">IF($R110="","",INDIRECT(ADDRESS($R110,S$1,1,,"Score")))</f>
        <v>15</v>
      </c>
      <c r="T110" s="923">
        <f t="shared" si="503"/>
        <v>2</v>
      </c>
      <c r="U110" s="922">
        <f>IF(R110="","",SUM(T110,T111))</f>
        <v>2</v>
      </c>
      <c r="V110" s="922">
        <f>IF(R110="","",U110-E110)</f>
        <v>1</v>
      </c>
      <c r="W110" s="925">
        <f t="shared" ref="W110:X110" si="504">IF($R110="","",IF(ISBLANK(INDIRECT(ADDRESS($R110,W$1,1,,"Score"))),"",1))</f>
        <v>1</v>
      </c>
      <c r="X110" s="925">
        <f t="shared" si="504"/>
        <v>1</v>
      </c>
      <c r="Y110" s="926">
        <f>IF(X110=1,V110,"")</f>
        <v>1</v>
      </c>
      <c r="Z110" s="925" t="str">
        <f t="shared" ref="Z110:AB110" si="505">IF($R110="","",IF(ISBLANK(INDIRECT(ADDRESS($R110,Z$1,1,,"Score"))),"",1))</f>
        <v/>
      </c>
      <c r="AA110" s="925" t="str">
        <f t="shared" si="505"/>
        <v/>
      </c>
      <c r="AB110" s="925" t="str">
        <f t="shared" si="505"/>
        <v/>
      </c>
      <c r="AC110" s="923">
        <f t="shared" si="399"/>
        <v>1</v>
      </c>
      <c r="AD110" s="922">
        <f>N110</f>
        <v>120</v>
      </c>
      <c r="AE110" s="922">
        <f>IF(OR(AD110="",AD110=0),"",60*U110/AD110)</f>
        <v>1</v>
      </c>
    </row>
    <row r="111" ht="13.5" customHeight="1">
      <c r="A111" s="922"/>
      <c r="B111" s="923">
        <f>IF($B110="","",IF(INDIRECT(ADDRESS($B110+1,C$1-1,1,,"Score"))="SP",$B110+1,""))</f>
        <v>62</v>
      </c>
      <c r="C111" s="924" t="str">
        <f t="shared" ref="C111:D111" si="506">IF($B111="","",INDIRECT(ADDRESS($B111,C$1,1,,"Score")))</f>
        <v>88</v>
      </c>
      <c r="D111" s="923">
        <f t="shared" si="506"/>
        <v>1</v>
      </c>
      <c r="E111" s="922"/>
      <c r="F111" s="922"/>
      <c r="G111" s="925"/>
      <c r="H111" s="927"/>
      <c r="I111" s="926"/>
      <c r="J111" s="925" t="str">
        <f t="shared" ref="J111:L111" si="507">IF($B111="","",IF(ISBLANK(INDIRECT(ADDRESS($B111,J$1,1,,"Score"))),"",1))</f>
        <v/>
      </c>
      <c r="K111" s="925" t="str">
        <f t="shared" si="507"/>
        <v/>
      </c>
      <c r="L111" s="925" t="str">
        <f t="shared" si="507"/>
        <v/>
      </c>
      <c r="M111" s="923">
        <f t="shared" si="396"/>
        <v>1</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63</v>
      </c>
      <c r="C112" s="887" t="str">
        <f t="shared" ref="C112:D112" si="510">IF($B112="","",INDIRECT(ADDRESS($B112,C$1,1,,"Score")))</f>
        <v>38</v>
      </c>
      <c r="D112" s="418">
        <f t="shared" si="510"/>
        <v>16</v>
      </c>
      <c r="E112" s="665">
        <f>IF(B112="","",SUM(D112,D113))</f>
        <v>16</v>
      </c>
      <c r="F112" s="665">
        <f>IF(B112="","",E112-U112)</f>
        <v>12</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8">
        <f t="shared" si="396"/>
        <v>5</v>
      </c>
      <c r="N112" s="665">
        <f>IF(ISNA(MATCH($A112,'Game Clock'!A$62:A$99,0)),"",INDIRECT(ADDRESS(MATCH($A112,'Game Clock'!A$62:A$99,0)+ROW('Game Clock'!A$61),N$1,1,,"Game Clock")))</f>
        <v>120</v>
      </c>
      <c r="O112" s="665">
        <f>IF(OR(N112="",N112=0),"",60*E112/N112)</f>
        <v>8</v>
      </c>
      <c r="P112" s="418"/>
      <c r="Q112" s="665">
        <f>Q110+1</f>
        <v>13</v>
      </c>
      <c r="R112" s="418">
        <f>IF(ISNA(MATCH($Q112,Score!T$46:T$83,0)),"",MATCH($Q112,Score!T$46:T$83,0)+ROW(Score!T$45))</f>
        <v>63</v>
      </c>
      <c r="S112" s="887" t="str">
        <f t="shared" ref="S112:T112" si="513">IF($R112="","",INDIRECT(ADDRESS($R112,S$1,1,,"Score")))</f>
        <v>329</v>
      </c>
      <c r="T112" s="418">
        <f t="shared" si="513"/>
        <v>4</v>
      </c>
      <c r="U112" s="665">
        <f>IF(R112="","",SUM(T112,T113))</f>
        <v>4</v>
      </c>
      <c r="V112" s="665">
        <f>IF(R112="","",U112-E112)</f>
        <v>-12</v>
      </c>
      <c r="W112" s="920">
        <f t="shared" ref="W112:X112" si="514">IF($R112="","",IF(ISBLANK(INDIRECT(ADDRESS($R112,W$1,1,,"Score"))),"",1))</f>
        <v>1</v>
      </c>
      <c r="X112" s="920">
        <f t="shared" si="514"/>
        <v>1</v>
      </c>
      <c r="Y112" s="921">
        <f>IF(X112=1,V112,"")</f>
        <v>-12</v>
      </c>
      <c r="Z112" s="920" t="str">
        <f t="shared" ref="Z112:AB112" si="515">IF($R112="","",IF(ISBLANK(INDIRECT(ADDRESS($R112,Z$1,1,,"Score"))),"",1))</f>
        <v/>
      </c>
      <c r="AA112" s="920" t="str">
        <f t="shared" si="515"/>
        <v/>
      </c>
      <c r="AB112" s="920" t="str">
        <f t="shared" si="515"/>
        <v/>
      </c>
      <c r="AC112" s="418">
        <f t="shared" si="399"/>
        <v>1</v>
      </c>
      <c r="AD112" s="665">
        <f>N112</f>
        <v>120</v>
      </c>
      <c r="AE112" s="665">
        <f>IF(OR(AD112="",AD112=0),"",60*U112/AD112)</f>
        <v>2</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64</v>
      </c>
      <c r="C114" s="924" t="str">
        <f t="shared" ref="C114:D114" si="520">IF($B114="","",INDIRECT(ADDRESS($B114,C$1,1,,"Score")))</f>
        <v>10</v>
      </c>
      <c r="D114" s="923">
        <f t="shared" si="520"/>
        <v>10</v>
      </c>
      <c r="E114" s="922">
        <f>IF(B114="","",SUM(D114,D115))</f>
        <v>10</v>
      </c>
      <c r="F114" s="922">
        <f>IF(B114="","",E114-U114)</f>
        <v>8</v>
      </c>
      <c r="G114" s="925">
        <f t="shared" ref="G114:H114" si="521">IF($B114="","",IF(ISBLANK(INDIRECT(ADDRESS($B114,G$1,1,,"Score"))),"",1))</f>
        <v>1</v>
      </c>
      <c r="H114" s="925" t="str">
        <f t="shared" si="521"/>
        <v/>
      </c>
      <c r="I114" s="926" t="str">
        <f>IF(H114=1,F114,"")</f>
        <v/>
      </c>
      <c r="J114" s="925" t="str">
        <f t="shared" ref="J114:L114" si="522">IF($B114="","",IF(ISBLANK(INDIRECT(ADDRESS($B114,J$1,1,,"Score"))),"",1))</f>
        <v/>
      </c>
      <c r="K114" s="925" t="str">
        <f t="shared" si="522"/>
        <v/>
      </c>
      <c r="L114" s="925" t="str">
        <f t="shared" si="522"/>
        <v/>
      </c>
      <c r="M114" s="923">
        <f t="shared" si="396"/>
        <v>3</v>
      </c>
      <c r="N114" s="665">
        <f>IF(ISNA(MATCH($A114,'Game Clock'!A$62:A$99,0)),"",INDIRECT(ADDRESS(MATCH($A114,'Game Clock'!A$62:A$99,0)+ROW('Game Clock'!A$61),N$1,1,,"Game Clock")))</f>
        <v>120</v>
      </c>
      <c r="O114" s="922">
        <f>IF(OR(N114="",N114=0),"",60*E114/N114)</f>
        <v>5</v>
      </c>
      <c r="P114" s="418"/>
      <c r="Q114" s="922">
        <f>Q112+1</f>
        <v>14</v>
      </c>
      <c r="R114" s="923">
        <f>IF(ISNA(MATCH($Q114,Score!T$46:T$83,0)),"",MATCH($Q114,Score!T$46:T$83,0)+ROW(Score!T$45))</f>
        <v>64</v>
      </c>
      <c r="S114" s="924" t="str">
        <f t="shared" ref="S114:T114" si="523">IF($R114="","",INDIRECT(ADDRESS($R114,S$1,1,,"Score")))</f>
        <v>9</v>
      </c>
      <c r="T114" s="923">
        <f t="shared" si="523"/>
        <v>0</v>
      </c>
      <c r="U114" s="922">
        <f>IF(R114="","",SUM(T114,T115))</f>
        <v>2</v>
      </c>
      <c r="V114" s="922">
        <f>IF(R114="","",U114-E114)</f>
        <v>-8</v>
      </c>
      <c r="W114" s="925">
        <f t="shared" ref="W114:X114" si="524">IF($R114="","",IF(ISBLANK(INDIRECT(ADDRESS($R114,W$1,1,,"Score"))),"",1))</f>
        <v>1</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f>N114</f>
        <v>120</v>
      </c>
      <c r="AE114" s="922">
        <f>IF(OR(AD114="",AD114=0),"",60*U114/AD114)</f>
        <v>1</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f>IF($R114="","",IF(INDIRECT(ADDRESS($R114+1,S$1-1,1,,"Score"))="SP",$R114+1,""))</f>
        <v>65</v>
      </c>
      <c r="S115" s="924" t="str">
        <f t="shared" ref="S115:T115" si="528">IF($R115="","",INDIRECT(ADDRESS($R115,S$1,1,,"Score")))</f>
        <v>28</v>
      </c>
      <c r="T115" s="923">
        <f t="shared" si="528"/>
        <v>2</v>
      </c>
      <c r="U115" s="922"/>
      <c r="V115" s="922"/>
      <c r="W115" s="925"/>
      <c r="X115" s="927"/>
      <c r="Y115" s="926"/>
      <c r="Z115" s="925" t="str">
        <f t="shared" ref="Z115:AB115" si="529">IF($R115="","",IF(ISBLANK(INDIRECT(ADDRESS($R115,Z$1,1,,"Score"))),"",1))</f>
        <v/>
      </c>
      <c r="AA115" s="925" t="str">
        <f t="shared" si="529"/>
        <v/>
      </c>
      <c r="AB115" s="925" t="str">
        <f t="shared" si="529"/>
        <v/>
      </c>
      <c r="AC115" s="923">
        <f t="shared" si="399"/>
        <v>1</v>
      </c>
      <c r="AD115" s="922"/>
      <c r="AE115" s="922"/>
    </row>
    <row r="116" ht="13.5" customHeight="1">
      <c r="A116" s="665">
        <f>A114+1</f>
        <v>15</v>
      </c>
      <c r="B116" s="418">
        <f>IF(ISNA(MATCH($A116,Score!A$46:A$83,0)),"",MATCH($A116,Score!A$46:A$83,0)+ROW(Score!A$45))</f>
        <v>66</v>
      </c>
      <c r="C116" s="887" t="str">
        <f t="shared" ref="C116:D116" si="530">IF($B116="","",INDIRECT(ADDRESS($B116,C$1,1,,"Score")))</f>
        <v>394</v>
      </c>
      <c r="D116" s="418">
        <f t="shared" si="530"/>
        <v>5</v>
      </c>
      <c r="E116" s="665">
        <f>IF(B116="","",SUM(D116,D117))</f>
        <v>5</v>
      </c>
      <c r="F116" s="665">
        <f>IF(B116="","",E116-U116)</f>
        <v>3</v>
      </c>
      <c r="G116" s="920" t="str">
        <f t="shared" ref="G116:H116" si="531">IF($B116="","",IF(ISBLANK(INDIRECT(ADDRESS($B116,G$1,1,,"Score"))),"",1))</f>
        <v/>
      </c>
      <c r="H116" s="920">
        <f t="shared" si="531"/>
        <v>1</v>
      </c>
      <c r="I116" s="921">
        <f>IF(H116=1,F116,"")</f>
        <v>3</v>
      </c>
      <c r="J116" s="920">
        <f t="shared" ref="J116:L116" si="532">IF($B116="","",IF(ISBLANK(INDIRECT(ADDRESS($B116,J$1,1,,"Score"))),"",1))</f>
        <v>1</v>
      </c>
      <c r="K116" s="920" t="str">
        <f t="shared" si="532"/>
        <v/>
      </c>
      <c r="L116" s="920" t="str">
        <f t="shared" si="532"/>
        <v/>
      </c>
      <c r="M116" s="418">
        <f t="shared" si="396"/>
        <v>2</v>
      </c>
      <c r="N116" s="665">
        <f>IF(ISNA(MATCH($A116,'Game Clock'!A$62:A$99,0)),"",INDIRECT(ADDRESS(MATCH($A116,'Game Clock'!A$62:A$99,0)+ROW('Game Clock'!A$61),N$1,1,,"Game Clock")))</f>
        <v>44</v>
      </c>
      <c r="O116" s="665">
        <f>IF(OR(N116="",N116=0),"",60*E116/N116)</f>
        <v>6.818181818</v>
      </c>
      <c r="P116" s="418"/>
      <c r="Q116" s="665">
        <f>Q114+1</f>
        <v>15</v>
      </c>
      <c r="R116" s="418">
        <f>IF(ISNA(MATCH($Q116,Score!T$46:T$83,0)),"",MATCH($Q116,Score!T$46:T$83,0)+ROW(Score!T$45))</f>
        <v>66</v>
      </c>
      <c r="S116" s="887" t="str">
        <f t="shared" ref="S116:T116" si="533">IF($R116="","",INDIRECT(ADDRESS($R116,S$1,1,,"Score")))</f>
        <v>15</v>
      </c>
      <c r="T116" s="418">
        <f t="shared" si="533"/>
        <v>2</v>
      </c>
      <c r="U116" s="665">
        <f>IF(R116="","",SUM(T116,T117))</f>
        <v>2</v>
      </c>
      <c r="V116" s="665">
        <f>IF(R116="","",U116-E116)</f>
        <v>-3</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44</v>
      </c>
      <c r="AE116" s="665">
        <f>IF(OR(AD116="",AD116=0),"",60*U116/AD116)</f>
        <v>2.727272727</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67</v>
      </c>
      <c r="C118" s="924" t="str">
        <f t="shared" ref="C118:D118" si="540">IF($B118="","",INDIRECT(ADDRESS($B118,C$1,1,,"Score")))</f>
        <v>024</v>
      </c>
      <c r="D118" s="923">
        <f t="shared" si="540"/>
        <v>4</v>
      </c>
      <c r="E118" s="922">
        <f>IF(B118="","",SUM(D118,D119))</f>
        <v>4</v>
      </c>
      <c r="F118" s="922">
        <f>IF(B118="","",E118-U118)</f>
        <v>4</v>
      </c>
      <c r="G118" s="925" t="str">
        <f t="shared" ref="G118:H118" si="541">IF($B118="","",IF(ISBLANK(INDIRECT(ADDRESS($B118,G$1,1,,"Score"))),"",1))</f>
        <v/>
      </c>
      <c r="H118" s="925">
        <f t="shared" si="541"/>
        <v>1</v>
      </c>
      <c r="I118" s="926">
        <f>IF(H118=1,F118,"")</f>
        <v>4</v>
      </c>
      <c r="J118" s="925">
        <f t="shared" ref="J118:L118" si="542">IF($B118="","",IF(ISBLANK(INDIRECT(ADDRESS($B118,J$1,1,,"Score"))),"",1))</f>
        <v>1</v>
      </c>
      <c r="K118" s="925" t="str">
        <f t="shared" si="542"/>
        <v/>
      </c>
      <c r="L118" s="925" t="str">
        <f t="shared" si="542"/>
        <v/>
      </c>
      <c r="M118" s="923">
        <f t="shared" si="396"/>
        <v>1</v>
      </c>
      <c r="N118" s="665">
        <f>IF(ISNA(MATCH($A118,'Game Clock'!A$62:A$99,0)),"",INDIRECT(ADDRESS(MATCH($A118,'Game Clock'!A$62:A$99,0)+ROW('Game Clock'!A$61),N$1,1,,"Game Clock")))</f>
        <v>49</v>
      </c>
      <c r="O118" s="922">
        <f>IF(OR(N118="",N118=0),"",60*E118/N118)</f>
        <v>4.897959184</v>
      </c>
      <c r="P118" s="418"/>
      <c r="Q118" s="922">
        <f>Q116+1</f>
        <v>16</v>
      </c>
      <c r="R118" s="923">
        <f>IF(ISNA(MATCH($Q118,Score!T$46:T$83,0)),"",MATCH($Q118,Score!T$46:T$83,0)+ROW(Score!T$45))</f>
        <v>67</v>
      </c>
      <c r="S118" s="924" t="str">
        <f t="shared" ref="S118:T118" si="543">IF($R118="","",INDIRECT(ADDRESS($R118,S$1,1,,"Score")))</f>
        <v>329</v>
      </c>
      <c r="T118" s="923">
        <f t="shared" si="543"/>
        <v>0</v>
      </c>
      <c r="U118" s="922">
        <f>IF(R118="","",SUM(T118,T119))</f>
        <v>0</v>
      </c>
      <c r="V118" s="922">
        <f>IF(R118="","",U118-E118)</f>
        <v>-4</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49</v>
      </c>
      <c r="AE118" s="922">
        <f>IF(OR(AD118="",AD118=0),"",60*U118/AD118)</f>
        <v>0</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68</v>
      </c>
      <c r="C120" s="887" t="str">
        <f t="shared" ref="C120:D120" si="550">IF($B120="","",INDIRECT(ADDRESS($B120,C$1,1,,"Score")))</f>
        <v>313</v>
      </c>
      <c r="D120" s="418">
        <f t="shared" si="550"/>
        <v>23</v>
      </c>
      <c r="E120" s="665">
        <f>IF(B120="","",SUM(D120,D121))</f>
        <v>23</v>
      </c>
      <c r="F120" s="665">
        <f>IF(B120="","",E120-U120)</f>
        <v>23</v>
      </c>
      <c r="G120" s="920" t="str">
        <f t="shared" ref="G120:H120" si="551">IF($B120="","",IF(ISBLANK(INDIRECT(ADDRESS($B120,G$1,1,,"Score"))),"",1))</f>
        <v/>
      </c>
      <c r="H120" s="920">
        <f t="shared" si="551"/>
        <v>1</v>
      </c>
      <c r="I120" s="921">
        <f>IF(H120=1,F120,"")</f>
        <v>23</v>
      </c>
      <c r="J120" s="920">
        <f t="shared" ref="J120:L120" si="552">IF($B120="","",IF(ISBLANK(INDIRECT(ADDRESS($B120,J$1,1,,"Score"))),"",1))</f>
        <v>1</v>
      </c>
      <c r="K120" s="920" t="str">
        <f t="shared" si="552"/>
        <v/>
      </c>
      <c r="L120" s="920" t="str">
        <f t="shared" si="552"/>
        <v/>
      </c>
      <c r="M120" s="418">
        <f t="shared" si="396"/>
        <v>7</v>
      </c>
      <c r="N120" s="665">
        <f>IF(ISNA(MATCH($A120,'Game Clock'!A$62:A$99,0)),"",INDIRECT(ADDRESS(MATCH($A120,'Game Clock'!A$62:A$99,0)+ROW('Game Clock'!A$61),N$1,1,,"Game Clock")))</f>
        <v>103</v>
      </c>
      <c r="O120" s="665">
        <f>IF(OR(N120="",N120=0),"",60*E120/N120)</f>
        <v>13.39805825</v>
      </c>
      <c r="P120" s="418"/>
      <c r="Q120" s="665">
        <f>Q118+1</f>
        <v>17</v>
      </c>
      <c r="R120" s="418">
        <f>IF(ISNA(MATCH($Q120,Score!T$46:T$83,0)),"",MATCH($Q120,Score!T$46:T$83,0)+ROW(Score!T$45))</f>
        <v>68</v>
      </c>
      <c r="S120" s="887" t="str">
        <f t="shared" ref="S120:T120" si="553">IF($R120="","",INDIRECT(ADDRESS($R120,S$1,1,,"Score")))</f>
        <v>9</v>
      </c>
      <c r="T120" s="418">
        <f t="shared" si="553"/>
        <v>0</v>
      </c>
      <c r="U120" s="665">
        <f>IF(R120="","",SUM(T120,T121))</f>
        <v>0</v>
      </c>
      <c r="V120" s="665">
        <f>IF(R120="","",U120-E120)</f>
        <v>-23</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f t="shared" si="555"/>
        <v>1</v>
      </c>
      <c r="AC120" s="418">
        <f t="shared" si="399"/>
        <v>0</v>
      </c>
      <c r="AD120" s="665">
        <f>N120</f>
        <v>103</v>
      </c>
      <c r="AE120" s="665">
        <f>IF(OR(AD120="",AD120=0),"",60*U120/AD120)</f>
        <v>0</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f>IF($R120="","",IF(INDIRECT(ADDRESS($R120+1,S$1-1,1,,"Score"))="SP",$R120+1,""))</f>
        <v>69</v>
      </c>
      <c r="S121" s="887" t="str">
        <f t="shared" ref="S121:T121" si="558">IF($R121="","",INDIRECT(ADDRESS($R121,S$1,1,,"Score")))</f>
        <v>505</v>
      </c>
      <c r="T121" s="418">
        <f t="shared" si="558"/>
        <v>0</v>
      </c>
      <c r="U121" s="665"/>
      <c r="V121" s="665"/>
      <c r="W121" s="920"/>
      <c r="X121" s="920"/>
      <c r="Y121" s="921"/>
      <c r="Z121" s="920" t="str">
        <f t="shared" ref="Z121:AB121" si="559">IF($R121="","",IF(ISBLANK(INDIRECT(ADDRESS($R121,Z$1,1,,"Score"))),"",1))</f>
        <v/>
      </c>
      <c r="AA121" s="920" t="str">
        <f t="shared" si="559"/>
        <v/>
      </c>
      <c r="AB121" s="920">
        <f t="shared" si="559"/>
        <v>1</v>
      </c>
      <c r="AC121" s="418">
        <f t="shared" si="399"/>
        <v>0</v>
      </c>
      <c r="AD121" s="665"/>
      <c r="AE121" s="665"/>
    </row>
    <row r="122" ht="13.5" customHeight="1">
      <c r="A122" s="922">
        <f>A120+1</f>
        <v>18</v>
      </c>
      <c r="B122" s="923">
        <f>IF(ISNA(MATCH($A122,Score!A$46:A$83,0)),"",MATCH($A122,Score!A$46:A$83,0)+ROW(Score!A$45))</f>
        <v>70</v>
      </c>
      <c r="C122" s="924" t="str">
        <f t="shared" ref="C122:D122" si="560">IF($B122="","",INDIRECT(ADDRESS($B122,C$1,1,,"Score")))</f>
        <v>3381</v>
      </c>
      <c r="D122" s="923">
        <f t="shared" si="560"/>
        <v>2</v>
      </c>
      <c r="E122" s="922">
        <f>IF(B122="","",SUM(D122,D123))</f>
        <v>2</v>
      </c>
      <c r="F122" s="922">
        <f>IF(B122="","",E122-U122)</f>
        <v>2</v>
      </c>
      <c r="G122" s="925" t="str">
        <f t="shared" ref="G122:H122" si="561">IF($B122="","",IF(ISBLANK(INDIRECT(ADDRESS($B122,G$1,1,,"Score"))),"",1))</f>
        <v/>
      </c>
      <c r="H122" s="925">
        <f t="shared" si="561"/>
        <v>1</v>
      </c>
      <c r="I122" s="926">
        <f>IF(H122=1,F122,"")</f>
        <v>2</v>
      </c>
      <c r="J122" s="925">
        <f t="shared" ref="J122:L122" si="562">IF($B122="","",IF(ISBLANK(INDIRECT(ADDRESS($B122,J$1,1,,"Score"))),"",1))</f>
        <v>1</v>
      </c>
      <c r="K122" s="925" t="str">
        <f t="shared" si="562"/>
        <v/>
      </c>
      <c r="L122" s="925" t="str">
        <f t="shared" si="562"/>
        <v/>
      </c>
      <c r="M122" s="923">
        <f t="shared" si="396"/>
        <v>1</v>
      </c>
      <c r="N122" s="665">
        <f>IF(ISNA(MATCH($A122,'Game Clock'!A$62:A$99,0)),"",INDIRECT(ADDRESS(MATCH($A122,'Game Clock'!A$62:A$99,0)+ROW('Game Clock'!A$61),N$1,1,,"Game Clock")))</f>
        <v>27</v>
      </c>
      <c r="O122" s="922">
        <f>IF(OR(N122="",N122=0),"",60*E122/N122)</f>
        <v>4.444444444</v>
      </c>
      <c r="P122" s="418"/>
      <c r="Q122" s="922">
        <f>Q120+1</f>
        <v>18</v>
      </c>
      <c r="R122" s="923">
        <f>IF(ISNA(MATCH($Q122,Score!T$46:T$83,0)),"",MATCH($Q122,Score!T$46:T$83,0)+ROW(Score!T$45))</f>
        <v>70</v>
      </c>
      <c r="S122" s="924" t="str">
        <f t="shared" ref="S122:T122" si="563">IF($R122="","",INDIRECT(ADDRESS($R122,S$1,1,,"Score")))</f>
        <v>15</v>
      </c>
      <c r="T122" s="923">
        <f t="shared" si="563"/>
        <v>0</v>
      </c>
      <c r="U122" s="922">
        <f>IF(R122="","",SUM(T122,T123))</f>
        <v>0</v>
      </c>
      <c r="V122" s="922">
        <f>IF(R122="","",U122-E122)</f>
        <v>-2</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27</v>
      </c>
      <c r="AE122" s="922">
        <f>IF(OR(AD122="",AD122=0),"",60*U122/AD122)</f>
        <v>0</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71</v>
      </c>
      <c r="C124" s="887" t="str">
        <f t="shared" ref="C124:D124" si="570">IF($B124="","",INDIRECT(ADDRESS($B124,C$1,1,,"Score")))</f>
        <v>10</v>
      </c>
      <c r="D124" s="418">
        <f t="shared" si="570"/>
        <v>0</v>
      </c>
      <c r="E124" s="665">
        <f>IF(B124="","",SUM(D124,D125))</f>
        <v>0</v>
      </c>
      <c r="F124" s="665">
        <f>IF(B124="","",E124-U124)</f>
        <v>0</v>
      </c>
      <c r="G124" s="920" t="str">
        <f t="shared" ref="G124:H124" si="571">IF($B124="","",IF(ISBLANK(INDIRECT(ADDRESS($B124,G$1,1,,"Score"))),"",1))</f>
        <v/>
      </c>
      <c r="H124" s="920">
        <f t="shared" si="571"/>
        <v>1</v>
      </c>
      <c r="I124" s="921">
        <f>IF(H124=1,F124,"")</f>
        <v>0</v>
      </c>
      <c r="J124" s="920">
        <f t="shared" ref="J124:L124" si="572">IF($B124="","",IF(ISBLANK(INDIRECT(ADDRESS($B124,J$1,1,,"Score"))),"",1))</f>
        <v>1</v>
      </c>
      <c r="K124" s="920" t="str">
        <f t="shared" si="572"/>
        <v/>
      </c>
      <c r="L124" s="920" t="str">
        <f t="shared" si="572"/>
        <v/>
      </c>
      <c r="M124" s="418">
        <f t="shared" si="396"/>
        <v>1</v>
      </c>
      <c r="N124" s="665">
        <f>IF(ISNA(MATCH($A124,'Game Clock'!A$62:A$99,0)),"",INDIRECT(ADDRESS(MATCH($A124,'Game Clock'!A$62:A$99,0)+ROW('Game Clock'!A$61),N$1,1,,"Game Clock")))</f>
        <v>14</v>
      </c>
      <c r="O124" s="665">
        <f>IF(OR(N124="",N124=0),"",60*E124/N124)</f>
        <v>0</v>
      </c>
      <c r="P124" s="418"/>
      <c r="Q124" s="665">
        <f>Q122+1</f>
        <v>19</v>
      </c>
      <c r="R124" s="418">
        <f>IF(ISNA(MATCH($Q124,Score!T$46:T$83,0)),"",MATCH($Q124,Score!T$46:T$83,0)+ROW(Score!T$45))</f>
        <v>71</v>
      </c>
      <c r="S124" s="887" t="str">
        <f t="shared" ref="S124:T124" si="573">IF($R124="","",INDIRECT(ADDRESS($R124,S$1,1,,"Score")))</f>
        <v>329</v>
      </c>
      <c r="T124" s="418">
        <f t="shared" si="573"/>
        <v>0</v>
      </c>
      <c r="U124" s="665">
        <f>IF(R124="","",SUM(T124,T125))</f>
        <v>0</v>
      </c>
      <c r="V124" s="665">
        <f>IF(R124="","",U124-E124)</f>
        <v>0</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f t="shared" si="575"/>
        <v>1</v>
      </c>
      <c r="AC124" s="418">
        <f t="shared" si="399"/>
        <v>0</v>
      </c>
      <c r="AD124" s="665">
        <f>N124</f>
        <v>14</v>
      </c>
      <c r="AE124" s="665">
        <f>IF(OR(AD124="",AD124=0),"",60*U124/AD124)</f>
        <v>0</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f>IF(ISNA(MATCH($A126,Score!A$46:A$83,0)),"",MATCH($A126,Score!A$46:A$83,0)+ROW(Score!A$45))</f>
        <v>72</v>
      </c>
      <c r="C126" s="924" t="str">
        <f t="shared" ref="C126:D126" si="580">IF($B126="","",INDIRECT(ADDRESS($B126,C$1,1,,"Score")))</f>
        <v>394</v>
      </c>
      <c r="D126" s="923">
        <f t="shared" si="580"/>
        <v>0</v>
      </c>
      <c r="E126" s="922">
        <f>IF(B126="","",SUM(D126,D127))</f>
        <v>0</v>
      </c>
      <c r="F126" s="922">
        <f>IF(B126="","",E126-U126)</f>
        <v>0</v>
      </c>
      <c r="G126" s="925" t="str">
        <f t="shared" ref="G126:H126" si="581">IF($B126="","",IF(ISBLANK(INDIRECT(ADDRESS($B126,G$1,1,,"Score"))),"",1))</f>
        <v/>
      </c>
      <c r="H126" s="925">
        <f t="shared" si="581"/>
        <v>1</v>
      </c>
      <c r="I126" s="926">
        <f>IF(H126=1,F126,"")</f>
        <v>0</v>
      </c>
      <c r="J126" s="925">
        <f t="shared" ref="J126:L126" si="582">IF($B126="","",IF(ISBLANK(INDIRECT(ADDRESS($B126,J$1,1,,"Score"))),"",1))</f>
        <v>1</v>
      </c>
      <c r="K126" s="925" t="str">
        <f t="shared" si="582"/>
        <v/>
      </c>
      <c r="L126" s="925" t="str">
        <f t="shared" si="582"/>
        <v/>
      </c>
      <c r="M126" s="923">
        <f t="shared" si="396"/>
        <v>1</v>
      </c>
      <c r="N126" s="665">
        <f>IF(ISNA(MATCH($A126,'Game Clock'!A$62:A$99,0)),"",INDIRECT(ADDRESS(MATCH($A126,'Game Clock'!A$62:A$99,0)+ROW('Game Clock'!A$61),N$1,1,,"Game Clock")))</f>
        <v>24</v>
      </c>
      <c r="O126" s="922">
        <f>IF(OR(N126="",N126=0),"",60*E126/N126)</f>
        <v>0</v>
      </c>
      <c r="P126" s="418"/>
      <c r="Q126" s="922">
        <f>Q124+1</f>
        <v>20</v>
      </c>
      <c r="R126" s="923">
        <f>IF(ISNA(MATCH($Q126,Score!T$46:T$83,0)),"",MATCH($Q126,Score!T$46:T$83,0)+ROW(Score!T$45))</f>
        <v>72</v>
      </c>
      <c r="S126" s="924" t="str">
        <f t="shared" ref="S126:T126" si="583">IF($R126="","",INDIRECT(ADDRESS($R126,S$1,1,,"Score")))</f>
        <v>9</v>
      </c>
      <c r="T126" s="923">
        <f t="shared" si="583"/>
        <v>0</v>
      </c>
      <c r="U126" s="922">
        <f>IF(R126="","",SUM(T126,T127))</f>
        <v>0</v>
      </c>
      <c r="V126" s="922">
        <f>IF(R126="","",U126-E126)</f>
        <v>0</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f t="shared" si="399"/>
        <v>1</v>
      </c>
      <c r="AD126" s="922">
        <f>N126</f>
        <v>24</v>
      </c>
      <c r="AE126" s="922">
        <f>IF(OR(AD126="",AD126=0),"",60*U126/AD126)</f>
        <v>0</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470</v>
      </c>
      <c r="B164" s="929"/>
      <c r="C164" s="929"/>
      <c r="D164" s="929"/>
      <c r="E164" s="930">
        <f>SUM(E88:E163)</f>
        <v>161</v>
      </c>
      <c r="F164" s="931"/>
      <c r="G164" s="919">
        <f t="shared" ref="G164:H164" si="770">SUM(G88:G163)</f>
        <v>2</v>
      </c>
      <c r="H164" s="919">
        <f t="shared" si="770"/>
        <v>16</v>
      </c>
      <c r="I164" s="918"/>
      <c r="J164" s="932">
        <f t="shared" ref="J164:K164" si="771">SUM(J88:J163)</f>
        <v>16</v>
      </c>
      <c r="K164" s="932">
        <f t="shared" si="771"/>
        <v>0</v>
      </c>
      <c r="L164" s="919">
        <f t="shared" ref="L164:L165" si="774">SUM(L88,L90,L92,L94,L96,L98,L100,L102,L104,L106,L108,L110,L112,L114,L116,L118,L120,L122,L124,L126,L128,L130,L132,L134,L136,L138,L140,L142,L144,L146, L148, L150, L152, L154, L156,L158,L160,L162)</f>
        <v>1</v>
      </c>
      <c r="M164" s="929"/>
      <c r="N164" s="931" t="s">
        <v>469</v>
      </c>
      <c r="O164" s="930">
        <f>IF(COUNT(O88:O163),AVERAGE(O88:O163),"")</f>
        <v>7.113571338</v>
      </c>
      <c r="P164" s="418"/>
      <c r="Q164" s="928" t="s">
        <v>470</v>
      </c>
      <c r="R164" s="929"/>
      <c r="S164" s="929"/>
      <c r="T164" s="929"/>
      <c r="U164" s="930">
        <f>SUM(U88:U163)</f>
        <v>25</v>
      </c>
      <c r="V164" s="931"/>
      <c r="W164" s="919">
        <f t="shared" ref="W164:X164" si="772">SUM(W88:W163)</f>
        <v>3</v>
      </c>
      <c r="X164" s="919">
        <f t="shared" si="772"/>
        <v>3</v>
      </c>
      <c r="Y164" s="918"/>
      <c r="Z164" s="932">
        <f t="shared" ref="Z164:AA164" si="773">SUM(Z88:Z163)</f>
        <v>1</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9</v>
      </c>
      <c r="AC164" s="929"/>
      <c r="AD164" s="931" t="s">
        <v>469</v>
      </c>
      <c r="AE164" s="930">
        <f>IF(COUNT(AE88:AE163),AVERAGE(AE88:AE163),"")</f>
        <v>1.291482936</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1</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451</v>
      </c>
      <c r="B171" s="934" t="s">
        <v>290</v>
      </c>
      <c r="C171" s="418"/>
      <c r="D171" s="934" t="s">
        <v>459</v>
      </c>
      <c r="E171" s="934" t="s">
        <v>471</v>
      </c>
      <c r="F171" s="934" t="s">
        <v>461</v>
      </c>
      <c r="G171" s="934" t="s">
        <v>462</v>
      </c>
      <c r="H171" s="934" t="s">
        <v>443</v>
      </c>
      <c r="I171" s="934" t="s">
        <v>463</v>
      </c>
      <c r="J171" s="934" t="s">
        <v>464</v>
      </c>
      <c r="K171" s="934" t="s">
        <v>465</v>
      </c>
      <c r="L171" s="934" t="s">
        <v>218</v>
      </c>
      <c r="M171" s="934" t="s">
        <v>230</v>
      </c>
      <c r="N171" s="934"/>
      <c r="O171" s="934"/>
      <c r="P171" s="418"/>
      <c r="Q171" s="934" t="s">
        <v>457</v>
      </c>
      <c r="R171" s="934" t="s">
        <v>290</v>
      </c>
      <c r="S171" s="418"/>
      <c r="T171" s="934" t="s">
        <v>459</v>
      </c>
      <c r="U171" s="934" t="s">
        <v>471</v>
      </c>
      <c r="V171" s="934" t="s">
        <v>461</v>
      </c>
      <c r="W171" s="934" t="s">
        <v>462</v>
      </c>
      <c r="X171" s="934" t="s">
        <v>443</v>
      </c>
      <c r="Y171" s="934" t="s">
        <v>463</v>
      </c>
      <c r="Z171" s="934" t="s">
        <v>464</v>
      </c>
      <c r="AA171" s="934" t="s">
        <v>465</v>
      </c>
      <c r="AB171" s="934" t="s">
        <v>218</v>
      </c>
      <c r="AC171" s="934" t="s">
        <v>230</v>
      </c>
      <c r="AD171" s="418"/>
      <c r="AE171" s="418"/>
    </row>
    <row r="172" ht="13.5" customHeight="1">
      <c r="A172" s="665">
        <v>1.0</v>
      </c>
      <c r="B172" s="935" t="str">
        <f>IF(IGRF!B14="","",IGRF!B14)</f>
        <v>01</v>
      </c>
      <c r="C172" s="418" t="s">
        <v>453</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10*</v>
      </c>
      <c r="S172" s="418" t="s">
        <v>453</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454</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454</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410</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410</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024</v>
      </c>
      <c r="C175" s="418" t="s">
        <v>453</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11</v>
      </c>
      <c r="S175" s="418" t="s">
        <v>453</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454</v>
      </c>
      <c r="D176" s="418">
        <f>IF(OR($E176="",$E176=0),"",SUMPRODUCT(--($C$88:$C$163=$B175),D$88:D$163))</f>
        <v>4</v>
      </c>
      <c r="E176" s="418">
        <f>IF($B175="","",SUMPRODUCT(--(C$88:C$163=$B175)))</f>
        <v>1</v>
      </c>
      <c r="F176" s="418">
        <f>IF(OR($E176="",$E176=0),"",SUMIF($C$88:$C$147,$B175,F$88:F$147))</f>
        <v>4</v>
      </c>
      <c r="G176" s="923">
        <f t="shared" ref="G176:M176" si="785">IF(OR($E176="",$E176=0),"",SUMPRODUCT(--($C$88:$C$163=$B175),G$88:G$163))</f>
        <v>0</v>
      </c>
      <c r="H176" s="923">
        <f t="shared" si="785"/>
        <v>1</v>
      </c>
      <c r="I176" s="921">
        <f t="shared" si="785"/>
        <v>4</v>
      </c>
      <c r="J176" s="923">
        <f t="shared" si="785"/>
        <v>1</v>
      </c>
      <c r="K176" s="923">
        <f t="shared" si="785"/>
        <v>0</v>
      </c>
      <c r="L176" s="923">
        <f t="shared" si="785"/>
        <v>0</v>
      </c>
      <c r="M176" s="418">
        <f t="shared" si="785"/>
        <v>1</v>
      </c>
      <c r="N176" s="418"/>
      <c r="O176" s="418"/>
      <c r="P176" s="418"/>
      <c r="Q176" s="665"/>
      <c r="R176" s="665"/>
      <c r="S176" s="418" t="s">
        <v>454</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410</v>
      </c>
      <c r="D177" s="936">
        <f t="shared" ref="D177:F177" si="787">IF($B175="","",SUM(D175:D176))</f>
        <v>4</v>
      </c>
      <c r="E177" s="936">
        <f t="shared" si="787"/>
        <v>1</v>
      </c>
      <c r="F177" s="936">
        <f t="shared" si="787"/>
        <v>4</v>
      </c>
      <c r="G177" s="925">
        <f t="shared" ref="G177:L177" si="788">IF($B175="","",SUM(G175,G176))</f>
        <v>0</v>
      </c>
      <c r="H177" s="925">
        <f t="shared" si="788"/>
        <v>1</v>
      </c>
      <c r="I177" s="937">
        <f t="shared" si="788"/>
        <v>4</v>
      </c>
      <c r="J177" s="925">
        <f t="shared" si="788"/>
        <v>1</v>
      </c>
      <c r="K177" s="925">
        <f t="shared" si="788"/>
        <v>0</v>
      </c>
      <c r="L177" s="925">
        <f t="shared" si="788"/>
        <v>0</v>
      </c>
      <c r="M177" s="936">
        <f>IF($B175="","",SUM(M175:M176))</f>
        <v>1</v>
      </c>
      <c r="N177" s="418"/>
      <c r="O177" s="418"/>
      <c r="P177" s="418"/>
      <c r="Q177" s="665"/>
      <c r="R177" s="665"/>
      <c r="S177" s="936" t="s">
        <v>410</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10</v>
      </c>
      <c r="C178" s="418" t="s">
        <v>453</v>
      </c>
      <c r="D178" s="418">
        <f>IF(OR($E178="",$E178=0),"",SUMPRODUCT(--($C$3:$C$78=$B178),D$3:D$78))</f>
        <v>29</v>
      </c>
      <c r="E178" s="418">
        <f>IF($B178="","",SUMPRODUCT(--(C$3:C$78=$B178)))</f>
        <v>5</v>
      </c>
      <c r="F178" s="418">
        <f>IF(OR($E178="",$E178=0),"",SUMIF($C$3:$C$62,$B178,F$3:F$62))</f>
        <v>22</v>
      </c>
      <c r="G178" s="923">
        <f t="shared" ref="G178:M178" si="790">IF(OR($E178="",$E178=0),"",SUMPRODUCT(--($C$3:$C$78=$B178),G$3:G$78))</f>
        <v>0</v>
      </c>
      <c r="H178" s="923">
        <f t="shared" si="790"/>
        <v>3</v>
      </c>
      <c r="I178" s="921">
        <f t="shared" si="790"/>
        <v>24</v>
      </c>
      <c r="J178" s="923">
        <f t="shared" si="790"/>
        <v>3</v>
      </c>
      <c r="K178" s="923">
        <f t="shared" si="790"/>
        <v>0</v>
      </c>
      <c r="L178" s="923">
        <f t="shared" si="790"/>
        <v>0</v>
      </c>
      <c r="M178" s="418">
        <f t="shared" si="790"/>
        <v>11</v>
      </c>
      <c r="N178" s="418"/>
      <c r="O178" s="418"/>
      <c r="P178" s="418"/>
      <c r="Q178" s="665">
        <f>Q175+1</f>
        <v>3</v>
      </c>
      <c r="R178" s="935" t="str">
        <f>IF(IGRF!I16="","",IGRF!I16)</f>
        <v>120</v>
      </c>
      <c r="S178" s="418" t="s">
        <v>453</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454</v>
      </c>
      <c r="D179" s="418">
        <f>IF(OR($E179="",$E179=0),"",SUMPRODUCT(--($C$88:$C$163=$B178),D$88:D$163))</f>
        <v>30</v>
      </c>
      <c r="E179" s="418">
        <f>IF($B178="","",SUMPRODUCT(--(C$88:C$163=$B178)))</f>
        <v>4</v>
      </c>
      <c r="F179" s="418">
        <f>IF(OR($E179="",$E179=0),"",SUMIF($C$88:$C$147,$B178,F$88:F$147))</f>
        <v>20</v>
      </c>
      <c r="G179" s="923">
        <f t="shared" ref="G179:M179" si="792">IF(OR($E179="",$E179=0),"",SUMPRODUCT(--($C$88:$C$163=$B178),G$88:G$163))</f>
        <v>1</v>
      </c>
      <c r="H179" s="923">
        <f t="shared" si="792"/>
        <v>3</v>
      </c>
      <c r="I179" s="921">
        <f t="shared" si="792"/>
        <v>12</v>
      </c>
      <c r="J179" s="923">
        <f t="shared" si="792"/>
        <v>3</v>
      </c>
      <c r="K179" s="923">
        <f t="shared" si="792"/>
        <v>0</v>
      </c>
      <c r="L179" s="923">
        <f t="shared" si="792"/>
        <v>0</v>
      </c>
      <c r="M179" s="418">
        <f t="shared" si="792"/>
        <v>10</v>
      </c>
      <c r="N179" s="418"/>
      <c r="O179" s="418"/>
      <c r="P179" s="418"/>
      <c r="Q179" s="665"/>
      <c r="R179" s="665"/>
      <c r="S179" s="418" t="s">
        <v>454</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410</v>
      </c>
      <c r="D180" s="936">
        <f t="shared" ref="D180:F180" si="794">IF($B178="","",SUM(D178:D179))</f>
        <v>59</v>
      </c>
      <c r="E180" s="936">
        <f t="shared" si="794"/>
        <v>9</v>
      </c>
      <c r="F180" s="936">
        <f t="shared" si="794"/>
        <v>42</v>
      </c>
      <c r="G180" s="925">
        <f t="shared" ref="G180:L180" si="795">IF($B178="","",SUM(G178,G179))</f>
        <v>1</v>
      </c>
      <c r="H180" s="925">
        <f t="shared" si="795"/>
        <v>6</v>
      </c>
      <c r="I180" s="937">
        <f t="shared" si="795"/>
        <v>36</v>
      </c>
      <c r="J180" s="925">
        <f t="shared" si="795"/>
        <v>6</v>
      </c>
      <c r="K180" s="925">
        <f t="shared" si="795"/>
        <v>0</v>
      </c>
      <c r="L180" s="925">
        <f t="shared" si="795"/>
        <v>0</v>
      </c>
      <c r="M180" s="936">
        <f>IF($B178="","",SUM(M178:M179))</f>
        <v>21</v>
      </c>
      <c r="N180" s="418"/>
      <c r="O180" s="418"/>
      <c r="P180" s="418"/>
      <c r="Q180" s="665"/>
      <c r="R180" s="665"/>
      <c r="S180" s="936" t="s">
        <v>410</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16*</v>
      </c>
      <c r="C181" s="418" t="s">
        <v>453</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13</v>
      </c>
      <c r="S181" s="418" t="s">
        <v>453</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454</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454</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410</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410</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22*</v>
      </c>
      <c r="C184" s="418" t="s">
        <v>453</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15</v>
      </c>
      <c r="S184" s="418" t="s">
        <v>453</v>
      </c>
      <c r="T184" s="418">
        <f>IF(OR($U184="",$U184=0),"",SUMPRODUCT(--($S$3:$S$78=$R184),T$3:T$78))</f>
        <v>11</v>
      </c>
      <c r="U184" s="418">
        <f>IF($R184="","",SUMPRODUCT(--(S$3:S$78=$R184)))</f>
        <v>5</v>
      </c>
      <c r="V184" s="418">
        <f t="shared" ref="V184:AC184" si="805">IF(OR($U184="",$U184=0),"",SUMPRODUCT(--($S$3:$S$78=$R184),V$3:V$78))</f>
        <v>-16</v>
      </c>
      <c r="W184" s="923">
        <f t="shared" si="805"/>
        <v>1</v>
      </c>
      <c r="X184" s="923">
        <f t="shared" si="805"/>
        <v>2</v>
      </c>
      <c r="Y184" s="921">
        <f t="shared" si="805"/>
        <v>-3</v>
      </c>
      <c r="Z184" s="923">
        <f t="shared" si="805"/>
        <v>1</v>
      </c>
      <c r="AA184" s="923">
        <f t="shared" si="805"/>
        <v>0</v>
      </c>
      <c r="AB184" s="923">
        <f t="shared" si="805"/>
        <v>2</v>
      </c>
      <c r="AC184" s="418">
        <f t="shared" si="805"/>
        <v>5</v>
      </c>
      <c r="AD184" s="418"/>
      <c r="AE184" s="418"/>
    </row>
    <row r="185" ht="13.5" customHeight="1">
      <c r="A185" s="665"/>
      <c r="B185" s="935"/>
      <c r="C185" s="418" t="s">
        <v>454</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454</v>
      </c>
      <c r="T185" s="418">
        <f>IF(OR($U185="",$U185=0),"",SUMPRODUCT(--($S$88:$S$163=$R184),T$88:T$163))</f>
        <v>8</v>
      </c>
      <c r="U185" s="418">
        <f>IF($R184="","",SUMPRODUCT(--(S$88:S$163=$R184)))</f>
        <v>6</v>
      </c>
      <c r="V185" s="418">
        <f t="shared" ref="V185:AC185" si="807">IF(OR($U185="",$U185=0),"",SUMPRODUCT(--($S$88:$S$163=$R184),V$88:V$163))</f>
        <v>-28</v>
      </c>
      <c r="W185" s="923">
        <f t="shared" si="807"/>
        <v>1</v>
      </c>
      <c r="X185" s="923">
        <f t="shared" si="807"/>
        <v>1</v>
      </c>
      <c r="Y185" s="921">
        <f t="shared" si="807"/>
        <v>1</v>
      </c>
      <c r="Z185" s="923">
        <f t="shared" si="807"/>
        <v>0</v>
      </c>
      <c r="AA185" s="923">
        <f t="shared" si="807"/>
        <v>0</v>
      </c>
      <c r="AB185" s="923">
        <f t="shared" si="807"/>
        <v>1</v>
      </c>
      <c r="AC185" s="418">
        <f t="shared" si="807"/>
        <v>6</v>
      </c>
      <c r="AD185" s="418"/>
      <c r="AE185" s="418"/>
    </row>
    <row r="186" ht="13.5" customHeight="1">
      <c r="A186" s="665"/>
      <c r="B186" s="935"/>
      <c r="C186" s="936" t="s">
        <v>410</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410</v>
      </c>
      <c r="T186" s="936">
        <f>IF($R184="","",SUM(T184:T185))</f>
        <v>19</v>
      </c>
      <c r="U186" s="936">
        <f t="shared" ref="U186:AC186" si="810">IF($R184="","",SUM(U184,U185))</f>
        <v>11</v>
      </c>
      <c r="V186" s="936">
        <f t="shared" si="810"/>
        <v>-44</v>
      </c>
      <c r="W186" s="925">
        <f t="shared" si="810"/>
        <v>2</v>
      </c>
      <c r="X186" s="925">
        <f t="shared" si="810"/>
        <v>3</v>
      </c>
      <c r="Y186" s="937">
        <f t="shared" si="810"/>
        <v>-2</v>
      </c>
      <c r="Z186" s="925">
        <f t="shared" si="810"/>
        <v>1</v>
      </c>
      <c r="AA186" s="925">
        <f t="shared" si="810"/>
        <v>0</v>
      </c>
      <c r="AB186" s="925">
        <f t="shared" si="810"/>
        <v>3</v>
      </c>
      <c r="AC186" s="936">
        <f t="shared" si="810"/>
        <v>11</v>
      </c>
      <c r="AD186" s="418"/>
      <c r="AE186" s="418"/>
    </row>
    <row r="187" ht="13.5" customHeight="1">
      <c r="A187" s="665">
        <f>A184+1</f>
        <v>6</v>
      </c>
      <c r="B187" s="935" t="str">
        <f>IF(IGRF!B19="","",IGRF!B19)</f>
        <v>24</v>
      </c>
      <c r="C187" s="418" t="s">
        <v>453</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21*</v>
      </c>
      <c r="S187" s="418" t="s">
        <v>453</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454</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454</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410</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410</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264</v>
      </c>
      <c r="C190" s="418" t="s">
        <v>453</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213</v>
      </c>
      <c r="S190" s="418" t="s">
        <v>453</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454</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454</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410</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410</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27*</v>
      </c>
      <c r="C193" s="418" t="s">
        <v>453</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221</v>
      </c>
      <c r="S193" s="418" t="s">
        <v>453</v>
      </c>
      <c r="T193" s="418">
        <f>IF(OR($U193="",$U193=0),"",SUMPRODUCT(--($S$3:$S$78=$R193),T$3:T$78))</f>
        <v>4</v>
      </c>
      <c r="U193" s="418">
        <f>IF($R193="","",SUMPRODUCT(--(S$3:S$78=$R193)))</f>
        <v>3</v>
      </c>
      <c r="V193" s="418">
        <f t="shared" ref="V193:AC193" si="826">IF(OR($U193="",$U193=0),"",SUMPRODUCT(--($S$3:$S$78=$R193),V$3:V$78))</f>
        <v>-20</v>
      </c>
      <c r="W193" s="923">
        <f t="shared" si="826"/>
        <v>0</v>
      </c>
      <c r="X193" s="923">
        <f t="shared" si="826"/>
        <v>0</v>
      </c>
      <c r="Y193" s="921">
        <f t="shared" si="826"/>
        <v>0</v>
      </c>
      <c r="Z193" s="923">
        <f t="shared" si="826"/>
        <v>0</v>
      </c>
      <c r="AA193" s="923">
        <f t="shared" si="826"/>
        <v>0</v>
      </c>
      <c r="AB193" s="923">
        <f t="shared" si="826"/>
        <v>2</v>
      </c>
      <c r="AC193" s="418">
        <f t="shared" si="826"/>
        <v>2</v>
      </c>
      <c r="AD193" s="418"/>
      <c r="AE193" s="418"/>
    </row>
    <row r="194" ht="13.5" customHeight="1">
      <c r="A194" s="665"/>
      <c r="B194" s="935"/>
      <c r="C194" s="418" t="s">
        <v>454</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454</v>
      </c>
      <c r="T194" s="418">
        <f>IF(OR($U194="",$U194=0),"",SUMPRODUCT(--($S$88:$S$163=$R193),T$88:T$163))</f>
        <v>0</v>
      </c>
      <c r="U194" s="418">
        <f>IF($R193="","",SUMPRODUCT(--(S$88:S$163=$R193)))</f>
        <v>1</v>
      </c>
      <c r="V194" s="418">
        <f t="shared" ref="V194:AC194" si="828">IF(OR($U194="",$U194=0),"",SUMPRODUCT(--($S$88:$S$163=$R193),V$88:V$163))</f>
        <v>-7</v>
      </c>
      <c r="W194" s="923">
        <f t="shared" si="828"/>
        <v>0</v>
      </c>
      <c r="X194" s="923">
        <f t="shared" si="828"/>
        <v>0</v>
      </c>
      <c r="Y194" s="921">
        <f t="shared" si="828"/>
        <v>0</v>
      </c>
      <c r="Z194" s="923">
        <f t="shared" si="828"/>
        <v>0</v>
      </c>
      <c r="AA194" s="923">
        <f t="shared" si="828"/>
        <v>0</v>
      </c>
      <c r="AB194" s="923">
        <f t="shared" si="828"/>
        <v>1</v>
      </c>
      <c r="AC194" s="418">
        <f t="shared" si="828"/>
        <v>0</v>
      </c>
      <c r="AD194" s="418"/>
      <c r="AE194" s="418"/>
    </row>
    <row r="195" ht="13.5" customHeight="1">
      <c r="A195" s="665"/>
      <c r="B195" s="935"/>
      <c r="C195" s="936" t="s">
        <v>410</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410</v>
      </c>
      <c r="T195" s="936">
        <f>IF($R193="","",SUM(T193:T194))</f>
        <v>4</v>
      </c>
      <c r="U195" s="936">
        <f t="shared" ref="U195:AC195" si="831">IF($R193="","",SUM(U193,U194))</f>
        <v>4</v>
      </c>
      <c r="V195" s="936">
        <f t="shared" si="831"/>
        <v>-27</v>
      </c>
      <c r="W195" s="925">
        <f t="shared" si="831"/>
        <v>0</v>
      </c>
      <c r="X195" s="925">
        <f t="shared" si="831"/>
        <v>0</v>
      </c>
      <c r="Y195" s="937">
        <f t="shared" si="831"/>
        <v>0</v>
      </c>
      <c r="Z195" s="925">
        <f t="shared" si="831"/>
        <v>0</v>
      </c>
      <c r="AA195" s="925">
        <f t="shared" si="831"/>
        <v>0</v>
      </c>
      <c r="AB195" s="925">
        <f t="shared" si="831"/>
        <v>3</v>
      </c>
      <c r="AC195" s="936">
        <f t="shared" si="831"/>
        <v>2</v>
      </c>
      <c r="AD195" s="418"/>
      <c r="AE195" s="418"/>
    </row>
    <row r="196" ht="13.5" customHeight="1">
      <c r="A196" s="665">
        <f>A193+1</f>
        <v>9</v>
      </c>
      <c r="B196" s="935" t="str">
        <f>IF(IGRF!B22="","",IGRF!B22)</f>
        <v>3</v>
      </c>
      <c r="C196" s="418" t="s">
        <v>453</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28</v>
      </c>
      <c r="S196" s="418" t="s">
        <v>453</v>
      </c>
      <c r="T196" s="418">
        <f>IF(OR($U196="",$U196=0),"",SUMPRODUCT(--($S$3:$S$78=$R196),T$3:T$78))</f>
        <v>0</v>
      </c>
      <c r="U196" s="418">
        <f>IF($R196="","",SUMPRODUCT(--(S$3:S$78=$R196)))</f>
        <v>4</v>
      </c>
      <c r="V196" s="418">
        <f t="shared" ref="V196:AC196" si="833">IF(OR($U196="",$U196=0),"",SUMPRODUCT(--($S$3:$S$78=$R196),V$3:V$78))</f>
        <v>0</v>
      </c>
      <c r="W196" s="923">
        <f t="shared" si="833"/>
        <v>0</v>
      </c>
      <c r="X196" s="923">
        <f t="shared" si="833"/>
        <v>0</v>
      </c>
      <c r="Y196" s="921">
        <f t="shared" si="833"/>
        <v>0</v>
      </c>
      <c r="Z196" s="923">
        <f t="shared" si="833"/>
        <v>0</v>
      </c>
      <c r="AA196" s="923">
        <f t="shared" si="833"/>
        <v>0</v>
      </c>
      <c r="AB196" s="923">
        <f t="shared" si="833"/>
        <v>3</v>
      </c>
      <c r="AC196" s="418">
        <f t="shared" si="833"/>
        <v>1</v>
      </c>
      <c r="AD196" s="418"/>
      <c r="AE196" s="418"/>
    </row>
    <row r="197" ht="13.5" customHeight="1">
      <c r="A197" s="665"/>
      <c r="B197" s="935"/>
      <c r="C197" s="418" t="s">
        <v>454</v>
      </c>
      <c r="D197" s="418">
        <f>IF(OR($E197="",$E197=0),"",SUMPRODUCT(--($C$88:$C$163=$B196),D$88:D$163))</f>
        <v>0</v>
      </c>
      <c r="E197" s="418">
        <f>IF($B196="","",SUMPRODUCT(--(C$88:C$163=$B196)))</f>
        <v>1</v>
      </c>
      <c r="F197" s="418">
        <f>IF(OR($E197="",$E197=0),"",SUMIF($C$88:$C$147,$B196,F$88:F$147))</f>
        <v>-1</v>
      </c>
      <c r="G197" s="923">
        <f t="shared" ref="G197:M197" si="834">IF(OR($E197="",$E197=0),"",SUMPRODUCT(--($C$88:$C$163=$B196),G$88:G$163))</f>
        <v>1</v>
      </c>
      <c r="H197" s="923">
        <f t="shared" si="834"/>
        <v>0</v>
      </c>
      <c r="I197" s="921">
        <f t="shared" si="834"/>
        <v>0</v>
      </c>
      <c r="J197" s="923">
        <f t="shared" si="834"/>
        <v>0</v>
      </c>
      <c r="K197" s="923">
        <f t="shared" si="834"/>
        <v>0</v>
      </c>
      <c r="L197" s="923">
        <f t="shared" si="834"/>
        <v>1</v>
      </c>
      <c r="M197" s="418">
        <f t="shared" si="834"/>
        <v>0</v>
      </c>
      <c r="N197" s="418"/>
      <c r="O197" s="418"/>
      <c r="P197" s="418"/>
      <c r="Q197" s="665"/>
      <c r="R197" s="665"/>
      <c r="S197" s="418" t="s">
        <v>454</v>
      </c>
      <c r="T197" s="418">
        <f>IF(OR($U197="",$U197=0),"",SUMPRODUCT(--($S$88:$S$163=$R196),T$88:T$163))</f>
        <v>2</v>
      </c>
      <c r="U197" s="418">
        <f>IF($R196="","",SUMPRODUCT(--(S$88:S$163=$R196)))</f>
        <v>2</v>
      </c>
      <c r="V197" s="418">
        <f t="shared" ref="V197:AC197" si="835">IF(OR($U197="",$U197=0),"",SUMPRODUCT(--($S$88:$S$163=$R196),V$88:V$163))</f>
        <v>0</v>
      </c>
      <c r="W197" s="923">
        <f t="shared" si="835"/>
        <v>0</v>
      </c>
      <c r="X197" s="923">
        <f t="shared" si="835"/>
        <v>0</v>
      </c>
      <c r="Y197" s="921">
        <f t="shared" si="835"/>
        <v>0</v>
      </c>
      <c r="Z197" s="923">
        <f t="shared" si="835"/>
        <v>0</v>
      </c>
      <c r="AA197" s="923">
        <f t="shared" si="835"/>
        <v>0</v>
      </c>
      <c r="AB197" s="923">
        <f t="shared" si="835"/>
        <v>0</v>
      </c>
      <c r="AC197" s="418">
        <f t="shared" si="835"/>
        <v>2</v>
      </c>
      <c r="AD197" s="418"/>
      <c r="AE197" s="418"/>
    </row>
    <row r="198" ht="13.5" customHeight="1">
      <c r="A198" s="665"/>
      <c r="B198" s="935"/>
      <c r="C198" s="936" t="s">
        <v>410</v>
      </c>
      <c r="D198" s="936">
        <f t="shared" ref="D198:F198" si="836">IF($B196="","",SUM(D196:D197))</f>
        <v>0</v>
      </c>
      <c r="E198" s="936">
        <f t="shared" si="836"/>
        <v>1</v>
      </c>
      <c r="F198" s="936">
        <f t="shared" si="836"/>
        <v>-1</v>
      </c>
      <c r="G198" s="925">
        <f t="shared" ref="G198:L198" si="837">IF($B196="","",SUM(G196,G197))</f>
        <v>1</v>
      </c>
      <c r="H198" s="925">
        <f t="shared" si="837"/>
        <v>0</v>
      </c>
      <c r="I198" s="937">
        <f t="shared" si="837"/>
        <v>0</v>
      </c>
      <c r="J198" s="925">
        <f t="shared" si="837"/>
        <v>0</v>
      </c>
      <c r="K198" s="925">
        <f t="shared" si="837"/>
        <v>0</v>
      </c>
      <c r="L198" s="925">
        <f t="shared" si="837"/>
        <v>1</v>
      </c>
      <c r="M198" s="936">
        <f>IF($B196="","",SUM(M196:M197))</f>
        <v>0</v>
      </c>
      <c r="N198" s="418"/>
      <c r="O198" s="418"/>
      <c r="P198" s="418"/>
      <c r="Q198" s="665"/>
      <c r="R198" s="665"/>
      <c r="S198" s="936" t="s">
        <v>410</v>
      </c>
      <c r="T198" s="936">
        <f>IF($R196="","",SUM(T196:T197))</f>
        <v>2</v>
      </c>
      <c r="U198" s="936">
        <f t="shared" ref="U198:AC198" si="838">IF($R196="","",SUM(U196,U197))</f>
        <v>6</v>
      </c>
      <c r="V198" s="936">
        <f t="shared" si="838"/>
        <v>0</v>
      </c>
      <c r="W198" s="925">
        <f t="shared" si="838"/>
        <v>0</v>
      </c>
      <c r="X198" s="925">
        <f t="shared" si="838"/>
        <v>0</v>
      </c>
      <c r="Y198" s="937">
        <f t="shared" si="838"/>
        <v>0</v>
      </c>
      <c r="Z198" s="925">
        <f t="shared" si="838"/>
        <v>0</v>
      </c>
      <c r="AA198" s="925">
        <f t="shared" si="838"/>
        <v>0</v>
      </c>
      <c r="AB198" s="925">
        <f t="shared" si="838"/>
        <v>3</v>
      </c>
      <c r="AC198" s="936">
        <f t="shared" si="838"/>
        <v>3</v>
      </c>
      <c r="AD198" s="418"/>
      <c r="AE198" s="418"/>
    </row>
    <row r="199" ht="13.5" customHeight="1">
      <c r="A199" s="665">
        <f>A196+1</f>
        <v>10</v>
      </c>
      <c r="B199" s="935" t="str">
        <f>IF(IGRF!B23="","",IGRF!B23)</f>
        <v>31</v>
      </c>
      <c r="C199" s="418" t="s">
        <v>453</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321</v>
      </c>
      <c r="S199" s="418" t="s">
        <v>453</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454</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454</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410</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410</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313</v>
      </c>
      <c r="C202" s="418" t="s">
        <v>453</v>
      </c>
      <c r="D202" s="418">
        <f>IF(OR($E202="",$E202=0),"",SUMPRODUCT(--($C$3:$C$78=$B202),D$3:D$78))</f>
        <v>35</v>
      </c>
      <c r="E202" s="418">
        <f>IF($B202="","",SUMPRODUCT(--(C$3:C$78=$B202)))</f>
        <v>5</v>
      </c>
      <c r="F202" s="418">
        <f>IF(OR($E202="",$E202=0),"",SUMIF($C$3:$C$62,$B202,F$3:F$62))</f>
        <v>24</v>
      </c>
      <c r="G202" s="923">
        <f t="shared" ref="G202:M202" si="846">IF(OR($E202="",$E202=0),"",SUMPRODUCT(--($C$3:$C$78=$B202),G$3:G$78))</f>
        <v>1</v>
      </c>
      <c r="H202" s="923">
        <f t="shared" si="846"/>
        <v>4</v>
      </c>
      <c r="I202" s="921">
        <f t="shared" si="846"/>
        <v>17</v>
      </c>
      <c r="J202" s="923">
        <f t="shared" si="846"/>
        <v>4</v>
      </c>
      <c r="K202" s="923">
        <f t="shared" si="846"/>
        <v>0</v>
      </c>
      <c r="L202" s="923">
        <f t="shared" si="846"/>
        <v>0</v>
      </c>
      <c r="M202" s="418">
        <f t="shared" si="846"/>
        <v>13</v>
      </c>
      <c r="N202" s="418"/>
      <c r="O202" s="418"/>
      <c r="P202" s="418"/>
      <c r="Q202" s="665">
        <f>Q199+1</f>
        <v>11</v>
      </c>
      <c r="R202" s="935" t="str">
        <f>IF(IGRF!I24="","",IGRF!I24)</f>
        <v>329</v>
      </c>
      <c r="S202" s="418" t="s">
        <v>453</v>
      </c>
      <c r="T202" s="418">
        <f>IF(OR($U202="",$U202=0),"",SUMPRODUCT(--($S$3:$S$78=$R202),T$3:T$78))</f>
        <v>26</v>
      </c>
      <c r="U202" s="418">
        <f>IF($R202="","",SUMPRODUCT(--(S$3:S$78=$R202)))</f>
        <v>5</v>
      </c>
      <c r="V202" s="418">
        <f t="shared" ref="V202:AC202" si="847">IF(OR($U202="",$U202=0),"",SUMPRODUCT(--($S$3:$S$78=$R202),V$3:V$78))</f>
        <v>-14</v>
      </c>
      <c r="W202" s="923">
        <f t="shared" si="847"/>
        <v>1</v>
      </c>
      <c r="X202" s="923">
        <f t="shared" si="847"/>
        <v>1</v>
      </c>
      <c r="Y202" s="921">
        <f t="shared" si="847"/>
        <v>9</v>
      </c>
      <c r="Z202" s="923">
        <f t="shared" si="847"/>
        <v>0</v>
      </c>
      <c r="AA202" s="923">
        <f t="shared" si="847"/>
        <v>0</v>
      </c>
      <c r="AB202" s="923">
        <f t="shared" si="847"/>
        <v>2</v>
      </c>
      <c r="AC202" s="418">
        <f t="shared" si="847"/>
        <v>8</v>
      </c>
      <c r="AD202" s="418"/>
      <c r="AE202" s="418"/>
    </row>
    <row r="203" ht="13.5" customHeight="1">
      <c r="A203" s="665"/>
      <c r="B203" s="935"/>
      <c r="C203" s="418" t="s">
        <v>454</v>
      </c>
      <c r="D203" s="418">
        <f>IF(OR($E203="",$E203=0),"",SUMPRODUCT(--($C$88:$C$163=$B202),D$88:D$163))</f>
        <v>57</v>
      </c>
      <c r="E203" s="418">
        <f>IF($B202="","",SUMPRODUCT(--(C$88:C$163=$B202)))</f>
        <v>4</v>
      </c>
      <c r="F203" s="418">
        <f>IF(OR($E203="",$E203=0),"",SUMIF($C$88:$C$147,$B202,F$88:F$147))</f>
        <v>57</v>
      </c>
      <c r="G203" s="923">
        <f t="shared" ref="G203:M203" si="848">IF(OR($E203="",$E203=0),"",SUMPRODUCT(--($C$88:$C$163=$B202),G$88:G$163))</f>
        <v>0</v>
      </c>
      <c r="H203" s="923">
        <f t="shared" si="848"/>
        <v>4</v>
      </c>
      <c r="I203" s="921">
        <f t="shared" si="848"/>
        <v>57</v>
      </c>
      <c r="J203" s="923">
        <f t="shared" si="848"/>
        <v>4</v>
      </c>
      <c r="K203" s="923">
        <f t="shared" si="848"/>
        <v>0</v>
      </c>
      <c r="L203" s="923">
        <f t="shared" si="848"/>
        <v>0</v>
      </c>
      <c r="M203" s="418">
        <f t="shared" si="848"/>
        <v>16</v>
      </c>
      <c r="N203" s="418"/>
      <c r="O203" s="418"/>
      <c r="P203" s="418"/>
      <c r="Q203" s="665"/>
      <c r="R203" s="665"/>
      <c r="S203" s="418" t="s">
        <v>454</v>
      </c>
      <c r="T203" s="418">
        <f>IF(OR($U203="",$U203=0),"",SUMPRODUCT(--($S$88:$S$163=$R202),T$88:T$163))</f>
        <v>4</v>
      </c>
      <c r="U203" s="418">
        <f>IF($R202="","",SUMPRODUCT(--(S$88:S$163=$R202)))</f>
        <v>7</v>
      </c>
      <c r="V203" s="418">
        <f t="shared" ref="V203:AC203" si="849">IF(OR($U203="",$U203=0),"",SUMPRODUCT(--($S$88:$S$163=$R202),V$88:V$163))</f>
        <v>-61</v>
      </c>
      <c r="W203" s="923">
        <f t="shared" si="849"/>
        <v>1</v>
      </c>
      <c r="X203" s="923">
        <f t="shared" si="849"/>
        <v>1</v>
      </c>
      <c r="Y203" s="921">
        <f t="shared" si="849"/>
        <v>-12</v>
      </c>
      <c r="Z203" s="923">
        <f t="shared" si="849"/>
        <v>0</v>
      </c>
      <c r="AA203" s="923">
        <f t="shared" si="849"/>
        <v>0</v>
      </c>
      <c r="AB203" s="923">
        <f t="shared" si="849"/>
        <v>5</v>
      </c>
      <c r="AC203" s="418">
        <f t="shared" si="849"/>
        <v>2</v>
      </c>
      <c r="AD203" s="418"/>
      <c r="AE203" s="418"/>
    </row>
    <row r="204" ht="13.5" customHeight="1">
      <c r="A204" s="665"/>
      <c r="B204" s="935"/>
      <c r="C204" s="936" t="s">
        <v>410</v>
      </c>
      <c r="D204" s="936">
        <f t="shared" ref="D204:F204" si="850">IF($B202="","",SUM(D202:D203))</f>
        <v>92</v>
      </c>
      <c r="E204" s="936">
        <f t="shared" si="850"/>
        <v>9</v>
      </c>
      <c r="F204" s="936">
        <f t="shared" si="850"/>
        <v>81</v>
      </c>
      <c r="G204" s="925">
        <f t="shared" ref="G204:L204" si="851">IF($B202="","",SUM(G202,G203))</f>
        <v>1</v>
      </c>
      <c r="H204" s="925">
        <f t="shared" si="851"/>
        <v>8</v>
      </c>
      <c r="I204" s="937">
        <f t="shared" si="851"/>
        <v>74</v>
      </c>
      <c r="J204" s="925">
        <f t="shared" si="851"/>
        <v>8</v>
      </c>
      <c r="K204" s="925">
        <f t="shared" si="851"/>
        <v>0</v>
      </c>
      <c r="L204" s="925">
        <f t="shared" si="851"/>
        <v>0</v>
      </c>
      <c r="M204" s="936">
        <f>IF($B202="","",SUM(M202:M203))</f>
        <v>29</v>
      </c>
      <c r="N204" s="418"/>
      <c r="O204" s="418"/>
      <c r="P204" s="418"/>
      <c r="Q204" s="665"/>
      <c r="R204" s="665"/>
      <c r="S204" s="936" t="s">
        <v>410</v>
      </c>
      <c r="T204" s="936">
        <f>IF($R202="","",SUM(T202:T203))</f>
        <v>30</v>
      </c>
      <c r="U204" s="936">
        <f t="shared" ref="U204:AC204" si="852">IF($R202="","",SUM(U202,U203))</f>
        <v>12</v>
      </c>
      <c r="V204" s="936">
        <f t="shared" si="852"/>
        <v>-75</v>
      </c>
      <c r="W204" s="925">
        <f t="shared" si="852"/>
        <v>2</v>
      </c>
      <c r="X204" s="925">
        <f t="shared" si="852"/>
        <v>2</v>
      </c>
      <c r="Y204" s="937">
        <f t="shared" si="852"/>
        <v>-3</v>
      </c>
      <c r="Z204" s="925">
        <f t="shared" si="852"/>
        <v>0</v>
      </c>
      <c r="AA204" s="925">
        <f t="shared" si="852"/>
        <v>0</v>
      </c>
      <c r="AB204" s="925">
        <f t="shared" si="852"/>
        <v>7</v>
      </c>
      <c r="AC204" s="936">
        <f t="shared" si="852"/>
        <v>10</v>
      </c>
      <c r="AD204" s="418"/>
      <c r="AE204" s="418"/>
    </row>
    <row r="205" ht="13.5" customHeight="1">
      <c r="A205" s="665">
        <f>A202+1</f>
        <v>12</v>
      </c>
      <c r="B205" s="935" t="str">
        <f>IF(IGRF!B25="","",IGRF!B25)</f>
        <v>3381</v>
      </c>
      <c r="C205" s="418" t="s">
        <v>453</v>
      </c>
      <c r="D205" s="418">
        <f>IF(OR($E205="",$E205=0),"",SUMPRODUCT(--($C$3:$C$78=$B205),D$3:D$78))</f>
        <v>40</v>
      </c>
      <c r="E205" s="418">
        <f>IF($B205="","",SUMPRODUCT(--(C$3:C$78=$B205)))</f>
        <v>5</v>
      </c>
      <c r="F205" s="418">
        <f>IF(OR($E205="",$E205=0),"",SUMIF($C$3:$C$62,$B205,F$3:F$62))</f>
        <v>18</v>
      </c>
      <c r="G205" s="923">
        <f t="shared" ref="G205:M205" si="853">IF(OR($E205="",$E205=0),"",SUMPRODUCT(--($C$3:$C$78=$B205),G$3:G$78))</f>
        <v>1</v>
      </c>
      <c r="H205" s="923">
        <f t="shared" si="853"/>
        <v>3</v>
      </c>
      <c r="I205" s="921">
        <f t="shared" si="853"/>
        <v>16</v>
      </c>
      <c r="J205" s="923">
        <f t="shared" si="853"/>
        <v>3</v>
      </c>
      <c r="K205" s="923">
        <f t="shared" si="853"/>
        <v>0</v>
      </c>
      <c r="L205" s="923">
        <f t="shared" si="853"/>
        <v>0</v>
      </c>
      <c r="M205" s="418">
        <f t="shared" si="853"/>
        <v>13</v>
      </c>
      <c r="N205" s="418"/>
      <c r="O205" s="418"/>
      <c r="P205" s="418"/>
      <c r="Q205" s="665">
        <f>Q202+1</f>
        <v>12</v>
      </c>
      <c r="R205" s="935" t="str">
        <f>IF(IGRF!I25="","",IGRF!I25)</f>
        <v>410</v>
      </c>
      <c r="S205" s="418" t="s">
        <v>453</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454</v>
      </c>
      <c r="D206" s="418">
        <f>IF(OR($E206="",$E206=0),"",SUMPRODUCT(--($C$88:$C$163=$B205),D$88:D$163))</f>
        <v>18</v>
      </c>
      <c r="E206" s="418">
        <f>IF($B205="","",SUMPRODUCT(--(C$88:C$163=$B205)))</f>
        <v>3</v>
      </c>
      <c r="F206" s="418">
        <f>IF(OR($E206="",$E206=0),"",SUMIF($C$88:$C$147,$B205,F$88:F$147))</f>
        <v>14</v>
      </c>
      <c r="G206" s="923">
        <f t="shared" ref="G206:M206" si="855">IF(OR($E206="",$E206=0),"",SUMPRODUCT(--($C$88:$C$163=$B205),G$88:G$163))</f>
        <v>0</v>
      </c>
      <c r="H206" s="923">
        <f t="shared" si="855"/>
        <v>3</v>
      </c>
      <c r="I206" s="921">
        <f t="shared" si="855"/>
        <v>14</v>
      </c>
      <c r="J206" s="923">
        <f t="shared" si="855"/>
        <v>3</v>
      </c>
      <c r="K206" s="923">
        <f t="shared" si="855"/>
        <v>0</v>
      </c>
      <c r="L206" s="923">
        <f t="shared" si="855"/>
        <v>0</v>
      </c>
      <c r="M206" s="418">
        <f t="shared" si="855"/>
        <v>6</v>
      </c>
      <c r="N206" s="418"/>
      <c r="O206" s="418"/>
      <c r="P206" s="418"/>
      <c r="Q206" s="665"/>
      <c r="R206" s="665"/>
      <c r="S206" s="418" t="s">
        <v>454</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410</v>
      </c>
      <c r="D207" s="936">
        <f t="shared" ref="D207:F207" si="857">IF($B205="","",SUM(D205:D206))</f>
        <v>58</v>
      </c>
      <c r="E207" s="936">
        <f t="shared" si="857"/>
        <v>8</v>
      </c>
      <c r="F207" s="936">
        <f t="shared" si="857"/>
        <v>32</v>
      </c>
      <c r="G207" s="925">
        <f t="shared" ref="G207:L207" si="858">IF($B205="","",SUM(G205,G206))</f>
        <v>1</v>
      </c>
      <c r="H207" s="925">
        <f t="shared" si="858"/>
        <v>6</v>
      </c>
      <c r="I207" s="937">
        <f t="shared" si="858"/>
        <v>30</v>
      </c>
      <c r="J207" s="925">
        <f t="shared" si="858"/>
        <v>6</v>
      </c>
      <c r="K207" s="925">
        <f t="shared" si="858"/>
        <v>0</v>
      </c>
      <c r="L207" s="925">
        <f t="shared" si="858"/>
        <v>0</v>
      </c>
      <c r="M207" s="936">
        <f>IF($B205="","",SUM(M205:M206))</f>
        <v>19</v>
      </c>
      <c r="N207" s="418"/>
      <c r="O207" s="418"/>
      <c r="P207" s="418"/>
      <c r="Q207" s="665"/>
      <c r="R207" s="665"/>
      <c r="S207" s="936" t="s">
        <v>410</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38</v>
      </c>
      <c r="C208" s="418" t="s">
        <v>453</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47</v>
      </c>
      <c r="S208" s="418" t="s">
        <v>453</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454</v>
      </c>
      <c r="D209" s="418">
        <f>IF(OR($E209="",$E209=0),"",SUMPRODUCT(--($C$88:$C$163=$B208),D$88:D$163))</f>
        <v>16</v>
      </c>
      <c r="E209" s="418">
        <f>IF($B208="","",SUMPRODUCT(--(C$88:C$163=$B208)))</f>
        <v>2</v>
      </c>
      <c r="F209" s="418">
        <f>IF(OR($E209="",$E209=0),"",SUMIF($C$88:$C$147,$B208,F$88:F$147))</f>
        <v>9</v>
      </c>
      <c r="G209" s="923">
        <f t="shared" ref="G209:M209" si="862">IF(OR($E209="",$E209=0),"",SUMPRODUCT(--($C$88:$C$163=$B208),G$88:G$163))</f>
        <v>0</v>
      </c>
      <c r="H209" s="923">
        <f t="shared" si="862"/>
        <v>0</v>
      </c>
      <c r="I209" s="921">
        <f t="shared" si="862"/>
        <v>0</v>
      </c>
      <c r="J209" s="923">
        <f t="shared" si="862"/>
        <v>0</v>
      </c>
      <c r="K209" s="923">
        <f t="shared" si="862"/>
        <v>0</v>
      </c>
      <c r="L209" s="923">
        <f t="shared" si="862"/>
        <v>0</v>
      </c>
      <c r="M209" s="418">
        <f t="shared" si="862"/>
        <v>6</v>
      </c>
      <c r="N209" s="418"/>
      <c r="O209" s="418"/>
      <c r="P209" s="418"/>
      <c r="Q209" s="665"/>
      <c r="R209" s="665"/>
      <c r="S209" s="418" t="s">
        <v>454</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410</v>
      </c>
      <c r="D210" s="936">
        <f t="shared" ref="D210:F210" si="864">IF($B208="","",SUM(D208:D209))</f>
        <v>16</v>
      </c>
      <c r="E210" s="936">
        <f t="shared" si="864"/>
        <v>2</v>
      </c>
      <c r="F210" s="936">
        <f t="shared" si="864"/>
        <v>9</v>
      </c>
      <c r="G210" s="925">
        <f t="shared" ref="G210:L210" si="865">IF($B208="","",SUM(G208,G209))</f>
        <v>0</v>
      </c>
      <c r="H210" s="925">
        <f t="shared" si="865"/>
        <v>0</v>
      </c>
      <c r="I210" s="937">
        <f t="shared" si="865"/>
        <v>0</v>
      </c>
      <c r="J210" s="925">
        <f t="shared" si="865"/>
        <v>0</v>
      </c>
      <c r="K210" s="925">
        <f t="shared" si="865"/>
        <v>0</v>
      </c>
      <c r="L210" s="925">
        <f t="shared" si="865"/>
        <v>0</v>
      </c>
      <c r="M210" s="936">
        <f>IF($B208="","",SUM(M208:M209))</f>
        <v>6</v>
      </c>
      <c r="N210" s="418"/>
      <c r="O210" s="418"/>
      <c r="P210" s="418"/>
      <c r="Q210" s="665"/>
      <c r="R210" s="665"/>
      <c r="S210" s="936" t="s">
        <v>410</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394</v>
      </c>
      <c r="C211" s="418" t="s">
        <v>453</v>
      </c>
      <c r="D211" s="418">
        <f>IF(OR($E211="",$E211=0),"",SUMPRODUCT(--($C$3:$C$78=$B211),D$3:D$78))</f>
        <v>20</v>
      </c>
      <c r="E211" s="418">
        <f>IF($B211="","",SUMPRODUCT(--(C$3:C$78=$B211)))</f>
        <v>4</v>
      </c>
      <c r="F211" s="418">
        <f>IF(OR($E211="",$E211=0),"",SUMIF($C$3:$C$62,$B211,F$3:F$62))</f>
        <v>12</v>
      </c>
      <c r="G211" s="923">
        <f t="shared" ref="G211:M211" si="867">IF(OR($E211="",$E211=0),"",SUMPRODUCT(--($C$3:$C$78=$B211),G$3:G$78))</f>
        <v>0</v>
      </c>
      <c r="H211" s="923">
        <f t="shared" si="867"/>
        <v>3</v>
      </c>
      <c r="I211" s="921">
        <f t="shared" si="867"/>
        <v>16</v>
      </c>
      <c r="J211" s="923">
        <f t="shared" si="867"/>
        <v>3</v>
      </c>
      <c r="K211" s="923">
        <f t="shared" si="867"/>
        <v>0</v>
      </c>
      <c r="L211" s="923">
        <f t="shared" si="867"/>
        <v>0</v>
      </c>
      <c r="M211" s="418">
        <f t="shared" si="867"/>
        <v>8</v>
      </c>
      <c r="N211" s="418"/>
      <c r="O211" s="418"/>
      <c r="P211" s="418"/>
      <c r="Q211" s="665">
        <f>Q208+1</f>
        <v>14</v>
      </c>
      <c r="R211" s="935" t="str">
        <f>IF(IGRF!I27="","",IGRF!I27)</f>
        <v>484*</v>
      </c>
      <c r="S211" s="418" t="s">
        <v>453</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3.5" customHeight="1">
      <c r="A212" s="665"/>
      <c r="B212" s="935"/>
      <c r="C212" s="418" t="s">
        <v>454</v>
      </c>
      <c r="D212" s="418">
        <f>IF(OR($E212="",$E212=0),"",SUMPRODUCT(--($C$88:$C$163=$B211),D$88:D$163))</f>
        <v>35</v>
      </c>
      <c r="E212" s="418">
        <f>IF($B211="","",SUMPRODUCT(--(C$88:C$163=$B211)))</f>
        <v>5</v>
      </c>
      <c r="F212" s="418">
        <f>IF(OR($E212="",$E212=0),"",SUMIF($C$88:$C$147,$B211,F$88:F$147))</f>
        <v>33</v>
      </c>
      <c r="G212" s="923">
        <f t="shared" ref="G212:M212" si="869">IF(OR($E212="",$E212=0),"",SUMPRODUCT(--($C$88:$C$163=$B211),G$88:G$163))</f>
        <v>0</v>
      </c>
      <c r="H212" s="923">
        <f t="shared" si="869"/>
        <v>5</v>
      </c>
      <c r="I212" s="921">
        <f t="shared" si="869"/>
        <v>33</v>
      </c>
      <c r="J212" s="923">
        <f t="shared" si="869"/>
        <v>5</v>
      </c>
      <c r="K212" s="923">
        <f t="shared" si="869"/>
        <v>0</v>
      </c>
      <c r="L212" s="923">
        <f t="shared" si="869"/>
        <v>0</v>
      </c>
      <c r="M212" s="418">
        <f t="shared" si="869"/>
        <v>12</v>
      </c>
      <c r="N212" s="418"/>
      <c r="O212" s="418"/>
      <c r="P212" s="418"/>
      <c r="Q212" s="665"/>
      <c r="R212" s="665"/>
      <c r="S212" s="418" t="s">
        <v>454</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3.5" customHeight="1">
      <c r="A213" s="665"/>
      <c r="B213" s="935"/>
      <c r="C213" s="936" t="s">
        <v>410</v>
      </c>
      <c r="D213" s="936">
        <f t="shared" ref="D213:F213" si="871">IF($B211="","",SUM(D211:D212))</f>
        <v>55</v>
      </c>
      <c r="E213" s="936">
        <f t="shared" si="871"/>
        <v>9</v>
      </c>
      <c r="F213" s="936">
        <f t="shared" si="871"/>
        <v>45</v>
      </c>
      <c r="G213" s="925">
        <f t="shared" ref="G213:L213" si="872">IF($B211="","",SUM(G211,G212))</f>
        <v>0</v>
      </c>
      <c r="H213" s="925">
        <f t="shared" si="872"/>
        <v>8</v>
      </c>
      <c r="I213" s="937">
        <f t="shared" si="872"/>
        <v>49</v>
      </c>
      <c r="J213" s="925">
        <f t="shared" si="872"/>
        <v>8</v>
      </c>
      <c r="K213" s="925">
        <f t="shared" si="872"/>
        <v>0</v>
      </c>
      <c r="L213" s="925">
        <f t="shared" si="872"/>
        <v>0</v>
      </c>
      <c r="M213" s="936">
        <f>IF($B211="","",SUM(M211:M212))</f>
        <v>20</v>
      </c>
      <c r="N213" s="418"/>
      <c r="O213" s="418"/>
      <c r="P213" s="418"/>
      <c r="Q213" s="665"/>
      <c r="R213" s="665"/>
      <c r="S213" s="936" t="s">
        <v>410</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3.5" customHeight="1">
      <c r="A214" s="665">
        <f>A211+1</f>
        <v>15</v>
      </c>
      <c r="B214" s="935" t="str">
        <f>IF(IGRF!B28="","",IGRF!B28)</f>
        <v>4</v>
      </c>
      <c r="C214" s="418" t="s">
        <v>453</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505</v>
      </c>
      <c r="S214" s="418" t="s">
        <v>453</v>
      </c>
      <c r="T214" s="418">
        <f>IF(OR($U214="",$U214=0),"",SUMPRODUCT(--($S$3:$S$78=$R214),T$3:T$78))</f>
        <v>0</v>
      </c>
      <c r="U214" s="418">
        <f>IF($R214="","",SUMPRODUCT(--(S$3:S$78=$R214)))</f>
        <v>3</v>
      </c>
      <c r="V214" s="418">
        <f t="shared" ref="V214:AC214" si="875">IF(OR($U214="",$U214=0),"",SUMPRODUCT(--($S$3:$S$78=$R214),V$3:V$78))</f>
        <v>-4</v>
      </c>
      <c r="W214" s="923">
        <f t="shared" si="875"/>
        <v>0</v>
      </c>
      <c r="X214" s="923">
        <f t="shared" si="875"/>
        <v>0</v>
      </c>
      <c r="Y214" s="921">
        <f t="shared" si="875"/>
        <v>0</v>
      </c>
      <c r="Z214" s="923">
        <f t="shared" si="875"/>
        <v>0</v>
      </c>
      <c r="AA214" s="923">
        <f t="shared" si="875"/>
        <v>0</v>
      </c>
      <c r="AB214" s="923">
        <f t="shared" si="875"/>
        <v>0</v>
      </c>
      <c r="AC214" s="418">
        <f t="shared" si="875"/>
        <v>3</v>
      </c>
      <c r="AD214" s="418"/>
      <c r="AE214" s="418"/>
    </row>
    <row r="215" ht="13.5" customHeight="1">
      <c r="A215" s="665"/>
      <c r="B215" s="935"/>
      <c r="C215" s="418" t="s">
        <v>454</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454</v>
      </c>
      <c r="T215" s="418">
        <f>IF(OR($U215="",$U215=0),"",SUMPRODUCT(--($S$88:$S$163=$R214),T$88:T$163))</f>
        <v>0</v>
      </c>
      <c r="U215" s="418">
        <f>IF($R214="","",SUMPRODUCT(--(S$88:S$163=$R214)))</f>
        <v>4</v>
      </c>
      <c r="V215" s="418">
        <f t="shared" ref="V215:AC215" si="877">IF(OR($U215="",$U215=0),"",SUMPRODUCT(--($S$88:$S$163=$R214),V$88:V$163))</f>
        <v>0</v>
      </c>
      <c r="W215" s="923">
        <f t="shared" si="877"/>
        <v>0</v>
      </c>
      <c r="X215" s="923">
        <f t="shared" si="877"/>
        <v>0</v>
      </c>
      <c r="Y215" s="921">
        <f t="shared" si="877"/>
        <v>0</v>
      </c>
      <c r="Z215" s="923">
        <f t="shared" si="877"/>
        <v>0</v>
      </c>
      <c r="AA215" s="923">
        <f t="shared" si="877"/>
        <v>0</v>
      </c>
      <c r="AB215" s="923">
        <f t="shared" si="877"/>
        <v>1</v>
      </c>
      <c r="AC215" s="418">
        <f t="shared" si="877"/>
        <v>3</v>
      </c>
      <c r="AD215" s="418"/>
      <c r="AE215" s="418"/>
    </row>
    <row r="216" ht="13.5" customHeight="1">
      <c r="A216" s="665"/>
      <c r="B216" s="935"/>
      <c r="C216" s="936" t="s">
        <v>410</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410</v>
      </c>
      <c r="T216" s="936">
        <f>IF($R214="","",SUM(T214:T215))</f>
        <v>0</v>
      </c>
      <c r="U216" s="936">
        <f t="shared" ref="U216:AC216" si="880">IF($R214="","",SUM(U214,U215))</f>
        <v>7</v>
      </c>
      <c r="V216" s="936">
        <f t="shared" si="880"/>
        <v>-4</v>
      </c>
      <c r="W216" s="925">
        <f t="shared" si="880"/>
        <v>0</v>
      </c>
      <c r="X216" s="925">
        <f t="shared" si="880"/>
        <v>0</v>
      </c>
      <c r="Y216" s="937">
        <f t="shared" si="880"/>
        <v>0</v>
      </c>
      <c r="Z216" s="925">
        <f t="shared" si="880"/>
        <v>0</v>
      </c>
      <c r="AA216" s="925">
        <f t="shared" si="880"/>
        <v>0</v>
      </c>
      <c r="AB216" s="925">
        <f t="shared" si="880"/>
        <v>1</v>
      </c>
      <c r="AC216" s="936">
        <f t="shared" si="880"/>
        <v>6</v>
      </c>
      <c r="AD216" s="418"/>
      <c r="AE216" s="418"/>
    </row>
    <row r="217" ht="13.5" customHeight="1">
      <c r="A217" s="665">
        <f>A214+1</f>
        <v>16</v>
      </c>
      <c r="B217" s="935" t="str">
        <f>IF(IGRF!B29="","",IGRF!B29)</f>
        <v>602*</v>
      </c>
      <c r="C217" s="418" t="s">
        <v>453</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75*</v>
      </c>
      <c r="S217" s="418" t="s">
        <v>453</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454</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454</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410</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410</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7</v>
      </c>
      <c r="C220" s="418" t="s">
        <v>453</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88</v>
      </c>
      <c r="S220" s="418" t="s">
        <v>453</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3.5" customHeight="1">
      <c r="A221" s="665"/>
      <c r="B221" s="935"/>
      <c r="C221" s="418" t="s">
        <v>454</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454</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3.5" customHeight="1">
      <c r="A222" s="665"/>
      <c r="B222" s="935"/>
      <c r="C222" s="936" t="s">
        <v>410</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410</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3.5" customHeight="1">
      <c r="A223" s="665">
        <f>A220+1</f>
        <v>18</v>
      </c>
      <c r="B223" s="935" t="str">
        <f>IF(IGRF!B31="","",IGRF!B31)</f>
        <v>76</v>
      </c>
      <c r="C223" s="418" t="s">
        <v>453</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v>
      </c>
      <c r="S223" s="418" t="s">
        <v>453</v>
      </c>
      <c r="T223" s="418">
        <f>IF(OR($U223="",$U223=0),"",SUMPRODUCT(--($S$3:$S$78=$R223),T$3:T$78))</f>
        <v>7</v>
      </c>
      <c r="U223" s="418">
        <f>IF($R223="","",SUMPRODUCT(--(S$3:S$78=$R223)))</f>
        <v>5</v>
      </c>
      <c r="V223" s="418">
        <f t="shared" ref="V223:AC223" si="896">IF(OR($U223="",$U223=0),"",SUMPRODUCT(--($S$3:$S$78=$R223),V$3:V$78))</f>
        <v>-22</v>
      </c>
      <c r="W223" s="923">
        <f t="shared" si="896"/>
        <v>0</v>
      </c>
      <c r="X223" s="923">
        <f t="shared" si="896"/>
        <v>2</v>
      </c>
      <c r="Y223" s="921">
        <f t="shared" si="896"/>
        <v>2</v>
      </c>
      <c r="Z223" s="923">
        <f t="shared" si="896"/>
        <v>2</v>
      </c>
      <c r="AA223" s="923">
        <f t="shared" si="896"/>
        <v>0</v>
      </c>
      <c r="AB223" s="923">
        <f t="shared" si="896"/>
        <v>3</v>
      </c>
      <c r="AC223" s="418">
        <f t="shared" si="896"/>
        <v>3</v>
      </c>
      <c r="AD223" s="418"/>
      <c r="AE223" s="418"/>
    </row>
    <row r="224" ht="13.5" customHeight="1">
      <c r="A224" s="665"/>
      <c r="B224" s="935"/>
      <c r="C224" s="418" t="s">
        <v>454</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454</v>
      </c>
      <c r="T224" s="418">
        <f>IF(OR($U224="",$U224=0),"",SUMPRODUCT(--($S$88:$S$163=$R223),T$88:T$163))</f>
        <v>11</v>
      </c>
      <c r="U224" s="418">
        <f>IF($R223="","",SUMPRODUCT(--(S$88:S$163=$R223)))</f>
        <v>6</v>
      </c>
      <c r="V224" s="418">
        <f t="shared" ref="V224:AC224" si="898">IF(OR($U224="",$U224=0),"",SUMPRODUCT(--($S$88:$S$163=$R223),V$88:V$163))</f>
        <v>-40</v>
      </c>
      <c r="W224" s="923">
        <f t="shared" si="898"/>
        <v>1</v>
      </c>
      <c r="X224" s="923">
        <f t="shared" si="898"/>
        <v>1</v>
      </c>
      <c r="Y224" s="921">
        <f t="shared" si="898"/>
        <v>3</v>
      </c>
      <c r="Z224" s="923">
        <f t="shared" si="898"/>
        <v>1</v>
      </c>
      <c r="AA224" s="923">
        <f t="shared" si="898"/>
        <v>0</v>
      </c>
      <c r="AB224" s="923">
        <f t="shared" si="898"/>
        <v>2</v>
      </c>
      <c r="AC224" s="418">
        <f t="shared" si="898"/>
        <v>4</v>
      </c>
      <c r="AD224" s="418"/>
      <c r="AE224" s="418"/>
    </row>
    <row r="225" ht="13.5" customHeight="1">
      <c r="A225" s="665"/>
      <c r="B225" s="935"/>
      <c r="C225" s="936" t="s">
        <v>410</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410</v>
      </c>
      <c r="T225" s="936">
        <f>IF($R223="","",SUM(T223:T224))</f>
        <v>18</v>
      </c>
      <c r="U225" s="936">
        <f t="shared" ref="U225:AC225" si="901">IF($R223="","",SUM(U223,U224))</f>
        <v>11</v>
      </c>
      <c r="V225" s="936">
        <f t="shared" si="901"/>
        <v>-62</v>
      </c>
      <c r="W225" s="925">
        <f t="shared" si="901"/>
        <v>1</v>
      </c>
      <c r="X225" s="925">
        <f t="shared" si="901"/>
        <v>3</v>
      </c>
      <c r="Y225" s="937">
        <f t="shared" si="901"/>
        <v>5</v>
      </c>
      <c r="Z225" s="925">
        <f t="shared" si="901"/>
        <v>3</v>
      </c>
      <c r="AA225" s="925">
        <f t="shared" si="901"/>
        <v>0</v>
      </c>
      <c r="AB225" s="925">
        <f t="shared" si="901"/>
        <v>5</v>
      </c>
      <c r="AC225" s="936">
        <f t="shared" si="901"/>
        <v>7</v>
      </c>
      <c r="AD225" s="418"/>
      <c r="AE225" s="418"/>
    </row>
    <row r="226" ht="13.5" customHeight="1">
      <c r="A226" s="665">
        <f>A223+1</f>
        <v>19</v>
      </c>
      <c r="B226" s="935" t="str">
        <f>IF(IGRF!B32="","",IGRF!B32)</f>
        <v>88</v>
      </c>
      <c r="C226" s="418" t="s">
        <v>453</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913*</v>
      </c>
      <c r="S226" s="418" t="s">
        <v>453</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454</v>
      </c>
      <c r="D227" s="418">
        <f>IF(OR($E227="",$E227=0),"",SUMPRODUCT(--($C$88:$C$163=$B226),D$88:D$163))</f>
        <v>1</v>
      </c>
      <c r="E227" s="418">
        <f>IF($B226="","",SUMPRODUCT(--(C$88:C$163=$B226)))</f>
        <v>1</v>
      </c>
      <c r="F227" s="418">
        <f>IF(OR($E227="",$E227=0),"",SUMIF($C$88:$C$147,$B226,F$88:F$147))</f>
        <v>0</v>
      </c>
      <c r="G227" s="923">
        <f t="shared" ref="G227:M227" si="904">IF(OR($E227="",$E227=0),"",SUMPRODUCT(--($C$88:$C$163=$B226),G$88:G$163))</f>
        <v>0</v>
      </c>
      <c r="H227" s="923">
        <f t="shared" si="904"/>
        <v>0</v>
      </c>
      <c r="I227" s="921">
        <f t="shared" si="904"/>
        <v>0</v>
      </c>
      <c r="J227" s="923">
        <f t="shared" si="904"/>
        <v>0</v>
      </c>
      <c r="K227" s="923">
        <f t="shared" si="904"/>
        <v>0</v>
      </c>
      <c r="L227" s="923">
        <f t="shared" si="904"/>
        <v>0</v>
      </c>
      <c r="M227" s="418">
        <f t="shared" si="904"/>
        <v>1</v>
      </c>
      <c r="N227" s="418"/>
      <c r="O227" s="418"/>
      <c r="P227" s="418"/>
      <c r="Q227" s="665"/>
      <c r="R227" s="665"/>
      <c r="S227" s="418" t="s">
        <v>454</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410</v>
      </c>
      <c r="D228" s="936">
        <f t="shared" ref="D228:F228" si="906">IF($B226="","",SUM(D226:D227))</f>
        <v>1</v>
      </c>
      <c r="E228" s="936">
        <f t="shared" si="906"/>
        <v>1</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1</v>
      </c>
      <c r="N228" s="418"/>
      <c r="O228" s="418"/>
      <c r="P228" s="418"/>
      <c r="Q228" s="665"/>
      <c r="R228" s="665"/>
      <c r="S228" s="936" t="s">
        <v>410</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96*</v>
      </c>
      <c r="C229" s="418" t="s">
        <v>453</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999</v>
      </c>
      <c r="S229" s="418" t="s">
        <v>453</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454</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454</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410</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410</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476</v>
      </c>
      <c r="B9" s="945"/>
      <c r="C9" s="945"/>
      <c r="D9" s="945"/>
      <c r="E9" s="945"/>
      <c r="F9" s="945"/>
      <c r="G9" s="946" t="s">
        <v>477</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478</v>
      </c>
      <c r="B11" s="939"/>
      <c r="C11" s="939"/>
      <c r="D11" s="939"/>
      <c r="E11" s="939"/>
      <c r="F11" s="939"/>
      <c r="G11" s="939" t="s">
        <v>479</v>
      </c>
      <c r="H11" s="944"/>
      <c r="I11" s="944"/>
      <c r="J11" s="944"/>
      <c r="K11" s="944"/>
      <c r="L11" s="43"/>
      <c r="M11" s="43"/>
      <c r="N11" s="43"/>
      <c r="O11" s="43"/>
      <c r="P11" s="43"/>
      <c r="Q11" s="43"/>
      <c r="R11" s="43"/>
      <c r="S11" s="43"/>
      <c r="T11" s="43"/>
      <c r="U11" s="43"/>
      <c r="V11" s="43"/>
      <c r="W11" s="43"/>
      <c r="X11" s="43"/>
      <c r="Y11" s="43"/>
      <c r="Z11" s="43"/>
    </row>
    <row r="12" ht="15.0" customHeight="1">
      <c r="A12" s="939" t="s">
        <v>480</v>
      </c>
      <c r="B12" s="939"/>
      <c r="C12" s="939"/>
      <c r="D12" s="939"/>
      <c r="E12" s="939"/>
      <c r="F12" s="939"/>
      <c r="G12" s="944" t="s">
        <v>481</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482</v>
      </c>
      <c r="B14" s="939"/>
      <c r="C14" s="939"/>
      <c r="D14" s="939"/>
      <c r="E14" s="939"/>
      <c r="F14" s="939"/>
      <c r="G14" s="944" t="s">
        <v>483</v>
      </c>
      <c r="H14" s="944"/>
      <c r="I14" s="944"/>
      <c r="J14" s="944"/>
      <c r="K14" s="944"/>
      <c r="L14" s="43"/>
      <c r="M14" s="43"/>
      <c r="N14" s="43"/>
      <c r="O14" s="43"/>
      <c r="P14" s="43"/>
      <c r="Q14" s="43"/>
      <c r="R14" s="43"/>
      <c r="S14" s="43"/>
      <c r="T14" s="43"/>
      <c r="U14" s="43"/>
      <c r="V14" s="43"/>
      <c r="W14" s="43"/>
      <c r="X14" s="43"/>
      <c r="Y14" s="43"/>
      <c r="Z14" s="43"/>
    </row>
    <row r="15" ht="15.0" customHeight="1">
      <c r="A15" s="939" t="s">
        <v>484</v>
      </c>
      <c r="B15" s="939"/>
      <c r="C15" s="939"/>
      <c r="D15" s="939"/>
      <c r="E15" s="939"/>
      <c r="F15" s="939"/>
      <c r="G15" s="944" t="s">
        <v>485</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486</v>
      </c>
      <c r="B17" s="939"/>
      <c r="C17" s="939"/>
      <c r="D17" s="939"/>
      <c r="E17" s="939"/>
      <c r="F17" s="939"/>
      <c r="G17" s="944" t="s">
        <v>487</v>
      </c>
      <c r="H17" s="944"/>
      <c r="I17" s="944"/>
      <c r="J17" s="944"/>
      <c r="K17" s="944"/>
      <c r="L17" s="43"/>
      <c r="M17" s="43"/>
      <c r="N17" s="43"/>
      <c r="O17" s="43"/>
      <c r="P17" s="43"/>
      <c r="Q17" s="43"/>
      <c r="R17" s="43"/>
      <c r="S17" s="43"/>
      <c r="T17" s="43"/>
      <c r="U17" s="43"/>
      <c r="V17" s="43"/>
      <c r="W17" s="43"/>
      <c r="X17" s="43"/>
      <c r="Y17" s="43"/>
      <c r="Z17" s="43"/>
    </row>
    <row r="18" ht="15.0" customHeight="1">
      <c r="A18" s="939" t="s">
        <v>488</v>
      </c>
      <c r="B18" s="939"/>
      <c r="C18" s="939"/>
      <c r="D18" s="939"/>
      <c r="E18" s="939"/>
      <c r="F18" s="939"/>
      <c r="G18" s="939" t="s">
        <v>489</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490</v>
      </c>
      <c r="B20" s="939"/>
      <c r="C20" s="939"/>
      <c r="D20" s="939"/>
      <c r="E20" s="939"/>
      <c r="F20" s="939"/>
      <c r="G20" s="944" t="s">
        <v>491</v>
      </c>
      <c r="H20" s="944"/>
      <c r="I20" s="944"/>
      <c r="J20" s="944"/>
      <c r="K20" s="944"/>
      <c r="L20" s="43"/>
      <c r="M20" s="43"/>
      <c r="N20" s="43"/>
      <c r="O20" s="43"/>
      <c r="P20" s="43"/>
      <c r="Q20" s="43"/>
      <c r="R20" s="43"/>
      <c r="S20" s="43"/>
      <c r="T20" s="43"/>
      <c r="U20" s="43"/>
      <c r="V20" s="43"/>
      <c r="W20" s="43"/>
      <c r="X20" s="43"/>
      <c r="Y20" s="43"/>
      <c r="Z20" s="43"/>
    </row>
    <row r="21" ht="15.0" customHeight="1">
      <c r="A21" s="939" t="s">
        <v>492</v>
      </c>
      <c r="B21" s="939"/>
      <c r="C21" s="939"/>
      <c r="D21" s="939"/>
      <c r="E21" s="939"/>
      <c r="F21" s="939"/>
      <c r="G21" s="944" t="s">
        <v>493</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486</v>
      </c>
      <c r="B23" s="939"/>
      <c r="C23" s="939"/>
      <c r="D23" s="939"/>
      <c r="E23" s="939"/>
      <c r="F23" s="939"/>
      <c r="G23" s="939" t="s">
        <v>494</v>
      </c>
      <c r="H23" s="939"/>
      <c r="I23" s="939"/>
      <c r="J23" s="939"/>
      <c r="K23" s="939"/>
      <c r="L23" s="43"/>
      <c r="M23" s="43"/>
      <c r="N23" s="43"/>
      <c r="O23" s="43"/>
      <c r="P23" s="43"/>
      <c r="Q23" s="43"/>
      <c r="R23" s="43"/>
      <c r="S23" s="43"/>
      <c r="T23" s="43"/>
      <c r="U23" s="43"/>
      <c r="V23" s="43"/>
      <c r="W23" s="43"/>
      <c r="X23" s="43"/>
      <c r="Y23" s="43"/>
      <c r="Z23" s="43"/>
    </row>
    <row r="24" ht="15.0" customHeight="1">
      <c r="A24" s="939" t="s">
        <v>488</v>
      </c>
      <c r="B24" s="939"/>
      <c r="C24" s="939"/>
      <c r="D24" s="939"/>
      <c r="E24" s="939"/>
      <c r="F24" s="939"/>
      <c r="G24" s="939" t="s">
        <v>495</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496</v>
      </c>
      <c r="B26" s="939"/>
      <c r="C26" s="939"/>
      <c r="D26" s="939"/>
      <c r="E26" s="939"/>
      <c r="F26" s="939"/>
      <c r="G26" s="939" t="s">
        <v>497</v>
      </c>
      <c r="H26" s="939"/>
      <c r="I26" s="939"/>
      <c r="J26" s="939"/>
      <c r="K26" s="939"/>
      <c r="L26" s="43"/>
      <c r="M26" s="43"/>
      <c r="N26" s="43"/>
      <c r="O26" s="43"/>
      <c r="P26" s="43"/>
      <c r="Q26" s="43"/>
      <c r="R26" s="43"/>
      <c r="S26" s="43"/>
      <c r="T26" s="43"/>
      <c r="U26" s="43"/>
      <c r="V26" s="43"/>
      <c r="W26" s="43"/>
      <c r="X26" s="43"/>
      <c r="Y26" s="43"/>
      <c r="Z26" s="43"/>
    </row>
    <row r="27" ht="15.0" customHeight="1">
      <c r="A27" s="939" t="s">
        <v>498</v>
      </c>
      <c r="B27" s="939"/>
      <c r="C27" s="939"/>
      <c r="D27" s="939"/>
      <c r="E27" s="939"/>
      <c r="F27" s="939"/>
      <c r="G27" s="939" t="s">
        <v>499</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500</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501</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502</v>
      </c>
      <c r="H32" s="939"/>
      <c r="I32" s="939"/>
      <c r="J32" s="939"/>
      <c r="K32" s="939"/>
      <c r="L32" s="43"/>
      <c r="M32" s="43"/>
      <c r="N32" s="43"/>
      <c r="O32" s="43"/>
      <c r="P32" s="43"/>
      <c r="Q32" s="43"/>
      <c r="R32" s="43"/>
      <c r="S32" s="43"/>
      <c r="T32" s="43"/>
      <c r="U32" s="43"/>
      <c r="V32" s="43"/>
      <c r="W32" s="43"/>
      <c r="X32" s="43"/>
      <c r="Y32" s="43"/>
      <c r="Z32" s="43"/>
    </row>
    <row r="33" ht="15.0" customHeight="1">
      <c r="A33" s="945" t="s">
        <v>503</v>
      </c>
      <c r="B33" s="939"/>
      <c r="C33" s="939"/>
      <c r="D33" s="939"/>
      <c r="E33" s="939"/>
      <c r="F33" s="939"/>
      <c r="G33" s="939" t="s">
        <v>504</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505</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506</v>
      </c>
      <c r="B36" s="939"/>
      <c r="C36" s="939"/>
      <c r="D36" s="939"/>
      <c r="E36" s="939"/>
      <c r="F36" s="939"/>
      <c r="G36" s="945" t="s">
        <v>507</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508</v>
      </c>
      <c r="B38" s="939"/>
      <c r="C38" s="939"/>
      <c r="D38" s="939"/>
      <c r="E38" s="939"/>
      <c r="F38" s="939"/>
      <c r="G38" s="944" t="s">
        <v>509</v>
      </c>
      <c r="H38" s="939"/>
      <c r="I38" s="939"/>
      <c r="J38" s="939"/>
      <c r="K38" s="939"/>
      <c r="L38" s="43"/>
      <c r="M38" s="43"/>
      <c r="N38" s="43"/>
      <c r="O38" s="43"/>
      <c r="P38" s="43"/>
      <c r="Q38" s="43"/>
      <c r="R38" s="43"/>
      <c r="S38" s="43"/>
      <c r="T38" s="43"/>
      <c r="U38" s="43"/>
      <c r="V38" s="43"/>
      <c r="W38" s="43"/>
      <c r="X38" s="43"/>
      <c r="Y38" s="43"/>
      <c r="Z38" s="43"/>
    </row>
    <row r="39" ht="15.0" customHeight="1">
      <c r="A39" s="939" t="s">
        <v>510</v>
      </c>
      <c r="B39" s="939"/>
      <c r="C39" s="939"/>
      <c r="D39" s="939"/>
      <c r="E39" s="939"/>
      <c r="F39" s="939"/>
      <c r="G39" s="939" t="s">
        <v>511</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512</v>
      </c>
      <c r="B41" s="939"/>
      <c r="C41" s="939"/>
      <c r="D41" s="939"/>
      <c r="E41" s="939"/>
      <c r="F41" s="939"/>
      <c r="G41" s="939" t="s">
        <v>513</v>
      </c>
      <c r="H41" s="939"/>
      <c r="I41" s="939"/>
      <c r="J41" s="939"/>
      <c r="K41" s="939"/>
      <c r="L41" s="43"/>
      <c r="M41" s="43"/>
      <c r="N41" s="43"/>
      <c r="O41" s="43"/>
      <c r="P41" s="43"/>
      <c r="Q41" s="43"/>
      <c r="R41" s="43"/>
      <c r="S41" s="43"/>
      <c r="T41" s="43"/>
      <c r="U41" s="43"/>
      <c r="V41" s="43"/>
      <c r="W41" s="43"/>
      <c r="X41" s="43"/>
      <c r="Y41" s="43"/>
      <c r="Z41" s="43"/>
    </row>
    <row r="42" ht="15.0" customHeight="1">
      <c r="A42" s="939" t="s">
        <v>514</v>
      </c>
      <c r="B42" s="939"/>
      <c r="C42" s="939"/>
      <c r="D42" s="939"/>
      <c r="E42" s="939"/>
      <c r="F42" s="939"/>
      <c r="G42" s="939" t="s">
        <v>515</v>
      </c>
      <c r="H42" s="939"/>
      <c r="I42" s="939"/>
      <c r="J42" s="939"/>
      <c r="K42" s="939"/>
      <c r="L42" s="43"/>
      <c r="M42" s="43"/>
      <c r="N42" s="43"/>
      <c r="O42" s="43"/>
      <c r="P42" s="43"/>
      <c r="Q42" s="43"/>
      <c r="R42" s="43"/>
      <c r="S42" s="43"/>
      <c r="T42" s="43"/>
      <c r="U42" s="43"/>
      <c r="V42" s="43"/>
      <c r="W42" s="43"/>
      <c r="X42" s="43"/>
      <c r="Y42" s="43"/>
      <c r="Z42" s="43"/>
    </row>
    <row r="43" ht="15.0" customHeight="1">
      <c r="A43" s="939" t="s">
        <v>516</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517</v>
      </c>
      <c r="B44" s="939"/>
      <c r="C44" s="939"/>
      <c r="D44" s="939"/>
      <c r="E44" s="939"/>
      <c r="F44" s="939"/>
      <c r="G44" s="939" t="s">
        <v>518</v>
      </c>
      <c r="H44" s="939"/>
      <c r="I44" s="939"/>
      <c r="J44" s="939"/>
      <c r="K44" s="939"/>
      <c r="L44" s="43"/>
      <c r="M44" s="43"/>
      <c r="N44" s="43"/>
      <c r="O44" s="43"/>
      <c r="P44" s="43"/>
      <c r="Q44" s="43"/>
      <c r="R44" s="43"/>
      <c r="S44" s="43"/>
      <c r="T44" s="43"/>
      <c r="U44" s="43"/>
      <c r="V44" s="43"/>
      <c r="W44" s="43"/>
      <c r="X44" s="43"/>
      <c r="Y44" s="43"/>
      <c r="Z44" s="43"/>
    </row>
    <row r="45" ht="15.0" customHeight="1">
      <c r="A45" s="939" t="s">
        <v>519</v>
      </c>
      <c r="B45" s="939"/>
      <c r="C45" s="939"/>
      <c r="D45" s="939"/>
      <c r="E45" s="939"/>
      <c r="F45" s="939"/>
      <c r="G45" s="939" t="s">
        <v>520</v>
      </c>
      <c r="H45" s="939"/>
      <c r="I45" s="939"/>
      <c r="J45" s="939"/>
      <c r="K45" s="939"/>
      <c r="L45" s="43"/>
      <c r="M45" s="43"/>
      <c r="N45" s="43"/>
      <c r="O45" s="43"/>
      <c r="P45" s="43"/>
      <c r="Q45" s="43"/>
      <c r="R45" s="43"/>
      <c r="S45" s="43"/>
      <c r="T45" s="43"/>
      <c r="U45" s="43"/>
      <c r="V45" s="43"/>
      <c r="W45" s="43"/>
      <c r="X45" s="43"/>
      <c r="Y45" s="43"/>
      <c r="Z45" s="43"/>
    </row>
    <row r="46" ht="15.0" customHeight="1">
      <c r="A46" s="939" t="s">
        <v>521</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522</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523</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524</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525</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527</v>
      </c>
      <c r="B55" s="8"/>
      <c r="C55" s="8"/>
      <c r="D55" s="8"/>
      <c r="E55" s="8"/>
      <c r="F55" s="9"/>
      <c r="G55" s="949" t="s">
        <v>528</v>
      </c>
      <c r="H55" s="9"/>
      <c r="I55" s="939"/>
      <c r="J55" s="939"/>
      <c r="K55" s="939"/>
      <c r="L55" s="43"/>
      <c r="M55" s="43"/>
      <c r="N55" s="43"/>
      <c r="O55" s="43"/>
      <c r="P55" s="43"/>
      <c r="Q55" s="43"/>
      <c r="R55" s="43"/>
      <c r="S55" s="43"/>
      <c r="T55" s="43"/>
      <c r="U55" s="43"/>
      <c r="V55" s="43"/>
      <c r="W55" s="43"/>
      <c r="X55" s="43"/>
      <c r="Y55" s="43"/>
      <c r="Z55" s="43"/>
    </row>
    <row r="56" ht="13.5" customHeight="1">
      <c r="A56" s="943" t="s">
        <v>529</v>
      </c>
      <c r="B56" s="8"/>
      <c r="C56" s="8"/>
      <c r="D56" s="8"/>
      <c r="E56" s="8"/>
      <c r="F56" s="9"/>
      <c r="G56" s="949" t="s">
        <v>530</v>
      </c>
      <c r="H56" s="9"/>
      <c r="I56" s="939"/>
      <c r="J56" s="939"/>
      <c r="K56" s="939"/>
      <c r="L56" s="43"/>
      <c r="M56" s="43"/>
      <c r="N56" s="43"/>
      <c r="O56" s="43"/>
      <c r="P56" s="43"/>
      <c r="Q56" s="43"/>
      <c r="R56" s="43"/>
      <c r="S56" s="43"/>
      <c r="T56" s="43"/>
      <c r="U56" s="43"/>
      <c r="V56" s="43"/>
      <c r="W56" s="43"/>
      <c r="X56" s="43"/>
      <c r="Y56" s="43"/>
      <c r="Z56" s="43"/>
    </row>
    <row r="57" ht="13.5" customHeight="1">
      <c r="A57" s="943" t="s">
        <v>531</v>
      </c>
      <c r="B57" s="8"/>
      <c r="C57" s="8"/>
      <c r="D57" s="8"/>
      <c r="E57" s="8"/>
      <c r="F57" s="9"/>
      <c r="G57" s="949" t="s">
        <v>532</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533</v>
      </c>
      <c r="K2" s="43"/>
      <c r="L2" s="43"/>
      <c r="M2" s="43"/>
      <c r="N2" s="43"/>
      <c r="O2" s="43"/>
      <c r="P2" s="43"/>
      <c r="Q2" s="43"/>
      <c r="R2" s="43"/>
      <c r="S2" s="43"/>
      <c r="T2" s="43"/>
      <c r="U2" s="43"/>
      <c r="V2" s="43"/>
      <c r="W2" s="43"/>
      <c r="X2" s="43"/>
      <c r="Y2" s="43"/>
      <c r="Z2" s="43"/>
    </row>
    <row r="3" ht="75.0" customHeight="1">
      <c r="A3" s="43"/>
      <c r="B3" s="517" t="s">
        <v>534</v>
      </c>
      <c r="K3" s="43"/>
      <c r="L3" s="43"/>
      <c r="M3" s="43"/>
      <c r="N3" s="43"/>
      <c r="O3" s="43"/>
      <c r="P3" s="43"/>
      <c r="Q3" s="43"/>
      <c r="R3" s="43"/>
      <c r="S3" s="43"/>
      <c r="T3" s="43"/>
      <c r="U3" s="43"/>
      <c r="V3" s="43"/>
      <c r="W3" s="43"/>
      <c r="X3" s="43"/>
      <c r="Y3" s="43"/>
      <c r="Z3" s="43"/>
    </row>
    <row r="4" ht="15.0" customHeight="1">
      <c r="A4" s="43"/>
      <c r="B4" s="952"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536</v>
      </c>
      <c r="K6" s="43"/>
      <c r="L6" s="43"/>
      <c r="M6" s="43"/>
      <c r="N6" s="43"/>
      <c r="O6" s="43"/>
      <c r="P6" s="43"/>
      <c r="Q6" s="43"/>
      <c r="R6" s="43"/>
      <c r="S6" s="43"/>
      <c r="T6" s="43"/>
      <c r="U6" s="43"/>
      <c r="V6" s="43"/>
      <c r="W6" s="43"/>
      <c r="X6" s="43"/>
      <c r="Y6" s="43"/>
      <c r="Z6" s="43"/>
    </row>
    <row r="7" ht="15.0" customHeight="1">
      <c r="A7" s="43"/>
      <c r="B7" s="526"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538</v>
      </c>
      <c r="K8" s="43"/>
      <c r="L8" s="43"/>
      <c r="M8" s="43"/>
      <c r="N8" s="43"/>
      <c r="O8" s="43"/>
      <c r="P8" s="43"/>
      <c r="Q8" s="43"/>
      <c r="R8" s="43"/>
      <c r="S8" s="43"/>
      <c r="T8" s="43"/>
      <c r="U8" s="43"/>
      <c r="V8" s="43"/>
      <c r="W8" s="43"/>
      <c r="X8" s="43"/>
      <c r="Y8" s="43"/>
      <c r="Z8" s="43"/>
    </row>
    <row r="9" ht="15.0" customHeight="1">
      <c r="A9" s="43"/>
      <c r="B9" s="953" t="s">
        <v>539</v>
      </c>
      <c r="C9" s="43" t="s">
        <v>540</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541</v>
      </c>
      <c r="C10" s="43" t="s">
        <v>542</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543</v>
      </c>
      <c r="C11" s="43" t="s">
        <v>544</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545</v>
      </c>
      <c r="C12" s="43" t="s">
        <v>546</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547</v>
      </c>
      <c r="C13" s="952" t="s">
        <v>548</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549</v>
      </c>
      <c r="C14" s="952" t="s">
        <v>550</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551</v>
      </c>
      <c r="C15" s="952" t="s">
        <v>552</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553</v>
      </c>
      <c r="C16" s="952" t="s">
        <v>554</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555</v>
      </c>
      <c r="C17" s="952" t="s">
        <v>556</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557</v>
      </c>
      <c r="C18" s="952" t="s">
        <v>558</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559</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560</v>
      </c>
      <c r="K21" s="43"/>
      <c r="L21" s="43"/>
      <c r="M21" s="43"/>
      <c r="N21" s="43"/>
      <c r="O21" s="43"/>
      <c r="P21" s="43"/>
      <c r="Q21" s="43"/>
      <c r="R21" s="43"/>
      <c r="S21" s="43"/>
      <c r="T21" s="43"/>
      <c r="U21" s="43"/>
      <c r="V21" s="43"/>
      <c r="W21" s="43"/>
      <c r="X21" s="43"/>
      <c r="Y21" s="43"/>
      <c r="Z21" s="43"/>
    </row>
    <row r="22" ht="15.0" customHeight="1">
      <c r="A22" s="43"/>
      <c r="B22" s="957" t="s">
        <v>539</v>
      </c>
      <c r="C22" s="952" t="s">
        <v>561</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541</v>
      </c>
      <c r="C23" s="952" t="s">
        <v>562</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543</v>
      </c>
      <c r="C24" s="952" t="s">
        <v>563</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545</v>
      </c>
      <c r="C25" s="952" t="s">
        <v>564</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547</v>
      </c>
      <c r="C26" s="952" t="s">
        <v>565</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549</v>
      </c>
      <c r="C27" s="952" t="s">
        <v>566</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551</v>
      </c>
      <c r="C28" s="952" t="s">
        <v>567</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596</v>
      </c>
      <c r="K62" s="43"/>
      <c r="L62" s="43"/>
      <c r="M62" s="43"/>
      <c r="N62" s="43"/>
      <c r="O62" s="43"/>
      <c r="P62" s="43"/>
      <c r="Q62" s="43"/>
      <c r="R62" s="43"/>
      <c r="S62" s="43"/>
      <c r="T62" s="43"/>
      <c r="U62" s="43"/>
      <c r="V62" s="43"/>
      <c r="W62" s="43"/>
      <c r="X62" s="43"/>
      <c r="Y62" s="43"/>
      <c r="Z62" s="43"/>
    </row>
    <row r="63" ht="15.0" customHeight="1">
      <c r="A63" s="43"/>
      <c r="B63" s="957" t="s">
        <v>16</v>
      </c>
      <c r="C63" s="952" t="s">
        <v>597</v>
      </c>
      <c r="K63" s="43"/>
      <c r="L63" s="43"/>
      <c r="M63" s="43"/>
      <c r="N63" s="43"/>
      <c r="O63" s="43"/>
      <c r="P63" s="43"/>
      <c r="Q63" s="43"/>
      <c r="R63" s="43"/>
      <c r="S63" s="43"/>
      <c r="T63" s="43"/>
      <c r="U63" s="43"/>
      <c r="V63" s="43"/>
      <c r="W63" s="43"/>
      <c r="X63" s="43"/>
      <c r="Y63" s="43"/>
      <c r="Z63" s="43"/>
    </row>
    <row r="64" ht="15.0" customHeight="1">
      <c r="A64" s="43"/>
      <c r="B64" s="957" t="s">
        <v>539</v>
      </c>
      <c r="C64" s="952" t="s">
        <v>598</v>
      </c>
      <c r="K64" s="43"/>
      <c r="L64" s="43"/>
      <c r="M64" s="43"/>
      <c r="N64" s="43"/>
      <c r="O64" s="43"/>
      <c r="P64" s="43"/>
      <c r="Q64" s="43"/>
      <c r="R64" s="43"/>
      <c r="S64" s="43"/>
      <c r="T64" s="43"/>
      <c r="U64" s="43"/>
      <c r="V64" s="43"/>
      <c r="W64" s="43"/>
      <c r="X64" s="43"/>
      <c r="Y64" s="43"/>
      <c r="Z64" s="43"/>
    </row>
    <row r="65" ht="15.0" customHeight="1">
      <c r="A65" s="43"/>
      <c r="B65" s="958" t="s">
        <v>541</v>
      </c>
      <c r="C65" s="952" t="s">
        <v>599</v>
      </c>
      <c r="K65" s="43"/>
      <c r="L65" s="43"/>
      <c r="M65" s="43"/>
      <c r="N65" s="43"/>
      <c r="O65" s="43"/>
      <c r="P65" s="43"/>
      <c r="Q65" s="43"/>
      <c r="R65" s="43"/>
      <c r="S65" s="43"/>
      <c r="T65" s="43"/>
      <c r="U65" s="43"/>
      <c r="V65" s="43"/>
      <c r="W65" s="43"/>
      <c r="X65" s="43"/>
      <c r="Y65" s="43"/>
      <c r="Z65" s="43"/>
    </row>
    <row r="66" ht="15.0" customHeight="1">
      <c r="A66" s="43"/>
      <c r="B66" s="958" t="s">
        <v>543</v>
      </c>
      <c r="C66" s="952" t="s">
        <v>600</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545</v>
      </c>
      <c r="C67" s="952"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602</v>
      </c>
      <c r="K69" s="43"/>
      <c r="L69" s="43"/>
      <c r="M69" s="43"/>
      <c r="N69" s="43"/>
      <c r="O69" s="43"/>
      <c r="P69" s="43"/>
      <c r="Q69" s="43"/>
      <c r="R69" s="43"/>
      <c r="S69" s="43"/>
      <c r="T69" s="43"/>
      <c r="U69" s="43"/>
      <c r="V69" s="43"/>
      <c r="W69" s="43"/>
      <c r="X69" s="43"/>
      <c r="Y69" s="43"/>
      <c r="Z69" s="43"/>
    </row>
    <row r="70" ht="15.0" customHeight="1">
      <c r="A70" s="43"/>
      <c r="B70" s="957" t="s">
        <v>16</v>
      </c>
      <c r="C70" s="952" t="s">
        <v>603</v>
      </c>
      <c r="K70" s="43"/>
      <c r="L70" s="43"/>
      <c r="M70" s="43"/>
      <c r="N70" s="43"/>
      <c r="O70" s="43"/>
      <c r="P70" s="43"/>
      <c r="Q70" s="43"/>
      <c r="R70" s="43"/>
      <c r="S70" s="43"/>
      <c r="T70" s="43"/>
      <c r="U70" s="43"/>
      <c r="V70" s="43"/>
      <c r="W70" s="43"/>
      <c r="X70" s="43"/>
      <c r="Y70" s="43"/>
      <c r="Z70" s="43"/>
    </row>
    <row r="71" ht="15.0" customHeight="1">
      <c r="A71" s="43"/>
      <c r="B71" s="957" t="s">
        <v>539</v>
      </c>
      <c r="C71" s="952" t="s">
        <v>604</v>
      </c>
      <c r="K71" s="43"/>
      <c r="L71" s="43"/>
      <c r="M71" s="43"/>
      <c r="N71" s="43"/>
      <c r="O71" s="43"/>
      <c r="P71" s="43"/>
      <c r="Q71" s="43"/>
      <c r="R71" s="43"/>
      <c r="S71" s="43"/>
      <c r="T71" s="43"/>
      <c r="U71" s="43"/>
      <c r="V71" s="43"/>
      <c r="W71" s="43"/>
      <c r="X71" s="43"/>
      <c r="Y71" s="43"/>
      <c r="Z71" s="43"/>
    </row>
    <row r="72" ht="15.0" customHeight="1">
      <c r="A72" s="43"/>
      <c r="B72" s="957" t="s">
        <v>541</v>
      </c>
      <c r="C72" s="952" t="s">
        <v>605</v>
      </c>
      <c r="K72" s="43"/>
      <c r="L72" s="43"/>
      <c r="M72" s="43"/>
      <c r="N72" s="43"/>
      <c r="O72" s="43"/>
      <c r="P72" s="43"/>
      <c r="Q72" s="43"/>
      <c r="R72" s="43"/>
      <c r="S72" s="43"/>
      <c r="T72" s="43"/>
      <c r="U72" s="43"/>
      <c r="V72" s="43"/>
      <c r="W72" s="43"/>
      <c r="X72" s="43"/>
      <c r="Y72" s="43"/>
      <c r="Z72" s="43"/>
    </row>
    <row r="73" ht="15.0" customHeight="1">
      <c r="A73" s="43"/>
      <c r="B73" s="957" t="s">
        <v>543</v>
      </c>
      <c r="C73" s="952" t="s">
        <v>606</v>
      </c>
      <c r="K73" s="43"/>
      <c r="L73" s="43"/>
      <c r="M73" s="43"/>
      <c r="N73" s="43"/>
      <c r="O73" s="43"/>
      <c r="P73" s="43"/>
      <c r="Q73" s="43"/>
      <c r="R73" s="43"/>
      <c r="S73" s="43"/>
      <c r="T73" s="43"/>
      <c r="U73" s="43"/>
      <c r="V73" s="43"/>
      <c r="W73" s="43"/>
      <c r="X73" s="43"/>
      <c r="Y73" s="43"/>
      <c r="Z73" s="43"/>
    </row>
    <row r="74" ht="15.0" customHeight="1">
      <c r="A74" s="43"/>
      <c r="B74" s="957" t="s">
        <v>545</v>
      </c>
      <c r="C74" s="952" t="s">
        <v>607</v>
      </c>
      <c r="K74" s="43"/>
      <c r="L74" s="43"/>
      <c r="M74" s="43"/>
      <c r="N74" s="43"/>
      <c r="O74" s="43"/>
      <c r="P74" s="43"/>
      <c r="Q74" s="43"/>
      <c r="R74" s="43"/>
      <c r="S74" s="43"/>
      <c r="T74" s="43"/>
      <c r="U74" s="43"/>
      <c r="V74" s="43"/>
      <c r="W74" s="43"/>
      <c r="X74" s="43"/>
      <c r="Y74" s="43"/>
      <c r="Z74" s="43"/>
    </row>
    <row r="75" ht="15.0" customHeight="1">
      <c r="A75" s="43"/>
      <c r="B75" s="957" t="s">
        <v>547</v>
      </c>
      <c r="C75" s="952" t="s">
        <v>608</v>
      </c>
      <c r="K75" s="43"/>
      <c r="L75" s="43"/>
      <c r="M75" s="43"/>
      <c r="N75" s="43"/>
      <c r="O75" s="43"/>
      <c r="P75" s="43"/>
      <c r="Q75" s="43"/>
      <c r="R75" s="43"/>
      <c r="S75" s="43"/>
      <c r="T75" s="43"/>
      <c r="U75" s="43"/>
      <c r="V75" s="43"/>
      <c r="W75" s="43"/>
      <c r="X75" s="43"/>
      <c r="Y75" s="43"/>
      <c r="Z75" s="43"/>
    </row>
    <row r="76" ht="15.0" customHeight="1">
      <c r="A76" s="43"/>
      <c r="B76" s="957" t="s">
        <v>549</v>
      </c>
      <c r="C76" s="952" t="s">
        <v>609</v>
      </c>
      <c r="K76" s="43"/>
      <c r="L76" s="43"/>
      <c r="M76" s="43"/>
      <c r="N76" s="43"/>
      <c r="O76" s="43"/>
      <c r="P76" s="43"/>
      <c r="Q76" s="43"/>
      <c r="R76" s="43"/>
      <c r="S76" s="43"/>
      <c r="T76" s="43"/>
      <c r="U76" s="43"/>
      <c r="V76" s="43"/>
      <c r="W76" s="43"/>
      <c r="X76" s="43"/>
      <c r="Y76" s="43"/>
      <c r="Z76" s="43"/>
    </row>
    <row r="77" ht="15.0" customHeight="1">
      <c r="A77" s="43"/>
      <c r="B77" s="957" t="s">
        <v>551</v>
      </c>
      <c r="C77" s="952" t="s">
        <v>610</v>
      </c>
      <c r="K77" s="43"/>
      <c r="L77" s="43"/>
      <c r="M77" s="43"/>
      <c r="N77" s="43"/>
      <c r="O77" s="43"/>
      <c r="P77" s="43"/>
      <c r="Q77" s="43"/>
      <c r="R77" s="43"/>
      <c r="S77" s="43"/>
      <c r="T77" s="43"/>
      <c r="U77" s="43"/>
      <c r="V77" s="43"/>
      <c r="W77" s="43"/>
      <c r="X77" s="43"/>
      <c r="Y77" s="43"/>
      <c r="Z77" s="43"/>
    </row>
    <row r="78" ht="30.0" customHeight="1">
      <c r="A78" s="43"/>
      <c r="B78" s="956" t="s">
        <v>553</v>
      </c>
      <c r="C78" s="517"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612</v>
      </c>
      <c r="K80" s="43"/>
      <c r="L80" s="43"/>
      <c r="M80" s="43"/>
      <c r="N80" s="43"/>
      <c r="O80" s="43"/>
      <c r="P80" s="43"/>
      <c r="Q80" s="43"/>
      <c r="R80" s="43"/>
      <c r="S80" s="43"/>
      <c r="T80" s="43"/>
      <c r="U80" s="43"/>
      <c r="V80" s="43"/>
      <c r="W80" s="43"/>
      <c r="X80" s="43"/>
      <c r="Y80" s="43"/>
      <c r="Z80" s="43"/>
    </row>
    <row r="81" ht="15.0" customHeight="1">
      <c r="A81" s="43"/>
      <c r="B81" s="957" t="s">
        <v>16</v>
      </c>
      <c r="C81" s="952" t="s">
        <v>613</v>
      </c>
      <c r="K81" s="43"/>
      <c r="L81" s="43"/>
      <c r="M81" s="43"/>
      <c r="N81" s="43"/>
      <c r="O81" s="43"/>
      <c r="P81" s="43"/>
      <c r="Q81" s="43"/>
      <c r="R81" s="43"/>
      <c r="S81" s="43"/>
      <c r="T81" s="43"/>
      <c r="U81" s="43"/>
      <c r="V81" s="43"/>
      <c r="W81" s="43"/>
      <c r="X81" s="43"/>
      <c r="Y81" s="43"/>
      <c r="Z81" s="43"/>
    </row>
    <row r="82" ht="13.5" customHeight="1">
      <c r="A82" s="43"/>
      <c r="B82" s="956" t="s">
        <v>539</v>
      </c>
      <c r="C82" s="517" t="s">
        <v>614</v>
      </c>
      <c r="K82" s="43"/>
      <c r="L82" s="43"/>
      <c r="M82" s="43"/>
      <c r="N82" s="43"/>
      <c r="O82" s="43"/>
      <c r="P82" s="43"/>
      <c r="Q82" s="43"/>
      <c r="R82" s="43"/>
      <c r="S82" s="43"/>
      <c r="T82" s="43"/>
      <c r="U82" s="43"/>
      <c r="V82" s="43"/>
      <c r="W82" s="43"/>
      <c r="X82" s="43"/>
      <c r="Y82" s="43"/>
      <c r="Z82" s="43"/>
    </row>
    <row r="83" ht="27.0" customHeight="1">
      <c r="A83" s="43"/>
      <c r="B83" s="956" t="s">
        <v>541</v>
      </c>
      <c r="C83" s="960" t="s">
        <v>615</v>
      </c>
      <c r="K83" s="43"/>
      <c r="L83" s="43"/>
      <c r="M83" s="43"/>
      <c r="N83" s="43"/>
      <c r="O83" s="43"/>
      <c r="P83" s="43"/>
      <c r="Q83" s="43"/>
      <c r="R83" s="43"/>
      <c r="S83" s="43"/>
      <c r="T83" s="43"/>
      <c r="U83" s="43"/>
      <c r="V83" s="43"/>
      <c r="W83" s="43"/>
      <c r="X83" s="43"/>
      <c r="Y83" s="43"/>
      <c r="Z83" s="43"/>
    </row>
    <row r="84" ht="24.75" customHeight="1">
      <c r="A84" s="43"/>
      <c r="B84" s="956" t="s">
        <v>543</v>
      </c>
      <c r="C84" s="955" t="s">
        <v>616</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617</v>
      </c>
      <c r="K87" s="43"/>
      <c r="L87" s="43"/>
      <c r="M87" s="43"/>
      <c r="N87" s="43"/>
      <c r="O87" s="43"/>
      <c r="P87" s="43"/>
      <c r="Q87" s="43"/>
      <c r="R87" s="43"/>
      <c r="S87" s="43"/>
      <c r="T87" s="43"/>
      <c r="U87" s="43"/>
      <c r="V87" s="43"/>
      <c r="W87" s="43"/>
      <c r="X87" s="43"/>
      <c r="Y87" s="43"/>
      <c r="Z87" s="43"/>
    </row>
    <row r="88" ht="15.0" customHeight="1">
      <c r="A88" s="951"/>
      <c r="B88" s="526" t="s">
        <v>618</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640</v>
      </c>
      <c r="K118" s="43"/>
      <c r="L118" s="43"/>
      <c r="M118" s="43"/>
      <c r="N118" s="43"/>
      <c r="O118" s="43"/>
      <c r="P118" s="43"/>
      <c r="Q118" s="43"/>
      <c r="R118" s="43"/>
      <c r="S118" s="43"/>
      <c r="T118" s="43"/>
      <c r="U118" s="43"/>
      <c r="V118" s="43"/>
      <c r="W118" s="43"/>
      <c r="X118" s="43"/>
      <c r="Y118" s="43"/>
      <c r="Z118" s="43"/>
    </row>
    <row r="119" ht="15.0" customHeight="1">
      <c r="A119" s="43"/>
      <c r="B119" s="952" t="s">
        <v>641</v>
      </c>
      <c r="K119" s="43"/>
      <c r="L119" s="43"/>
      <c r="M119" s="43"/>
      <c r="N119" s="43"/>
      <c r="O119" s="43"/>
      <c r="P119" s="43"/>
      <c r="Q119" s="43"/>
      <c r="R119" s="43"/>
      <c r="S119" s="43"/>
      <c r="T119" s="43"/>
      <c r="U119" s="43"/>
      <c r="V119" s="43"/>
      <c r="W119" s="43"/>
      <c r="X119" s="43"/>
      <c r="Y119" s="43"/>
      <c r="Z119" s="43"/>
    </row>
    <row r="120" ht="15.0" customHeight="1">
      <c r="A120" s="43"/>
      <c r="B120" s="952"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643</v>
      </c>
      <c r="K122" s="43"/>
      <c r="L122" s="43"/>
      <c r="M122" s="43"/>
      <c r="N122" s="43"/>
      <c r="O122" s="43"/>
      <c r="P122" s="43"/>
      <c r="Q122" s="43"/>
      <c r="R122" s="43"/>
      <c r="S122" s="43"/>
      <c r="T122" s="43"/>
      <c r="U122" s="43"/>
      <c r="V122" s="43"/>
      <c r="W122" s="43"/>
      <c r="X122" s="43"/>
      <c r="Y122" s="43"/>
      <c r="Z122" s="43"/>
    </row>
    <row r="123" ht="15.0" customHeight="1">
      <c r="A123" s="43"/>
      <c r="B123" s="952" t="s">
        <v>644</v>
      </c>
      <c r="K123" s="43"/>
      <c r="L123" s="43"/>
      <c r="M123" s="43"/>
      <c r="N123" s="43"/>
      <c r="O123" s="43"/>
      <c r="P123" s="43"/>
      <c r="Q123" s="43"/>
      <c r="R123" s="43"/>
      <c r="S123" s="43"/>
      <c r="T123" s="43"/>
      <c r="U123" s="43"/>
      <c r="V123" s="43"/>
      <c r="W123" s="43"/>
      <c r="X123" s="43"/>
      <c r="Y123" s="43"/>
      <c r="Z123" s="43"/>
    </row>
    <row r="124" ht="15.0" customHeight="1">
      <c r="A124" s="43"/>
      <c r="B124" s="952"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646</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647</v>
      </c>
      <c r="K127" s="43"/>
      <c r="L127" s="43"/>
      <c r="M127" s="43"/>
      <c r="N127" s="43"/>
      <c r="O127" s="43"/>
      <c r="P127" s="43"/>
      <c r="Q127" s="43"/>
      <c r="R127" s="43"/>
      <c r="S127" s="43"/>
      <c r="T127" s="43"/>
      <c r="U127" s="43"/>
      <c r="V127" s="43"/>
      <c r="W127" s="43"/>
      <c r="X127" s="43"/>
      <c r="Y127" s="43"/>
      <c r="Z127" s="43"/>
    </row>
    <row r="128" ht="15.0" customHeight="1">
      <c r="A128" s="43"/>
      <c r="B128" s="952"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649</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650</v>
      </c>
      <c r="E131" s="6">
        <v>40256.0</v>
      </c>
      <c r="G131" s="952" t="s">
        <v>651</v>
      </c>
      <c r="K131" s="43"/>
      <c r="L131" s="43"/>
      <c r="M131" s="43"/>
      <c r="N131" s="43"/>
      <c r="O131" s="43"/>
      <c r="P131" s="43"/>
      <c r="Q131" s="43"/>
      <c r="R131" s="43"/>
      <c r="S131" s="43"/>
      <c r="T131" s="43"/>
      <c r="U131" s="43"/>
      <c r="V131" s="43"/>
      <c r="W131" s="43"/>
      <c r="X131" s="43"/>
      <c r="Y131" s="43"/>
      <c r="Z131" s="43"/>
    </row>
    <row r="132" ht="15.0" customHeight="1">
      <c r="A132" s="43"/>
      <c r="B132" s="962" t="s">
        <v>652</v>
      </c>
      <c r="E132" s="6">
        <v>40218.0</v>
      </c>
      <c r="G132" s="952" t="s">
        <v>653</v>
      </c>
      <c r="K132" s="43"/>
      <c r="L132" s="43"/>
      <c r="M132" s="43"/>
      <c r="N132" s="43"/>
      <c r="O132" s="43"/>
      <c r="P132" s="43"/>
      <c r="Q132" s="43"/>
      <c r="R132" s="43"/>
      <c r="S132" s="43"/>
      <c r="T132" s="43"/>
      <c r="U132" s="43"/>
      <c r="V132" s="43"/>
      <c r="W132" s="43"/>
      <c r="X132" s="43"/>
      <c r="Y132" s="43"/>
      <c r="Z132" s="43"/>
    </row>
    <row r="133" ht="15.0" customHeight="1">
      <c r="A133" s="43"/>
      <c r="B133" s="962" t="s">
        <v>654</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655</v>
      </c>
      <c r="E134" s="6">
        <v>40092.0</v>
      </c>
      <c r="G134" s="952" t="s">
        <v>656</v>
      </c>
      <c r="K134" s="43"/>
      <c r="L134" s="43"/>
      <c r="M134" s="43"/>
      <c r="N134" s="43"/>
      <c r="O134" s="43"/>
      <c r="P134" s="43"/>
      <c r="Q134" s="43"/>
      <c r="R134" s="43"/>
      <c r="S134" s="43"/>
      <c r="T134" s="43"/>
      <c r="U134" s="43"/>
      <c r="V134" s="43"/>
      <c r="W134" s="43"/>
      <c r="X134" s="43"/>
      <c r="Y134" s="43"/>
      <c r="Z134" s="43"/>
    </row>
    <row r="135" ht="15.0" customHeight="1">
      <c r="A135" s="43"/>
      <c r="B135" s="952" t="s">
        <v>647</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657</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658</v>
      </c>
      <c r="K138" s="43"/>
      <c r="L138" s="43"/>
      <c r="M138" s="43"/>
      <c r="N138" s="43"/>
      <c r="O138" s="43"/>
      <c r="P138" s="43"/>
      <c r="Q138" s="43"/>
      <c r="R138" s="43"/>
      <c r="S138" s="43"/>
      <c r="T138" s="43"/>
      <c r="U138" s="43"/>
      <c r="V138" s="43"/>
      <c r="W138" s="43"/>
      <c r="X138" s="43"/>
      <c r="Y138" s="43"/>
      <c r="Z138" s="43"/>
    </row>
    <row r="139" ht="45.0" customHeight="1">
      <c r="A139" s="43"/>
      <c r="B139" s="963"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660</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661</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662</v>
      </c>
      <c r="K143" s="43"/>
      <c r="L143" s="43"/>
      <c r="M143" s="43"/>
      <c r="N143" s="43"/>
      <c r="O143" s="43"/>
      <c r="P143" s="43"/>
      <c r="Q143" s="43"/>
      <c r="R143" s="43"/>
      <c r="S143" s="43"/>
      <c r="T143" s="43"/>
      <c r="U143" s="43"/>
      <c r="V143" s="43"/>
      <c r="W143" s="43"/>
      <c r="X143" s="43"/>
      <c r="Y143" s="43"/>
      <c r="Z143" s="43"/>
    </row>
    <row r="144" ht="30.0" customHeight="1">
      <c r="A144" s="43"/>
      <c r="B144" s="954"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664</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665</v>
      </c>
      <c r="K147" s="43"/>
      <c r="L147" s="43"/>
      <c r="M147" s="43"/>
      <c r="N147" s="43"/>
      <c r="O147" s="43"/>
      <c r="P147" s="43"/>
      <c r="Q147" s="43"/>
      <c r="R147" s="43"/>
      <c r="S147" s="43"/>
      <c r="T147" s="43"/>
      <c r="U147" s="43"/>
      <c r="V147" s="43"/>
      <c r="W147" s="43"/>
      <c r="X147" s="43"/>
      <c r="Y147" s="43"/>
      <c r="Z147" s="43"/>
    </row>
    <row r="148" ht="60.0" customHeight="1">
      <c r="A148" s="43"/>
      <c r="B148" s="963"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667</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665</v>
      </c>
      <c r="K151" s="43"/>
      <c r="L151" s="43"/>
      <c r="M151" s="43"/>
      <c r="N151" s="43"/>
      <c r="O151" s="43"/>
      <c r="P151" s="43"/>
      <c r="Q151" s="43"/>
      <c r="R151" s="43"/>
      <c r="S151" s="43"/>
      <c r="T151" s="43"/>
      <c r="U151" s="43"/>
      <c r="V151" s="43"/>
      <c r="W151" s="43"/>
      <c r="X151" s="43"/>
      <c r="Y151" s="43"/>
      <c r="Z151" s="43"/>
    </row>
    <row r="152" ht="15.0" customHeight="1">
      <c r="A152" s="43"/>
      <c r="B152" s="952"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669</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670</v>
      </c>
      <c r="K155" s="43"/>
      <c r="L155" s="43"/>
      <c r="M155" s="43"/>
      <c r="N155" s="43"/>
      <c r="O155" s="43"/>
      <c r="P155" s="43"/>
      <c r="Q155" s="43"/>
      <c r="R155" s="43"/>
      <c r="S155" s="43"/>
      <c r="T155" s="43"/>
      <c r="U155" s="43"/>
      <c r="V155" s="43"/>
      <c r="W155" s="43"/>
      <c r="X155" s="43"/>
      <c r="Y155" s="43"/>
      <c r="Z155" s="43"/>
    </row>
    <row r="156" ht="15.0" customHeight="1">
      <c r="A156" s="43"/>
      <c r="B156" s="952"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672</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673</v>
      </c>
      <c r="K159" s="43"/>
      <c r="L159" s="43"/>
      <c r="M159" s="43"/>
      <c r="N159" s="43"/>
      <c r="O159" s="43"/>
      <c r="P159" s="43"/>
      <c r="Q159" s="43"/>
      <c r="R159" s="43"/>
      <c r="S159" s="43"/>
      <c r="T159" s="43"/>
      <c r="U159" s="43"/>
      <c r="V159" s="43"/>
      <c r="W159" s="43"/>
      <c r="X159" s="43"/>
      <c r="Y159" s="43"/>
      <c r="Z159" s="43"/>
    </row>
    <row r="160" ht="15.0" customHeight="1">
      <c r="A160" s="43"/>
      <c r="B160" s="952"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